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5.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6.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08"/>
  <workbookPr defaultThemeVersion="166925"/>
  <mc:AlternateContent xmlns:mc="http://schemas.openxmlformats.org/markup-compatibility/2006">
    <mc:Choice Requires="x15">
      <x15ac:absPath xmlns:x15ac="http://schemas.microsoft.com/office/spreadsheetml/2010/11/ac" url="https://templegroup365-my.sharepoint.com/personal/charlotte_gray_templegroup_co_uk/Documents/Documents/workingfiles/workspace.templegroup.co.uk/"/>
    </mc:Choice>
  </mc:AlternateContent>
  <xr:revisionPtr revIDLastSave="67" documentId="8_{4B521A7E-9261-40AF-BB3A-B967C207BBFB}" xr6:coauthVersionLast="47" xr6:coauthVersionMax="47" xr10:uidLastSave="{B783776E-4D2F-461C-801E-3BDDE46EEAE9}"/>
  <bookViews>
    <workbookView xWindow="-120" yWindow="-120" windowWidth="20730" windowHeight="11160" firstSheet="2" activeTab="2" xr2:uid="{00000000-000D-0000-FFFF-FFFF00000000}"/>
  </bookViews>
  <sheets>
    <sheet name="Instruction for Use" sheetId="18" r:id="rId1"/>
    <sheet name="Summary" sheetId="7" r:id="rId2"/>
    <sheet name="Area Based" sheetId="2" r:id="rId3"/>
    <sheet name="Linear (Watercourse)" sheetId="4" r:id="rId4"/>
    <sheet name="Linear (Foliage)" sheetId="11" r:id="rId5"/>
    <sheet name="Credit Award Matrix" sheetId="20" r:id="rId6"/>
    <sheet name="Version Control" sheetId="19" r:id="rId7"/>
    <sheet name="Lookups" sheetId="9" state="hidden" r:id="rId8"/>
  </sheets>
  <definedNames>
    <definedName name="Area0Foliage">Table39[Area 0 - Foliage]</definedName>
    <definedName name="AreaPercentValue">AreaPercentage[Area Percentage]</definedName>
    <definedName name="AreaPostValue">Area_Post[Area Post]</definedName>
    <definedName name="AreaPreValue">Area_Pre[Area Pre]</definedName>
    <definedName name="Assess_Details">Lookups!$A$25</definedName>
    <definedName name="Calc_Score">Lookups!#REF!</definedName>
    <definedName name="Details">Summary!$A$21</definedName>
    <definedName name="Distinctiveness" localSheetId="4">Distinctiveness_LU[]</definedName>
    <definedName name="Distinctiveness">Distinctiveness_LU[]</definedName>
    <definedName name="Errors_Corrected">Lookups!$A$23</definedName>
    <definedName name="Errors_To_Be_Corrected">Lookups!$A$23</definedName>
    <definedName name="Filter">Lookups!$A$27</definedName>
    <definedName name="FinalScoreValue">FinalScore[Final Score]</definedName>
    <definedName name="Foliage_Filter">Table42[Foliage Filter]</definedName>
    <definedName name="FoliagePercentValue">FoliagePercent[Foliage Percentage]</definedName>
    <definedName name="FoliagePostValue">FoliagePost[Foliage Post]</definedName>
    <definedName name="FoliagePreValue">FoliagePre[Foliage Pre]</definedName>
    <definedName name="Incomplete_Habitat_Details">Lookups!$A$22</definedName>
    <definedName name="Insuff_Hab_Created">Lookups!$A$26</definedName>
    <definedName name="LinearFilterSummary">Summary!$D$16</definedName>
    <definedName name="Loss_Exceeds_Pre_Error">Lookups!$A$21</definedName>
    <definedName name="LU_Area_Create">LUArea_Create[Area Created]</definedName>
    <definedName name="NegEnhance">Lookups!$A$28</definedName>
    <definedName name="Schemes">#REF!</definedName>
    <definedName name="Stat_Obs">Lookups!$A$24</definedName>
    <definedName name="Water_Condition">WatercourseCondition[Watercourse Condition]</definedName>
    <definedName name="Water_Present">Watercourse_Present[Watercourse Present]</definedName>
    <definedName name="WaterFilter">Watercourse_Filter[Watercourse Filter]</definedName>
    <definedName name="WaterPercentValue">WaterPost[Water Percentage]</definedName>
    <definedName name="WaterPostValue">WatercoursePost[Watercourse Post]</definedName>
    <definedName name="WaterPreValue">WatercoursePre[Watercourse Pre]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 i="2" l="1"/>
  <c r="J16" i="2" s="1"/>
  <c r="I18" i="2"/>
  <c r="J18" i="2" s="1"/>
  <c r="I19" i="2"/>
  <c r="J19" i="2" s="1"/>
  <c r="I20" i="2"/>
  <c r="J20" i="2" s="1"/>
  <c r="I21" i="2"/>
  <c r="J21" i="2" s="1"/>
  <c r="I22" i="2"/>
  <c r="J22" i="2" s="1"/>
  <c r="I23" i="2"/>
  <c r="J23" i="2" s="1"/>
  <c r="I24" i="2"/>
  <c r="J24" i="2" s="1"/>
  <c r="I25" i="2"/>
  <c r="J25" i="2" s="1"/>
  <c r="I26" i="2"/>
  <c r="J26" i="2" s="1"/>
  <c r="I27" i="2"/>
  <c r="J27" i="2"/>
  <c r="I28" i="2"/>
  <c r="J28" i="2" s="1"/>
  <c r="I29" i="2"/>
  <c r="J29" i="2" s="1"/>
  <c r="I30" i="2"/>
  <c r="J30" i="2" s="1"/>
  <c r="I31" i="2"/>
  <c r="J31" i="2"/>
  <c r="I32" i="2"/>
  <c r="J32" i="2" s="1"/>
  <c r="I33" i="2"/>
  <c r="J33" i="2" s="1"/>
  <c r="I34" i="2"/>
  <c r="J34" i="2" s="1"/>
  <c r="I35" i="2"/>
  <c r="J35" i="2" s="1"/>
  <c r="I36" i="2"/>
  <c r="J36" i="2" s="1"/>
  <c r="I44" i="2"/>
  <c r="J44" i="2" s="1"/>
  <c r="I45" i="2"/>
  <c r="J45" i="2" s="1"/>
  <c r="I47" i="2"/>
  <c r="J47" i="2" s="1"/>
  <c r="I48" i="2"/>
  <c r="J48" i="2" s="1"/>
  <c r="I49" i="2"/>
  <c r="J49" i="2" s="1"/>
  <c r="I50" i="2"/>
  <c r="J50" i="2" s="1"/>
  <c r="I51" i="2"/>
  <c r="J51" i="2" s="1"/>
  <c r="I52" i="2"/>
  <c r="J52" i="2" s="1"/>
  <c r="I53" i="2"/>
  <c r="J53" i="2"/>
  <c r="I54" i="2"/>
  <c r="J54" i="2" s="1"/>
  <c r="I55" i="2"/>
  <c r="J55" i="2" s="1"/>
  <c r="I56" i="2"/>
  <c r="J56" i="2" s="1"/>
  <c r="I57" i="2"/>
  <c r="J57" i="2"/>
  <c r="I58" i="2"/>
  <c r="J58" i="2" s="1"/>
  <c r="I59" i="2"/>
  <c r="J59" i="2" s="1"/>
  <c r="I60" i="2"/>
  <c r="J60" i="2" s="1"/>
  <c r="I61" i="2"/>
  <c r="J61" i="2" s="1"/>
  <c r="I62" i="2"/>
  <c r="J62" i="2" s="1"/>
  <c r="I63" i="2"/>
  <c r="J63" i="2" s="1"/>
  <c r="I64" i="2"/>
  <c r="J64" i="2" s="1"/>
  <c r="I65" i="2"/>
  <c r="J65" i="2" s="1"/>
  <c r="N70" i="2"/>
  <c r="O77" i="2"/>
  <c r="P77" i="2" s="1"/>
  <c r="O78" i="2"/>
  <c r="P78" i="2" s="1"/>
  <c r="O79" i="2"/>
  <c r="P79" i="2"/>
  <c r="O80" i="2"/>
  <c r="P80" i="2" s="1"/>
  <c r="O81" i="2"/>
  <c r="P81" i="2" s="1"/>
  <c r="O82" i="2"/>
  <c r="P82" i="2" s="1"/>
  <c r="O83" i="2"/>
  <c r="P83" i="2" s="1"/>
  <c r="O84" i="2"/>
  <c r="P84" i="2" s="1"/>
  <c r="O85" i="2"/>
  <c r="P85" i="2" s="1"/>
  <c r="O86" i="2"/>
  <c r="P86" i="2" s="1"/>
  <c r="O87" i="2"/>
  <c r="P87" i="2" s="1"/>
  <c r="O88" i="2"/>
  <c r="P88" i="2" s="1"/>
  <c r="O89" i="2"/>
  <c r="P89" i="2" s="1"/>
  <c r="O90" i="2"/>
  <c r="P90" i="2" s="1"/>
  <c r="O91" i="2"/>
  <c r="P91" i="2"/>
  <c r="O92" i="2"/>
  <c r="P92" i="2" s="1"/>
  <c r="O93" i="2"/>
  <c r="P93" i="2" s="1"/>
  <c r="O94" i="2"/>
  <c r="P94" i="2" s="1"/>
  <c r="Q99" i="2"/>
  <c r="H99" i="2"/>
  <c r="Q100" i="2"/>
  <c r="H100" i="2"/>
  <c r="Q101" i="2"/>
  <c r="H101" i="2"/>
  <c r="Q102" i="2"/>
  <c r="H102" i="2"/>
  <c r="Q103" i="2"/>
  <c r="H103" i="2"/>
  <c r="Q104" i="2"/>
  <c r="H104" i="2"/>
  <c r="Q105" i="2"/>
  <c r="H105" i="2"/>
  <c r="Q106" i="2"/>
  <c r="H106" i="2"/>
  <c r="Q107" i="2"/>
  <c r="H107" i="2"/>
  <c r="Q108" i="2"/>
  <c r="H108" i="2"/>
  <c r="Q109" i="2"/>
  <c r="H109" i="2"/>
  <c r="Q110" i="2"/>
  <c r="H110" i="2"/>
  <c r="Q111" i="2"/>
  <c r="H111" i="2"/>
  <c r="Q112" i="2"/>
  <c r="H112" i="2"/>
  <c r="Q113" i="2"/>
  <c r="H113" i="2"/>
  <c r="Q114" i="2"/>
  <c r="H114" i="2"/>
  <c r="Q115" i="2"/>
  <c r="H115" i="2"/>
  <c r="Q116" i="2"/>
  <c r="H116" i="2"/>
  <c r="Q117" i="2"/>
  <c r="H117" i="2"/>
  <c r="Q118" i="2"/>
  <c r="H118" i="2"/>
  <c r="Q119" i="2"/>
  <c r="H119" i="2"/>
  <c r="Q120" i="2"/>
  <c r="H120" i="2"/>
  <c r="Q121" i="2"/>
  <c r="H121" i="2"/>
  <c r="Q122" i="2"/>
  <c r="H122" i="2"/>
  <c r="Q123" i="2"/>
  <c r="H123" i="2"/>
  <c r="E70" i="2"/>
  <c r="H37" i="2"/>
  <c r="D8" i="7" s="1"/>
  <c r="H14" i="9" s="1"/>
  <c r="F38" i="11"/>
  <c r="F39" i="11"/>
  <c r="F40" i="11"/>
  <c r="F41" i="11"/>
  <c r="F42" i="11"/>
  <c r="F43" i="11"/>
  <c r="F44" i="11"/>
  <c r="F45" i="11"/>
  <c r="F46" i="11"/>
  <c r="F47" i="11"/>
  <c r="F48" i="11"/>
  <c r="F49" i="11"/>
  <c r="F50" i="11"/>
  <c r="F51" i="11"/>
  <c r="F52" i="11"/>
  <c r="F53" i="11"/>
  <c r="F54" i="11"/>
  <c r="F55" i="11"/>
  <c r="F56" i="11"/>
  <c r="F57" i="11"/>
  <c r="F58" i="11"/>
  <c r="F59" i="11"/>
  <c r="F60" i="11"/>
  <c r="F61" i="11"/>
  <c r="F37" i="11"/>
  <c r="F9" i="11"/>
  <c r="F10" i="11"/>
  <c r="F11" i="11"/>
  <c r="F12" i="11"/>
  <c r="F13" i="11"/>
  <c r="F14" i="11"/>
  <c r="F15" i="11"/>
  <c r="F16" i="11"/>
  <c r="F17" i="11"/>
  <c r="F18" i="11"/>
  <c r="F19" i="11"/>
  <c r="F20" i="11"/>
  <c r="F21" i="11"/>
  <c r="F22" i="11"/>
  <c r="F23" i="11"/>
  <c r="F24" i="11"/>
  <c r="F25" i="11"/>
  <c r="F26" i="11"/>
  <c r="F27" i="11"/>
  <c r="F28" i="11"/>
  <c r="F29" i="11"/>
  <c r="F30" i="11"/>
  <c r="F31" i="11"/>
  <c r="F32" i="11"/>
  <c r="F8" i="11"/>
  <c r="A20" i="7"/>
  <c r="H9" i="4"/>
  <c r="H10" i="4"/>
  <c r="H11" i="4"/>
  <c r="H12" i="4"/>
  <c r="H13" i="4"/>
  <c r="H14" i="4"/>
  <c r="H15" i="4"/>
  <c r="H16" i="4"/>
  <c r="H17" i="4"/>
  <c r="H18" i="4"/>
  <c r="H19" i="4"/>
  <c r="H20" i="4"/>
  <c r="H21" i="4"/>
  <c r="H22" i="4"/>
  <c r="H23" i="4"/>
  <c r="H24" i="4"/>
  <c r="H25" i="4"/>
  <c r="H26" i="4"/>
  <c r="H27" i="4"/>
  <c r="H28" i="4"/>
  <c r="H29" i="4"/>
  <c r="H30" i="4"/>
  <c r="H31" i="4"/>
  <c r="H32" i="4"/>
  <c r="I9" i="11"/>
  <c r="I10" i="11"/>
  <c r="I11" i="11"/>
  <c r="I12" i="11"/>
  <c r="I13" i="11"/>
  <c r="I14" i="11"/>
  <c r="I15" i="11"/>
  <c r="I16" i="11"/>
  <c r="I17" i="11"/>
  <c r="I18" i="11"/>
  <c r="I19" i="11"/>
  <c r="I20" i="11"/>
  <c r="I21" i="11"/>
  <c r="I22" i="11"/>
  <c r="I23" i="11"/>
  <c r="I24" i="11"/>
  <c r="I25" i="11"/>
  <c r="I26" i="11"/>
  <c r="I27" i="11"/>
  <c r="I28" i="11"/>
  <c r="I29" i="11"/>
  <c r="I30" i="11"/>
  <c r="I31" i="11"/>
  <c r="I32" i="11"/>
  <c r="E66" i="4"/>
  <c r="G66" i="4" s="1"/>
  <c r="A16" i="7"/>
  <c r="A7" i="7"/>
  <c r="A9" i="7"/>
  <c r="A10" i="7"/>
  <c r="H95" i="2"/>
  <c r="G9" i="4"/>
  <c r="I9" i="4" s="1"/>
  <c r="G10" i="4"/>
  <c r="I10" i="4" s="1"/>
  <c r="G11" i="4"/>
  <c r="I11" i="4" s="1"/>
  <c r="G12" i="4"/>
  <c r="I12" i="4" s="1"/>
  <c r="G13" i="4"/>
  <c r="I13" i="4"/>
  <c r="G14" i="4"/>
  <c r="I14" i="4" s="1"/>
  <c r="G15" i="4"/>
  <c r="I15" i="4" s="1"/>
  <c r="G16" i="4"/>
  <c r="I16" i="4" s="1"/>
  <c r="G17" i="4"/>
  <c r="I17" i="4" s="1"/>
  <c r="G18" i="4"/>
  <c r="I18" i="4" s="1"/>
  <c r="G19" i="4"/>
  <c r="I19" i="4" s="1"/>
  <c r="G20" i="4"/>
  <c r="I20" i="4" s="1"/>
  <c r="G21" i="4"/>
  <c r="I21" i="4"/>
  <c r="G22" i="4"/>
  <c r="I22" i="4" s="1"/>
  <c r="G23" i="4"/>
  <c r="I23" i="4" s="1"/>
  <c r="G24" i="4"/>
  <c r="I24" i="4" s="1"/>
  <c r="G25" i="4"/>
  <c r="I25" i="4" s="1"/>
  <c r="G26" i="4"/>
  <c r="I26" i="4" s="1"/>
  <c r="G27" i="4"/>
  <c r="I27" i="4" s="1"/>
  <c r="G28" i="4"/>
  <c r="I28" i="4" s="1"/>
  <c r="G29" i="4"/>
  <c r="I29" i="4"/>
  <c r="G30" i="4"/>
  <c r="I30" i="4" s="1"/>
  <c r="G31" i="4"/>
  <c r="I31" i="4" s="1"/>
  <c r="G32" i="4"/>
  <c r="I32" i="4" s="1"/>
  <c r="D33" i="4"/>
  <c r="G37" i="4"/>
  <c r="H37" i="4" s="1"/>
  <c r="G38" i="4"/>
  <c r="H38" i="4" s="1"/>
  <c r="G39" i="4"/>
  <c r="H39" i="4" s="1"/>
  <c r="G40" i="4"/>
  <c r="H40" i="4" s="1"/>
  <c r="G41" i="4"/>
  <c r="H41" i="4" s="1"/>
  <c r="G42" i="4"/>
  <c r="H42" i="4"/>
  <c r="G43" i="4"/>
  <c r="H43" i="4"/>
  <c r="G44" i="4"/>
  <c r="H44" i="4"/>
  <c r="G45" i="4"/>
  <c r="H45" i="4" s="1"/>
  <c r="G46" i="4"/>
  <c r="H46" i="4" s="1"/>
  <c r="G47" i="4"/>
  <c r="H47" i="4" s="1"/>
  <c r="G48" i="4"/>
  <c r="H48" i="4" s="1"/>
  <c r="G49" i="4"/>
  <c r="H49" i="4" s="1"/>
  <c r="G50" i="4"/>
  <c r="H50" i="4"/>
  <c r="G51" i="4"/>
  <c r="H51" i="4"/>
  <c r="G52" i="4"/>
  <c r="H52" i="4"/>
  <c r="G53" i="4"/>
  <c r="H53" i="4" s="1"/>
  <c r="G54" i="4"/>
  <c r="H54" i="4" s="1"/>
  <c r="G55" i="4"/>
  <c r="H55" i="4" s="1"/>
  <c r="G56" i="4"/>
  <c r="H56" i="4" s="1"/>
  <c r="G57" i="4"/>
  <c r="H57" i="4" s="1"/>
  <c r="G58" i="4"/>
  <c r="H58" i="4"/>
  <c r="G59" i="4"/>
  <c r="H59" i="4"/>
  <c r="G60" i="4"/>
  <c r="H60" i="4"/>
  <c r="G61" i="4"/>
  <c r="H61" i="4" s="1"/>
  <c r="E67" i="4"/>
  <c r="G67" i="4" s="1"/>
  <c r="E68" i="4"/>
  <c r="G68" i="4" s="1"/>
  <c r="E69" i="4"/>
  <c r="G69" i="4" s="1"/>
  <c r="E70" i="4"/>
  <c r="G70" i="4" s="1"/>
  <c r="E71" i="4"/>
  <c r="G71" i="4" s="1"/>
  <c r="E72" i="4"/>
  <c r="G72" i="4" s="1"/>
  <c r="E73" i="4"/>
  <c r="G73" i="4" s="1"/>
  <c r="E74" i="4"/>
  <c r="G74" i="4" s="1"/>
  <c r="E75" i="4"/>
  <c r="G75" i="4" s="1"/>
  <c r="E76" i="4"/>
  <c r="G76" i="4" s="1"/>
  <c r="E77" i="4"/>
  <c r="G77" i="4" s="1"/>
  <c r="E78" i="4"/>
  <c r="G78" i="4" s="1"/>
  <c r="E79" i="4"/>
  <c r="G79" i="4" s="1"/>
  <c r="E80" i="4"/>
  <c r="G80" i="4" s="1"/>
  <c r="E81" i="4"/>
  <c r="G81" i="4" s="1"/>
  <c r="E82" i="4"/>
  <c r="G82" i="4" s="1"/>
  <c r="E83" i="4"/>
  <c r="G83" i="4" s="1"/>
  <c r="E84" i="4"/>
  <c r="G84" i="4" s="1"/>
  <c r="E85" i="4"/>
  <c r="G85" i="4" s="1"/>
  <c r="E86" i="4"/>
  <c r="G86" i="4" s="1"/>
  <c r="E87" i="4"/>
  <c r="G87" i="4" s="1"/>
  <c r="E88" i="4"/>
  <c r="G88" i="4" s="1"/>
  <c r="E89" i="4"/>
  <c r="G89" i="4" s="1"/>
  <c r="E90" i="4"/>
  <c r="G90" i="4" s="1"/>
  <c r="D91" i="4"/>
  <c r="F8" i="4"/>
  <c r="F9" i="4"/>
  <c r="F10" i="4"/>
  <c r="F11" i="4"/>
  <c r="F12" i="4"/>
  <c r="F13" i="4"/>
  <c r="F14" i="4"/>
  <c r="F15" i="4"/>
  <c r="F16" i="4"/>
  <c r="F17" i="4"/>
  <c r="F18" i="4"/>
  <c r="F19" i="4"/>
  <c r="F20" i="4"/>
  <c r="F21" i="4"/>
  <c r="F22" i="4"/>
  <c r="F23" i="4"/>
  <c r="F24" i="4"/>
  <c r="F25" i="4"/>
  <c r="F26" i="4"/>
  <c r="F27" i="4"/>
  <c r="F28" i="4"/>
  <c r="F29" i="4"/>
  <c r="F30" i="4"/>
  <c r="F31" i="4"/>
  <c r="F32" i="4"/>
  <c r="C23" i="9"/>
  <c r="C24" i="9"/>
  <c r="C25" i="9"/>
  <c r="C22" i="9"/>
  <c r="C26" i="9"/>
  <c r="D26" i="9"/>
  <c r="E99" i="2"/>
  <c r="G99" i="2"/>
  <c r="N99" i="2"/>
  <c r="J99" i="2"/>
  <c r="L99" i="2"/>
  <c r="E43" i="18"/>
  <c r="G9" i="11"/>
  <c r="H9" i="11" s="1"/>
  <c r="G10" i="11"/>
  <c r="H10" i="11" s="1"/>
  <c r="G11" i="11"/>
  <c r="H11" i="11" s="1"/>
  <c r="G12" i="11"/>
  <c r="H12" i="11"/>
  <c r="G13" i="11"/>
  <c r="H13" i="11" s="1"/>
  <c r="G14" i="11"/>
  <c r="H14" i="11" s="1"/>
  <c r="G15" i="11"/>
  <c r="H15" i="11" s="1"/>
  <c r="G16" i="11"/>
  <c r="H16" i="11"/>
  <c r="G17" i="11"/>
  <c r="H17" i="11" s="1"/>
  <c r="G18" i="11"/>
  <c r="H18" i="11" s="1"/>
  <c r="G19" i="11"/>
  <c r="H19" i="11" s="1"/>
  <c r="G20" i="11"/>
  <c r="H20" i="11"/>
  <c r="G21" i="11"/>
  <c r="H21" i="11" s="1"/>
  <c r="G22" i="11"/>
  <c r="H22" i="11" s="1"/>
  <c r="G23" i="11"/>
  <c r="H23" i="11" s="1"/>
  <c r="G24" i="11"/>
  <c r="H24" i="11" s="1"/>
  <c r="G25" i="11"/>
  <c r="H25" i="11" s="1"/>
  <c r="G26" i="11"/>
  <c r="H26" i="11" s="1"/>
  <c r="G27" i="11"/>
  <c r="H27" i="11" s="1"/>
  <c r="G28" i="11"/>
  <c r="H28" i="11"/>
  <c r="G29" i="11"/>
  <c r="H29" i="11" s="1"/>
  <c r="G30" i="11"/>
  <c r="H30" i="11" s="1"/>
  <c r="G31" i="11"/>
  <c r="H31" i="11" s="1"/>
  <c r="G32" i="11"/>
  <c r="H32" i="11"/>
  <c r="D33" i="11"/>
  <c r="G37" i="11"/>
  <c r="H37" i="11"/>
  <c r="G38" i="11"/>
  <c r="H38" i="11"/>
  <c r="G39" i="11"/>
  <c r="H39" i="11"/>
  <c r="G40" i="11"/>
  <c r="H40" i="11" s="1"/>
  <c r="G41" i="11"/>
  <c r="H41" i="11" s="1"/>
  <c r="G42" i="11"/>
  <c r="H42" i="11"/>
  <c r="G43" i="11"/>
  <c r="H43" i="11" s="1"/>
  <c r="G44" i="11"/>
  <c r="H44" i="11" s="1"/>
  <c r="G45" i="11"/>
  <c r="H45" i="11"/>
  <c r="G46" i="11"/>
  <c r="H46" i="11"/>
  <c r="G47" i="11"/>
  <c r="H47" i="11"/>
  <c r="G48" i="11"/>
  <c r="H48" i="11" s="1"/>
  <c r="G49" i="11"/>
  <c r="H49" i="11"/>
  <c r="G50" i="11"/>
  <c r="H50" i="11" s="1"/>
  <c r="G51" i="11"/>
  <c r="H51" i="11"/>
  <c r="G52" i="11"/>
  <c r="H52" i="11" s="1"/>
  <c r="G53" i="11"/>
  <c r="H53" i="11"/>
  <c r="G54" i="11"/>
  <c r="H54" i="11"/>
  <c r="G55" i="11"/>
  <c r="H55" i="11"/>
  <c r="G56" i="11"/>
  <c r="H56" i="11" s="1"/>
  <c r="G57" i="11"/>
  <c r="H57" i="11" s="1"/>
  <c r="G58" i="11"/>
  <c r="H58" i="11"/>
  <c r="G59" i="11"/>
  <c r="H59" i="11" s="1"/>
  <c r="G60" i="11"/>
  <c r="H60" i="11" s="1"/>
  <c r="G61" i="11"/>
  <c r="H61" i="11"/>
  <c r="D62" i="11"/>
  <c r="E66" i="11"/>
  <c r="G66" i="11" s="1"/>
  <c r="E67" i="11"/>
  <c r="G67" i="11"/>
  <c r="E68" i="11"/>
  <c r="G68" i="11" s="1"/>
  <c r="E69" i="11"/>
  <c r="G69" i="11" s="1"/>
  <c r="E70" i="11"/>
  <c r="G70" i="11" s="1"/>
  <c r="E71" i="11"/>
  <c r="G71" i="11" s="1"/>
  <c r="E72" i="11"/>
  <c r="G72" i="11" s="1"/>
  <c r="E73" i="11"/>
  <c r="G73" i="11" s="1"/>
  <c r="E74" i="11"/>
  <c r="G74" i="11" s="1"/>
  <c r="E75" i="11"/>
  <c r="G75" i="11"/>
  <c r="E76" i="11"/>
  <c r="G76" i="11" s="1"/>
  <c r="E77" i="11"/>
  <c r="G77" i="11" s="1"/>
  <c r="E78" i="11"/>
  <c r="G78" i="11" s="1"/>
  <c r="E79" i="11"/>
  <c r="G79" i="11"/>
  <c r="E80" i="11"/>
  <c r="G80" i="11" s="1"/>
  <c r="E81" i="11"/>
  <c r="G81" i="11" s="1"/>
  <c r="E82" i="11"/>
  <c r="G82" i="11" s="1"/>
  <c r="E83" i="11"/>
  <c r="G83" i="11"/>
  <c r="E84" i="11"/>
  <c r="G84" i="11" s="1"/>
  <c r="E85" i="11"/>
  <c r="G85" i="11" s="1"/>
  <c r="E86" i="11"/>
  <c r="G86" i="11" s="1"/>
  <c r="E87" i="11"/>
  <c r="G87" i="11" s="1"/>
  <c r="E88" i="11"/>
  <c r="G88" i="11" s="1"/>
  <c r="E89" i="11"/>
  <c r="G89" i="11" s="1"/>
  <c r="E90" i="11"/>
  <c r="G90" i="11" s="1"/>
  <c r="D91" i="11"/>
  <c r="E43" i="2"/>
  <c r="I43" i="2" s="1"/>
  <c r="J43" i="2" s="1"/>
  <c r="E44" i="2"/>
  <c r="G43" i="2"/>
  <c r="G44" i="2"/>
  <c r="G8" i="2"/>
  <c r="E8" i="2"/>
  <c r="F37" i="4"/>
  <c r="E12" i="2"/>
  <c r="G12" i="2"/>
  <c r="E13" i="2"/>
  <c r="G13" i="2"/>
  <c r="E14" i="2"/>
  <c r="I14" i="2" s="1"/>
  <c r="J14" i="2" s="1"/>
  <c r="G14" i="2"/>
  <c r="E15" i="2"/>
  <c r="I15" i="2" s="1"/>
  <c r="J15" i="2" s="1"/>
  <c r="G15" i="2"/>
  <c r="E16" i="2"/>
  <c r="G16" i="2"/>
  <c r="E41" i="2"/>
  <c r="G41" i="2"/>
  <c r="E42" i="2"/>
  <c r="G42" i="2"/>
  <c r="G70" i="2"/>
  <c r="J70" i="2"/>
  <c r="L70" i="2"/>
  <c r="O70" i="2" s="1"/>
  <c r="P70" i="2" s="1"/>
  <c r="E71" i="2"/>
  <c r="G71" i="2"/>
  <c r="J71" i="2"/>
  <c r="L71" i="2"/>
  <c r="N71" i="2"/>
  <c r="O71" i="2" s="1"/>
  <c r="P71" i="2" s="1"/>
  <c r="E72" i="2"/>
  <c r="G72" i="2"/>
  <c r="J72" i="2"/>
  <c r="L72" i="2"/>
  <c r="N72" i="2"/>
  <c r="N73" i="2"/>
  <c r="O73" i="2" s="1"/>
  <c r="P73" i="2" s="1"/>
  <c r="C100" i="2"/>
  <c r="C101" i="2"/>
  <c r="C102" i="2"/>
  <c r="C103" i="2"/>
  <c r="C104" i="2"/>
  <c r="C105" i="2"/>
  <c r="C106" i="2"/>
  <c r="C107" i="2"/>
  <c r="C108" i="2"/>
  <c r="C109" i="2"/>
  <c r="C110" i="2"/>
  <c r="C111" i="2"/>
  <c r="C112" i="2"/>
  <c r="C113" i="2"/>
  <c r="C114" i="2"/>
  <c r="C115" i="2"/>
  <c r="C116" i="2"/>
  <c r="C117" i="2"/>
  <c r="C118" i="2"/>
  <c r="C119" i="2"/>
  <c r="C120" i="2"/>
  <c r="C121" i="2"/>
  <c r="C122" i="2"/>
  <c r="C123" i="2"/>
  <c r="E10" i="7"/>
  <c r="E17" i="2"/>
  <c r="G17" i="2"/>
  <c r="E18" i="2"/>
  <c r="G18" i="2"/>
  <c r="E19" i="2"/>
  <c r="G19" i="2"/>
  <c r="E20" i="2"/>
  <c r="G20" i="2"/>
  <c r="E21" i="2"/>
  <c r="G21" i="2"/>
  <c r="E22" i="2"/>
  <c r="G22" i="2"/>
  <c r="E23" i="2"/>
  <c r="G23" i="2"/>
  <c r="E24" i="2"/>
  <c r="G24" i="2"/>
  <c r="E25" i="2"/>
  <c r="G25" i="2"/>
  <c r="E26" i="2"/>
  <c r="G26" i="2"/>
  <c r="E27" i="2"/>
  <c r="G27" i="2"/>
  <c r="E28" i="2"/>
  <c r="G28" i="2"/>
  <c r="E29" i="2"/>
  <c r="G29" i="2"/>
  <c r="E30" i="2"/>
  <c r="G30" i="2"/>
  <c r="E31" i="2"/>
  <c r="G31" i="2"/>
  <c r="E32" i="2"/>
  <c r="G32" i="2"/>
  <c r="E33" i="2"/>
  <c r="G33" i="2"/>
  <c r="E34" i="2"/>
  <c r="G34" i="2"/>
  <c r="E35" i="2"/>
  <c r="G35" i="2"/>
  <c r="E36" i="2"/>
  <c r="G36" i="2"/>
  <c r="E45" i="2"/>
  <c r="G45" i="2"/>
  <c r="E46" i="2"/>
  <c r="G46" i="2"/>
  <c r="E47" i="2"/>
  <c r="G47" i="2"/>
  <c r="E48" i="2"/>
  <c r="G48" i="2"/>
  <c r="E49" i="2"/>
  <c r="G49" i="2"/>
  <c r="E50" i="2"/>
  <c r="G50" i="2"/>
  <c r="E51" i="2"/>
  <c r="G51" i="2"/>
  <c r="E52" i="2"/>
  <c r="G52" i="2"/>
  <c r="E53" i="2"/>
  <c r="G53" i="2"/>
  <c r="E54" i="2"/>
  <c r="G54" i="2"/>
  <c r="E55" i="2"/>
  <c r="G55" i="2"/>
  <c r="E56" i="2"/>
  <c r="G56" i="2"/>
  <c r="E57" i="2"/>
  <c r="G57" i="2"/>
  <c r="E58" i="2"/>
  <c r="G58" i="2"/>
  <c r="E59" i="2"/>
  <c r="G59" i="2"/>
  <c r="E60" i="2"/>
  <c r="G60" i="2"/>
  <c r="E61" i="2"/>
  <c r="G61" i="2"/>
  <c r="E62" i="2"/>
  <c r="G62" i="2"/>
  <c r="E63" i="2"/>
  <c r="G63" i="2"/>
  <c r="E64" i="2"/>
  <c r="G64" i="2"/>
  <c r="E65" i="2"/>
  <c r="G65" i="2"/>
  <c r="E73" i="2"/>
  <c r="G73" i="2"/>
  <c r="J73" i="2"/>
  <c r="L73" i="2"/>
  <c r="E74" i="2"/>
  <c r="G74" i="2"/>
  <c r="J74" i="2"/>
  <c r="L74" i="2"/>
  <c r="N74" i="2"/>
  <c r="O74" i="2" s="1"/>
  <c r="P74" i="2" s="1"/>
  <c r="E75" i="2"/>
  <c r="G75" i="2"/>
  <c r="J75" i="2"/>
  <c r="L75" i="2"/>
  <c r="N75" i="2"/>
  <c r="O75" i="2" s="1"/>
  <c r="P75" i="2" s="1"/>
  <c r="E76" i="2"/>
  <c r="G76" i="2"/>
  <c r="J76" i="2"/>
  <c r="L76" i="2"/>
  <c r="N76" i="2"/>
  <c r="O76" i="2" s="1"/>
  <c r="P76" i="2" s="1"/>
  <c r="E77" i="2"/>
  <c r="G77" i="2"/>
  <c r="J77" i="2"/>
  <c r="L77" i="2"/>
  <c r="N77" i="2"/>
  <c r="E78" i="2"/>
  <c r="G78" i="2"/>
  <c r="J78" i="2"/>
  <c r="L78" i="2"/>
  <c r="N78" i="2"/>
  <c r="E79" i="2"/>
  <c r="G79" i="2"/>
  <c r="J79" i="2"/>
  <c r="L79" i="2"/>
  <c r="N79" i="2"/>
  <c r="E80" i="2"/>
  <c r="G80" i="2"/>
  <c r="J80" i="2"/>
  <c r="L80" i="2"/>
  <c r="N80" i="2"/>
  <c r="E81" i="2"/>
  <c r="G81" i="2"/>
  <c r="J81" i="2"/>
  <c r="L81" i="2"/>
  <c r="N81" i="2"/>
  <c r="E82" i="2"/>
  <c r="G82" i="2"/>
  <c r="J82" i="2"/>
  <c r="L82" i="2"/>
  <c r="N82" i="2"/>
  <c r="E83" i="2"/>
  <c r="G83" i="2"/>
  <c r="J83" i="2"/>
  <c r="L83" i="2"/>
  <c r="N83" i="2"/>
  <c r="E84" i="2"/>
  <c r="G84" i="2"/>
  <c r="J84" i="2"/>
  <c r="L84" i="2"/>
  <c r="N84" i="2"/>
  <c r="E85" i="2"/>
  <c r="G85" i="2"/>
  <c r="J85" i="2"/>
  <c r="L85" i="2"/>
  <c r="N85" i="2"/>
  <c r="E86" i="2"/>
  <c r="G86" i="2"/>
  <c r="J86" i="2"/>
  <c r="L86" i="2"/>
  <c r="N86" i="2"/>
  <c r="E87" i="2"/>
  <c r="G87" i="2"/>
  <c r="J87" i="2"/>
  <c r="L87" i="2"/>
  <c r="N87" i="2"/>
  <c r="E88" i="2"/>
  <c r="G88" i="2"/>
  <c r="J88" i="2"/>
  <c r="L88" i="2"/>
  <c r="N88" i="2"/>
  <c r="E89" i="2"/>
  <c r="G89" i="2"/>
  <c r="J89" i="2"/>
  <c r="L89" i="2"/>
  <c r="N89" i="2"/>
  <c r="E90" i="2"/>
  <c r="G90" i="2"/>
  <c r="J90" i="2"/>
  <c r="L90" i="2"/>
  <c r="N90" i="2"/>
  <c r="E91" i="2"/>
  <c r="G91" i="2"/>
  <c r="J91" i="2"/>
  <c r="L91" i="2"/>
  <c r="N91" i="2"/>
  <c r="E92" i="2"/>
  <c r="G92" i="2"/>
  <c r="J92" i="2"/>
  <c r="L92" i="2"/>
  <c r="N92" i="2"/>
  <c r="E93" i="2"/>
  <c r="G93" i="2"/>
  <c r="J93" i="2"/>
  <c r="L93" i="2"/>
  <c r="N93" i="2"/>
  <c r="E94" i="2"/>
  <c r="G94" i="2"/>
  <c r="J94" i="2"/>
  <c r="L94" i="2"/>
  <c r="N94" i="2"/>
  <c r="E100" i="2"/>
  <c r="G100" i="2"/>
  <c r="J100" i="2"/>
  <c r="L100" i="2"/>
  <c r="N100" i="2"/>
  <c r="E101" i="2"/>
  <c r="G101" i="2"/>
  <c r="J101" i="2"/>
  <c r="L101" i="2"/>
  <c r="N101" i="2"/>
  <c r="E102" i="2"/>
  <c r="G102" i="2"/>
  <c r="J102" i="2"/>
  <c r="L102" i="2"/>
  <c r="N102" i="2"/>
  <c r="E103" i="2"/>
  <c r="G103" i="2"/>
  <c r="J103" i="2"/>
  <c r="L103" i="2"/>
  <c r="N103" i="2"/>
  <c r="E104" i="2"/>
  <c r="G104" i="2"/>
  <c r="J104" i="2"/>
  <c r="L104" i="2"/>
  <c r="N104" i="2"/>
  <c r="E105" i="2"/>
  <c r="G105" i="2"/>
  <c r="J105" i="2"/>
  <c r="L105" i="2"/>
  <c r="N105" i="2"/>
  <c r="E106" i="2"/>
  <c r="G106" i="2"/>
  <c r="J106" i="2"/>
  <c r="L106" i="2"/>
  <c r="N106" i="2"/>
  <c r="E107" i="2"/>
  <c r="G107" i="2"/>
  <c r="J107" i="2"/>
  <c r="L107" i="2"/>
  <c r="N107" i="2"/>
  <c r="E108" i="2"/>
  <c r="G108" i="2"/>
  <c r="J108" i="2"/>
  <c r="L108" i="2"/>
  <c r="N108" i="2"/>
  <c r="E109" i="2"/>
  <c r="G109" i="2"/>
  <c r="J109" i="2"/>
  <c r="L109" i="2"/>
  <c r="N109" i="2"/>
  <c r="E110" i="2"/>
  <c r="G110" i="2"/>
  <c r="J110" i="2"/>
  <c r="L110" i="2"/>
  <c r="N110" i="2"/>
  <c r="E111" i="2"/>
  <c r="G111" i="2"/>
  <c r="J111" i="2"/>
  <c r="L111" i="2"/>
  <c r="N111" i="2"/>
  <c r="E112" i="2"/>
  <c r="G112" i="2"/>
  <c r="J112" i="2"/>
  <c r="L112" i="2"/>
  <c r="N112" i="2"/>
  <c r="E113" i="2"/>
  <c r="G113" i="2"/>
  <c r="J113" i="2"/>
  <c r="L113" i="2"/>
  <c r="N113" i="2"/>
  <c r="E114" i="2"/>
  <c r="G114" i="2"/>
  <c r="J114" i="2"/>
  <c r="L114" i="2"/>
  <c r="N114" i="2"/>
  <c r="E115" i="2"/>
  <c r="G115" i="2"/>
  <c r="J115" i="2"/>
  <c r="L115" i="2"/>
  <c r="N115" i="2"/>
  <c r="E116" i="2"/>
  <c r="G116" i="2"/>
  <c r="J116" i="2"/>
  <c r="L116" i="2"/>
  <c r="N116" i="2"/>
  <c r="E117" i="2"/>
  <c r="G117" i="2"/>
  <c r="J117" i="2"/>
  <c r="L117" i="2"/>
  <c r="N117" i="2"/>
  <c r="E118" i="2"/>
  <c r="G118" i="2"/>
  <c r="J118" i="2"/>
  <c r="L118" i="2"/>
  <c r="N118" i="2"/>
  <c r="E119" i="2"/>
  <c r="G119" i="2"/>
  <c r="J119" i="2"/>
  <c r="L119" i="2"/>
  <c r="N119" i="2"/>
  <c r="E120" i="2"/>
  <c r="G120" i="2"/>
  <c r="J120" i="2"/>
  <c r="L120" i="2"/>
  <c r="N120" i="2"/>
  <c r="E121" i="2"/>
  <c r="G121" i="2"/>
  <c r="J121" i="2"/>
  <c r="L121" i="2"/>
  <c r="N121" i="2"/>
  <c r="E122" i="2"/>
  <c r="G122" i="2"/>
  <c r="J122" i="2"/>
  <c r="L122" i="2"/>
  <c r="N122" i="2"/>
  <c r="E123" i="2"/>
  <c r="G123" i="2"/>
  <c r="J123" i="2"/>
  <c r="L123" i="2"/>
  <c r="N123" i="2"/>
  <c r="F38" i="4"/>
  <c r="F39" i="4"/>
  <c r="F40" i="4"/>
  <c r="F41" i="4"/>
  <c r="F42" i="4"/>
  <c r="F43" i="4"/>
  <c r="F44" i="4"/>
  <c r="F45" i="4"/>
  <c r="F46" i="4"/>
  <c r="F47" i="4"/>
  <c r="F48" i="4"/>
  <c r="F49" i="4"/>
  <c r="F50" i="4"/>
  <c r="F51" i="4"/>
  <c r="F52" i="4"/>
  <c r="F53" i="4"/>
  <c r="F54" i="4"/>
  <c r="F55" i="4"/>
  <c r="F56" i="4"/>
  <c r="F57" i="4"/>
  <c r="F58" i="4"/>
  <c r="F59" i="4"/>
  <c r="F60" i="4"/>
  <c r="F61" i="4"/>
  <c r="D62" i="4"/>
  <c r="H66" i="2"/>
  <c r="H8" i="4"/>
  <c r="G8" i="11"/>
  <c r="H8" i="11" s="1"/>
  <c r="I8" i="11"/>
  <c r="G8" i="4"/>
  <c r="I8" i="4" s="1"/>
  <c r="I8" i="2"/>
  <c r="C99" i="2"/>
  <c r="O72" i="2" l="1"/>
  <c r="P72" i="2" s="1"/>
  <c r="P95" i="2" s="1"/>
  <c r="O95" i="2" s="1"/>
  <c r="D128" i="2" s="1"/>
  <c r="I46" i="2"/>
  <c r="J46" i="2" s="1"/>
  <c r="I17" i="2"/>
  <c r="J17" i="2" s="1"/>
  <c r="I12" i="2"/>
  <c r="J12" i="2" s="1"/>
  <c r="I42" i="2"/>
  <c r="J42" i="2" s="1"/>
  <c r="I41" i="2"/>
  <c r="J41" i="2" s="1"/>
  <c r="I13" i="2"/>
  <c r="J13" i="2" s="1"/>
  <c r="A40" i="9"/>
  <c r="O115" i="2"/>
  <c r="P115" i="2" s="1"/>
  <c r="O113" i="2"/>
  <c r="P113" i="2" s="1"/>
  <c r="O99" i="2"/>
  <c r="P99" i="2" s="1"/>
  <c r="O112" i="2"/>
  <c r="P112" i="2" s="1"/>
  <c r="O102" i="2"/>
  <c r="P102" i="2" s="1"/>
  <c r="O122" i="2"/>
  <c r="P122" i="2" s="1"/>
  <c r="O118" i="2"/>
  <c r="P118" i="2" s="1"/>
  <c r="O110" i="2"/>
  <c r="P110" i="2" s="1"/>
  <c r="O108" i="2"/>
  <c r="P108" i="2" s="1"/>
  <c r="O106" i="2"/>
  <c r="P106" i="2" s="1"/>
  <c r="O120" i="2"/>
  <c r="P120" i="2" s="1"/>
  <c r="O107" i="2"/>
  <c r="P107" i="2" s="1"/>
  <c r="O105" i="2"/>
  <c r="P105" i="2" s="1"/>
  <c r="O100" i="2"/>
  <c r="P100" i="2" s="1"/>
  <c r="O123" i="2"/>
  <c r="P123" i="2" s="1"/>
  <c r="O121" i="2"/>
  <c r="P121" i="2" s="1"/>
  <c r="O116" i="2"/>
  <c r="P116" i="2" s="1"/>
  <c r="O114" i="2"/>
  <c r="P114" i="2" s="1"/>
  <c r="O104" i="2"/>
  <c r="P104" i="2" s="1"/>
  <c r="Q124" i="2"/>
  <c r="F62" i="4"/>
  <c r="F33" i="4"/>
  <c r="O119" i="2"/>
  <c r="P119" i="2" s="1"/>
  <c r="O111" i="2"/>
  <c r="P111" i="2" s="1"/>
  <c r="O103" i="2"/>
  <c r="P103" i="2" s="1"/>
  <c r="F33" i="11"/>
  <c r="F62" i="11"/>
  <c r="O117" i="2"/>
  <c r="P117" i="2" s="1"/>
  <c r="O109" i="2"/>
  <c r="P109" i="2" s="1"/>
  <c r="O101" i="2"/>
  <c r="P101" i="2" s="1"/>
  <c r="C124" i="2"/>
  <c r="H62" i="11"/>
  <c r="G91" i="11"/>
  <c r="E91" i="11" s="1"/>
  <c r="D95" i="11" s="1"/>
  <c r="G91" i="4"/>
  <c r="E91" i="4" s="1"/>
  <c r="D95" i="4" s="1"/>
  <c r="I33" i="4"/>
  <c r="G33" i="4" s="1"/>
  <c r="B95" i="4" s="1"/>
  <c r="H33" i="11"/>
  <c r="G33" i="11" s="1"/>
  <c r="B95" i="11" s="1"/>
  <c r="H62" i="4"/>
  <c r="A8" i="7"/>
  <c r="H15" i="9"/>
  <c r="G62" i="4" l="1"/>
  <c r="C95" i="4" s="1"/>
  <c r="J37" i="2"/>
  <c r="I37" i="2" s="1"/>
  <c r="B128" i="2" s="1"/>
  <c r="A31" i="9" s="1"/>
  <c r="J66" i="2"/>
  <c r="P124" i="2"/>
  <c r="O124" i="2" s="1"/>
  <c r="F128" i="2" s="1"/>
  <c r="I37" i="9"/>
  <c r="E31" i="9"/>
  <c r="E95" i="4"/>
  <c r="G37" i="9"/>
  <c r="C31" i="9"/>
  <c r="G62" i="11"/>
  <c r="G27" i="9"/>
  <c r="I66" i="2" l="1"/>
  <c r="C128" i="2" s="1"/>
  <c r="H128" i="2" s="1"/>
  <c r="A34" i="9" s="1"/>
  <c r="E24" i="7" s="1"/>
  <c r="F23" i="7"/>
  <c r="G24" i="9" s="1"/>
  <c r="A14" i="7"/>
  <c r="D14" i="7"/>
  <c r="C95" i="11"/>
  <c r="E95" i="11" s="1"/>
  <c r="E34" i="9" s="1"/>
  <c r="G24" i="7" s="1"/>
  <c r="I27" i="9"/>
  <c r="I18" i="9"/>
  <c r="G23" i="7"/>
  <c r="I24" i="9" s="1"/>
  <c r="G18" i="9"/>
  <c r="G21" i="9" s="1"/>
  <c r="E23" i="7"/>
  <c r="A37" i="9" l="1"/>
  <c r="E25" i="7" s="1"/>
  <c r="I128" i="2" s="1"/>
  <c r="A12" i="7"/>
  <c r="D12" i="7"/>
  <c r="E12" i="7"/>
  <c r="I30" i="9"/>
  <c r="D17" i="7"/>
  <c r="A17" i="7" s="1"/>
  <c r="D13" i="7"/>
  <c r="A13" i="7" s="1"/>
  <c r="G30" i="9"/>
  <c r="A18" i="7"/>
  <c r="D18" i="7"/>
  <c r="E11" i="7"/>
  <c r="D11" i="7"/>
  <c r="A11" i="7"/>
  <c r="D19" i="7" l="1"/>
  <c r="E37" i="9"/>
  <c r="G25" i="7" s="1"/>
  <c r="G95" i="11" s="1"/>
  <c r="I19" i="7"/>
  <c r="A19" i="7"/>
  <c r="A15" i="7"/>
  <c r="D15" i="7"/>
  <c r="C37" i="9"/>
  <c r="F25" i="7" s="1"/>
  <c r="G95" i="4" s="1"/>
  <c r="I15" i="7"/>
  <c r="C34" i="9"/>
  <c r="F24" i="7" s="1"/>
  <c r="A21" i="7" l="1"/>
  <c r="D14" i="9" s="1"/>
  <c r="F27" i="7" s="1"/>
  <c r="D17" i="9" s="1"/>
  <c r="G27" i="7" s="1"/>
  <c r="G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Holden</author>
  </authors>
  <commentList>
    <comment ref="C11" authorId="0" shapeId="0" xr:uid="{8D1E477C-58F4-4CBA-9B6A-4B5AA97A6031}">
      <text>
        <r>
          <rPr>
            <sz val="9"/>
            <color indexed="81"/>
            <rFont val="Tahoma"/>
            <family val="2"/>
          </rPr>
          <t>Habitat types can be found in Guidance Note 36 - Appendix C. Either the Phase 1 types or Defra 2012b types should be used.</t>
        </r>
      </text>
    </comment>
    <comment ref="H11" authorId="0" shapeId="0" xr:uid="{154DFC75-440C-4C54-A606-292C02839AD2}">
      <text>
        <r>
          <rPr>
            <sz val="9"/>
            <color indexed="81"/>
            <rFont val="Tahoma"/>
            <family val="2"/>
          </rPr>
          <t>If enhancement of any habitats is to take place, ensure that the Pre Development parcel corresponds to the area to be enhanced.</t>
        </r>
      </text>
    </comment>
    <comment ref="H98" authorId="0" shapeId="0" xr:uid="{21DEB78F-94FE-429A-9ED9-7CDEAF3D6B29}">
      <text>
        <r>
          <rPr>
            <sz val="9"/>
            <color indexed="81"/>
            <rFont val="Tahoma"/>
            <family val="2"/>
          </rPr>
          <t>This value is set in the corresponding Pre Development parcel number, therefore the Pre Development parcel should comprise only the area to be enhanced.</t>
        </r>
      </text>
    </comment>
  </commentList>
</comments>
</file>

<file path=xl/sharedStrings.xml><?xml version="1.0" encoding="utf-8"?>
<sst xmlns="http://schemas.openxmlformats.org/spreadsheetml/2006/main" count="327" uniqueCount="183">
  <si>
    <t xml:space="preserve">BREEAM, CEEQUAL &amp; HQM Change in Ecological Value Calculator </t>
  </si>
  <si>
    <t>Version</t>
  </si>
  <si>
    <t>BREEAM, CEEQUAL &amp; HQM Change in Ecolgical Value Calculator</t>
  </si>
  <si>
    <t>NB: All assessment details below must be completed before result will be given</t>
  </si>
  <si>
    <t>Site Name</t>
  </si>
  <si>
    <t>Naylor-Whaley Road</t>
  </si>
  <si>
    <t>Development Footprint Area</t>
  </si>
  <si>
    <t>Unit of Area</t>
  </si>
  <si>
    <t>Square Metres</t>
  </si>
  <si>
    <t>Note: Must be applied consistently throughout the assessment</t>
  </si>
  <si>
    <t>Have statutory obligations been met?</t>
  </si>
  <si>
    <t>Yes</t>
  </si>
  <si>
    <t>Is Area Based Habitat Pre Development Biodiversity Unit score 0?</t>
  </si>
  <si>
    <t>If 5 is "Yes", what percentage of Development Footprint does habitat created, that's distinctiveness is not 0, cover?</t>
  </si>
  <si>
    <t>Are any Linear (Watercourse) Habitats present Pre Development?</t>
  </si>
  <si>
    <t>If yes, are all habitats present in "Good" condition Pre Development and remain untouched throughout development?</t>
  </si>
  <si>
    <t>Note: If 7 and 8 are both "Yes", or 7 is "No" then Linear (Watercourse) habitats can be filtered out for the purpose of credit award</t>
  </si>
  <si>
    <t>Can Linear (Watercourse) Habitats be filtered out?</t>
  </si>
  <si>
    <t xml:space="preserve">Check this cell before selecting from the drop down menu, 10, below. </t>
  </si>
  <si>
    <t>If applicable, should Linear (Watercourse) Habitats be filtered out?</t>
  </si>
  <si>
    <t xml:space="preserve">Note: No should only be selected where new habitat is created and reward is sought for this creation. It is automatically filtered if none of the specified habitat is present Pre or Post Development. </t>
  </si>
  <si>
    <t>Are any Linear (Foliage) Habitats present Pre Development?</t>
  </si>
  <si>
    <t>If yes, are all habitats present in "Good" condition Pre Development and remain untouched throught development?</t>
  </si>
  <si>
    <t>Note: If 11 and 12 are both "Yes", or 11  is "No" then Linear (Watercourse) habitats can be filtered out for the purpose of credit award</t>
  </si>
  <si>
    <t>Can Linear (Foliage) Habitats be filtered out?</t>
  </si>
  <si>
    <t xml:space="preserve">Check this cell before selecting from the drop down menu, 14, below. </t>
  </si>
  <si>
    <t>If applicable, should Linear (Foliage) Habitats be filtered out?</t>
  </si>
  <si>
    <t>Note: No should only be selected where new habitat is created and reward is sought for this creation. It is automatically filtered if none of the specified habitat is present Pre or Post Development</t>
  </si>
  <si>
    <t>Area Based Habitats</t>
  </si>
  <si>
    <t>Linear (Watercourse) Habitats</t>
  </si>
  <si>
    <t>Linear (Foliage) Habitats</t>
  </si>
  <si>
    <t>Pre Development</t>
  </si>
  <si>
    <t>Post Development</t>
  </si>
  <si>
    <t>Post Development % of Pre Development</t>
  </si>
  <si>
    <t>Total Post Development % of Pre Development (Lowest Score)</t>
  </si>
  <si>
    <t>BREEAM, CEEQUAL &amp; HQM Change in Ecological Value Calculator</t>
  </si>
  <si>
    <t xml:space="preserve">Example </t>
  </si>
  <si>
    <t>Parcel Number</t>
  </si>
  <si>
    <t xml:space="preserve">Habitat Type </t>
  </si>
  <si>
    <t>Distinctiveness</t>
  </si>
  <si>
    <t>Distinctiveness Score</t>
  </si>
  <si>
    <t>Condition</t>
  </si>
  <si>
    <t>Condition Score</t>
  </si>
  <si>
    <r>
      <t>Area (ha or m</t>
    </r>
    <r>
      <rPr>
        <vertAlign val="superscript"/>
        <sz val="11"/>
        <color theme="0"/>
        <rFont val="Calibri"/>
        <family val="2"/>
        <scheme val="minor"/>
      </rPr>
      <t>2</t>
    </r>
    <r>
      <rPr>
        <sz val="11"/>
        <color theme="0"/>
        <rFont val="Calibri"/>
        <family val="2"/>
        <scheme val="minor"/>
      </rPr>
      <t>)</t>
    </r>
  </si>
  <si>
    <t>Biodiversity Units</t>
  </si>
  <si>
    <t>B1.1</t>
  </si>
  <si>
    <t>High</t>
  </si>
  <si>
    <t>Moderate</t>
  </si>
  <si>
    <t>Area Based Habitat Pre Development</t>
  </si>
  <si>
    <t>A1.1.1</t>
  </si>
  <si>
    <t>Medium</t>
  </si>
  <si>
    <t>Poor</t>
  </si>
  <si>
    <t>C3.1</t>
  </si>
  <si>
    <t>Low</t>
  </si>
  <si>
    <t>J3.6</t>
  </si>
  <si>
    <t>Hard Standing or Building</t>
  </si>
  <si>
    <t>J4</t>
  </si>
  <si>
    <t>M1</t>
  </si>
  <si>
    <t>J2.6</t>
  </si>
  <si>
    <t>Total</t>
  </si>
  <si>
    <t>Area Based Habitat Lost</t>
  </si>
  <si>
    <t>Habitat Type</t>
  </si>
  <si>
    <t>Area Based Habitat Created</t>
  </si>
  <si>
    <t>Delivery Risk</t>
  </si>
  <si>
    <t>Delivery Risk Factor</t>
  </si>
  <si>
    <t xml:space="preserve">Temporal Risk </t>
  </si>
  <si>
    <t>Temporal Risk Factor</t>
  </si>
  <si>
    <t>Spatial Risk</t>
  </si>
  <si>
    <t>Spatial Risk Factor</t>
  </si>
  <si>
    <t>B2.2</t>
  </si>
  <si>
    <t>Not making a contribution to local strategy</t>
  </si>
  <si>
    <t>Area Based Habitat Enhanced</t>
  </si>
  <si>
    <t>Pre Dev Parcel Number</t>
  </si>
  <si>
    <t>Pre Dev 
Biodiversity Units</t>
  </si>
  <si>
    <r>
      <t>Area Enhanced (ha or m</t>
    </r>
    <r>
      <rPr>
        <vertAlign val="superscript"/>
        <sz val="11"/>
        <color theme="0"/>
        <rFont val="Calibri"/>
        <family val="2"/>
        <scheme val="minor"/>
      </rPr>
      <t>2</t>
    </r>
    <r>
      <rPr>
        <sz val="11"/>
        <color theme="0"/>
        <rFont val="Calibri"/>
        <family val="2"/>
        <scheme val="minor"/>
      </rPr>
      <t>)</t>
    </r>
  </si>
  <si>
    <t>Biodiversity Units due to Enhancement</t>
  </si>
  <si>
    <t>Total Post Development Area Biodiversity Units</t>
  </si>
  <si>
    <t>Pre Development Area 
Biodiversity Units</t>
  </si>
  <si>
    <t>Area Based 
Units Lost</t>
  </si>
  <si>
    <t>Area Based Units
(Creation)</t>
  </si>
  <si>
    <t>Column1</t>
  </si>
  <si>
    <t>Area Based Units 
(Enhancement)</t>
  </si>
  <si>
    <t>Column2</t>
  </si>
  <si>
    <t>Total Post Development 
Area Biodiversity Units</t>
  </si>
  <si>
    <t>Biodiversity Unit Score</t>
  </si>
  <si>
    <t>Linear (Watercourse) Based Habitat Pre Development</t>
  </si>
  <si>
    <t>Length (m)</t>
  </si>
  <si>
    <t>Linear (Watercourse) Based Habitat Lost</t>
  </si>
  <si>
    <t>Linear (Watercourse) Based Habitat Created or Enhanced</t>
  </si>
  <si>
    <t>Total Post Development Linear (Watercourse) Biodiversity Units</t>
  </si>
  <si>
    <t>Pre Development Linear 
(Watercourse) Biodiversity Units</t>
  </si>
  <si>
    <t>Linear (Watercourse) 
Units Lost</t>
  </si>
  <si>
    <t>Linear (Watercourse) Units 
Created and/or Enhanced</t>
  </si>
  <si>
    <t>Total Post Development Linear 
(Watercourse) Biodiversity Units</t>
  </si>
  <si>
    <t>Linear (Foliage) Based Habitat Pre Development</t>
  </si>
  <si>
    <t>Linear (Foliage) Based Habitat Lost</t>
  </si>
  <si>
    <t>Linear (Foliage) Based Habitat Created or Enhanced</t>
  </si>
  <si>
    <t>J2.1.1 Native species rich hedgerow</t>
  </si>
  <si>
    <t>Total Post Development Linear (Foliage) Biodiversity Units</t>
  </si>
  <si>
    <t>Pre Development Linear 
(Foliage) Biodiversity Units</t>
  </si>
  <si>
    <t>Linear (Foliage) 
Units Lost</t>
  </si>
  <si>
    <t>Linear (Foliage) Units 
Created and/or Enhanced</t>
  </si>
  <si>
    <t>Total Post Development Linear 
(Foliage) Biodiversity Units</t>
  </si>
  <si>
    <t>Credits or Points Awarded</t>
  </si>
  <si>
    <t>Scheme</t>
  </si>
  <si>
    <t>Less than 75%</t>
  </si>
  <si>
    <t>Between 76% &amp; 94%</t>
  </si>
  <si>
    <t>Between 95% &amp; 104%</t>
  </si>
  <si>
    <t>Between 105% &amp; 109%</t>
  </si>
  <si>
    <t>110% and above</t>
  </si>
  <si>
    <t>BREEAM UK New Construction 2018</t>
  </si>
  <si>
    <t>1 (Exemplary Level Credit)</t>
  </si>
  <si>
    <t>Home Quality Mark One</t>
  </si>
  <si>
    <t>BREEAM, CEEQUAL &amp; HQM Change In Ecological Value Calculator</t>
  </si>
  <si>
    <t>Release Date</t>
  </si>
  <si>
    <t>Description of changes/additions made to the BREEAM, CEEQUAL &amp; HQM Change In Ecological Value Calculator</t>
  </si>
  <si>
    <t>Current version</t>
  </si>
  <si>
    <t>Area calculation error fixed to deal with zero biodiversity units present Pre Development</t>
  </si>
  <si>
    <t>Previous version</t>
  </si>
  <si>
    <t>Area calculation error fixed</t>
  </si>
  <si>
    <t>Area enhancement rounding inconsistency fixed, scoring calculation changed to correctly deal with zero area scenarios</t>
  </si>
  <si>
    <t>Updated logic to allow Linear Watercourse filter to be overridden and to allow Linear Foliage to be filtered</t>
  </si>
  <si>
    <t>Area enhancement calculation error fixed</t>
  </si>
  <si>
    <t>Initial release version of BREEAM, CEEQUAL &amp; HQM Change in Ecological Value Calculator</t>
  </si>
  <si>
    <t>Score</t>
  </si>
  <si>
    <t>Risk Factor</t>
  </si>
  <si>
    <t>Temporal Risk</t>
  </si>
  <si>
    <t>Location of Habitat Creation or Enhancement</t>
  </si>
  <si>
    <t>Good</t>
  </si>
  <si>
    <t>Very High</t>
  </si>
  <si>
    <t>Within 500m of the area of loss or in same ecological network</t>
  </si>
  <si>
    <t>Contributes to and is in a location 
identified within a local strategy</t>
  </si>
  <si>
    <t>Answer Options</t>
  </si>
  <si>
    <t>Answer Options (Area)</t>
  </si>
  <si>
    <t>Hectares</t>
  </si>
  <si>
    <t>No</t>
  </si>
  <si>
    <t>&gt;30</t>
  </si>
  <si>
    <t>Credit Table - Not Currently Used</t>
  </si>
  <si>
    <t>Calc Score</t>
  </si>
  <si>
    <t>Area Threshold</t>
  </si>
  <si>
    <t>Area</t>
  </si>
  <si>
    <t>Category</t>
  </si>
  <si>
    <t>Credits</t>
  </si>
  <si>
    <t>Minimising Loss</t>
  </si>
  <si>
    <t>No Net Loss</t>
  </si>
  <si>
    <t>Final Score</t>
  </si>
  <si>
    <t>Net Gain</t>
  </si>
  <si>
    <t>Area 0 - Water</t>
  </si>
  <si>
    <t>Area 0 - Foliage</t>
  </si>
  <si>
    <t>Significant Net Gain</t>
  </si>
  <si>
    <t>Error Messages</t>
  </si>
  <si>
    <t>Cumulative</t>
  </si>
  <si>
    <t>Award Calc</t>
  </si>
  <si>
    <t>Marginal</t>
  </si>
  <si>
    <t>Area Created</t>
  </si>
  <si>
    <t>Error - Biodiversity Units lost cannot exceed Pre Development Biodiversity Units</t>
  </si>
  <si>
    <t>Not Applicable</t>
  </si>
  <si>
    <t>Incomplete Habitat Details</t>
  </si>
  <si>
    <t>Errors to be corrected</t>
  </si>
  <si>
    <t>Watercourse Present</t>
  </si>
  <si>
    <t>Foliage Present</t>
  </si>
  <si>
    <t>Statutory obligations not met</t>
  </si>
  <si>
    <t>Please complete all assessment details</t>
  </si>
  <si>
    <t>Insufficent habitat created to award credits</t>
  </si>
  <si>
    <t>Watercourse Condition</t>
  </si>
  <si>
    <t>Foliage Condition</t>
  </si>
  <si>
    <t>Filtered for purpose of credit award</t>
  </si>
  <si>
    <t>Error - Enhancement must be positive</t>
  </si>
  <si>
    <t>Watercourse Filter</t>
  </si>
  <si>
    <t>Foliage Filter</t>
  </si>
  <si>
    <t>Area Pre</t>
  </si>
  <si>
    <t>Watercourse Pre</t>
  </si>
  <si>
    <t>Foliage Pre</t>
  </si>
  <si>
    <t>Area Post</t>
  </si>
  <si>
    <t>Watercourse Post</t>
  </si>
  <si>
    <t>Foliage Post</t>
  </si>
  <si>
    <t>Assessment Details</t>
  </si>
  <si>
    <t>Area Percentage</t>
  </si>
  <si>
    <t>Water Percentage</t>
  </si>
  <si>
    <t>Foliage Percentage</t>
  </si>
  <si>
    <t>Watercourse Filter Drop Down</t>
  </si>
  <si>
    <t>Foliage Filter Drop Down</t>
  </si>
  <si>
    <t>Area Created where distinctiveness &gt;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</si>
</sst>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font>
      <sz val="11"/>
      <color theme="1"/>
      <name val="Calibri"/>
      <family val="2"/>
      <scheme val="minor"/>
    </font>
    <font>
      <b/>
      <sz val="20"/>
      <color theme="0"/>
      <name val="Calibri"/>
      <family val="2"/>
      <scheme val="minor"/>
    </font>
    <font>
      <sz val="11"/>
      <color theme="1"/>
      <name val="Calibri"/>
      <family val="2"/>
      <scheme val="minor"/>
    </font>
    <font>
      <sz val="11"/>
      <color rgb="FF3F3F76"/>
      <name val="Calibri"/>
      <family val="2"/>
      <scheme val="minor"/>
    </font>
    <font>
      <sz val="11"/>
      <color theme="0"/>
      <name val="Calibri"/>
      <family val="2"/>
      <scheme val="minor"/>
    </font>
    <font>
      <b/>
      <sz val="11"/>
      <color theme="0"/>
      <name val="Calibri"/>
      <family val="2"/>
      <scheme val="minor"/>
    </font>
    <font>
      <i/>
      <sz val="11"/>
      <color theme="1"/>
      <name val="Calibri"/>
      <family val="2"/>
      <scheme val="minor"/>
    </font>
    <font>
      <b/>
      <i/>
      <sz val="20"/>
      <color theme="0"/>
      <name val="Calibri"/>
      <family val="2"/>
      <scheme val="minor"/>
    </font>
    <font>
      <vertAlign val="superscript"/>
      <sz val="11"/>
      <color theme="0"/>
      <name val="Calibri"/>
      <family val="2"/>
      <scheme val="minor"/>
    </font>
    <font>
      <b/>
      <sz val="16"/>
      <color theme="0"/>
      <name val="Calibri"/>
      <family val="2"/>
      <scheme val="minor"/>
    </font>
    <font>
      <sz val="12"/>
      <color indexed="9"/>
      <name val="Calibri"/>
      <family val="2"/>
    </font>
    <font>
      <b/>
      <sz val="11"/>
      <color indexed="10"/>
      <name val="Calibri"/>
      <family val="2"/>
    </font>
    <font>
      <sz val="11"/>
      <color theme="1"/>
      <name val="Script MT Bold"/>
      <family val="4"/>
    </font>
    <font>
      <sz val="10"/>
      <color theme="1"/>
      <name val="Script MT Bold"/>
      <family val="4"/>
    </font>
    <font>
      <sz val="9"/>
      <color indexed="81"/>
      <name val="Tahoma"/>
      <family val="2"/>
    </font>
    <font>
      <i/>
      <sz val="11"/>
      <name val="Calibri"/>
      <family val="2"/>
      <scheme val="minor"/>
    </font>
  </fonts>
  <fills count="12">
    <fill>
      <patternFill patternType="none"/>
    </fill>
    <fill>
      <patternFill patternType="gray125"/>
    </fill>
    <fill>
      <patternFill patternType="solid">
        <fgColor rgb="FFFFCC99"/>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rgb="FF3D6864"/>
        <bgColor indexed="64"/>
      </patternFill>
    </fill>
    <fill>
      <patternFill patternType="solid">
        <fgColor theme="0" tint="-0.14996795556505021"/>
        <bgColor indexed="64"/>
      </patternFill>
    </fill>
    <fill>
      <patternFill patternType="solid">
        <fgColor rgb="FFD9D9D9"/>
        <bgColor indexed="64"/>
      </patternFill>
    </fill>
    <fill>
      <patternFill patternType="solid">
        <fgColor rgb="FF3D6864"/>
        <bgColor theme="9"/>
      </patternFill>
    </fill>
    <fill>
      <patternFill patternType="solid">
        <fgColor rgb="FFD9D9D9"/>
        <bgColor theme="9" tint="0.79998168889431442"/>
      </patternFill>
    </fill>
  </fills>
  <borders count="70">
    <border>
      <left/>
      <right/>
      <top/>
      <bottom/>
      <diagonal/>
    </border>
    <border>
      <left style="thin">
        <color rgb="FF7F7F7F"/>
      </left>
      <right style="thin">
        <color rgb="FF7F7F7F"/>
      </right>
      <top style="thin">
        <color rgb="FF7F7F7F"/>
      </top>
      <bottom style="thin">
        <color rgb="FF7F7F7F"/>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theme="9" tint="0.39997558519241921"/>
      </right>
      <top style="thin">
        <color theme="9" tint="0.39997558519241921"/>
      </top>
      <bottom style="thin">
        <color theme="9"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right/>
      <top/>
      <bottom style="thin">
        <color auto="1"/>
      </bottom>
      <diagonal/>
    </border>
    <border>
      <left style="medium">
        <color auto="1"/>
      </left>
      <right style="medium">
        <color auto="1"/>
      </right>
      <top style="thin">
        <color auto="1"/>
      </top>
      <bottom/>
      <diagonal/>
    </border>
    <border>
      <left/>
      <right style="thin">
        <color auto="1"/>
      </right>
      <top/>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thin">
        <color theme="9" tint="0.39997558519241921"/>
      </bottom>
      <diagonal/>
    </border>
    <border>
      <left style="medium">
        <color auto="1"/>
      </left>
      <right style="thin">
        <color auto="1"/>
      </right>
      <top style="thin">
        <color auto="1"/>
      </top>
      <bottom style="medium">
        <color auto="1"/>
      </bottom>
      <diagonal/>
    </border>
    <border>
      <left/>
      <right/>
      <top style="thin">
        <color theme="9" tint="0.39997558519241921"/>
      </top>
      <bottom style="medium">
        <color auto="1"/>
      </bottom>
      <diagonal/>
    </border>
    <border>
      <left style="thin">
        <color indexed="64"/>
      </left>
      <right/>
      <top style="thin">
        <color indexed="64"/>
      </top>
      <bottom style="medium">
        <color auto="1"/>
      </bottom>
      <diagonal/>
    </border>
    <border>
      <left style="medium">
        <color auto="1"/>
      </left>
      <right/>
      <top/>
      <bottom/>
      <diagonal/>
    </border>
    <border>
      <left/>
      <right style="medium">
        <color auto="1"/>
      </right>
      <top/>
      <bottom style="thin">
        <color auto="1"/>
      </bottom>
      <diagonal/>
    </border>
    <border>
      <left style="medium">
        <color auto="1"/>
      </left>
      <right style="thin">
        <color auto="1"/>
      </right>
      <top style="thin">
        <color auto="1"/>
      </top>
      <bottom/>
      <diagonal/>
    </border>
    <border>
      <left/>
      <right style="medium">
        <color auto="1"/>
      </right>
      <top/>
      <bottom/>
      <diagonal/>
    </border>
    <border>
      <left/>
      <right style="thin">
        <color auto="1"/>
      </right>
      <top style="medium">
        <color auto="1"/>
      </top>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style="medium">
        <color auto="1"/>
      </top>
      <bottom style="thick">
        <color theme="9" tint="0.79998168889431442"/>
      </bottom>
      <diagonal/>
    </border>
    <border>
      <left/>
      <right/>
      <top style="medium">
        <color auto="1"/>
      </top>
      <bottom style="thick">
        <color theme="9" tint="0.79998168889431442"/>
      </bottom>
      <diagonal/>
    </border>
    <border>
      <left/>
      <right style="medium">
        <color auto="1"/>
      </right>
      <top style="medium">
        <color auto="1"/>
      </top>
      <bottom style="thick">
        <color theme="9" tint="0.79998168889431442"/>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style="thin">
        <color auto="1"/>
      </bottom>
      <diagonal/>
    </border>
  </borders>
  <cellStyleXfs count="3">
    <xf numFmtId="0" fontId="0" fillId="0" borderId="0"/>
    <xf numFmtId="9" fontId="2" fillId="0" borderId="0" applyFont="0" applyFill="0" applyBorder="0" applyAlignment="0" applyProtection="0"/>
    <xf numFmtId="0" fontId="3" fillId="2" borderId="1" applyNumberFormat="0" applyAlignment="0" applyProtection="0"/>
  </cellStyleXfs>
  <cellXfs count="238">
    <xf numFmtId="0" fontId="0" fillId="0" borderId="0" xfId="0"/>
    <xf numFmtId="2" fontId="0" fillId="0" borderId="0" xfId="0" applyNumberFormat="1"/>
    <xf numFmtId="0" fontId="0" fillId="0" borderId="0" xfId="0" applyAlignment="1">
      <alignment horizontal="right"/>
    </xf>
    <xf numFmtId="0" fontId="0" fillId="0" borderId="0" xfId="0" applyAlignment="1">
      <alignment wrapText="1"/>
    </xf>
    <xf numFmtId="0" fontId="0" fillId="0" borderId="0" xfId="0" applyAlignment="1">
      <alignment horizontal="center" vertical="center"/>
    </xf>
    <xf numFmtId="0" fontId="0" fillId="0" borderId="24" xfId="0" applyBorder="1" applyAlignment="1">
      <alignment horizontal="center"/>
    </xf>
    <xf numFmtId="9" fontId="0" fillId="0" borderId="0" xfId="1" applyFont="1"/>
    <xf numFmtId="164" fontId="0" fillId="0" borderId="0" xfId="1" applyNumberFormat="1" applyFont="1"/>
    <xf numFmtId="0" fontId="0" fillId="0" borderId="0" xfId="0" applyAlignment="1">
      <alignment horizontal="center"/>
    </xf>
    <xf numFmtId="0" fontId="0" fillId="4" borderId="25" xfId="0" applyFill="1" applyBorder="1" applyAlignment="1">
      <alignment wrapText="1"/>
    </xf>
    <xf numFmtId="0" fontId="0" fillId="0" borderId="25" xfId="0" applyBorder="1"/>
    <xf numFmtId="2" fontId="0" fillId="4" borderId="25" xfId="0" applyNumberFormat="1" applyFill="1" applyBorder="1"/>
    <xf numFmtId="2" fontId="0" fillId="0" borderId="25" xfId="0" applyNumberFormat="1" applyBorder="1"/>
    <xf numFmtId="0" fontId="5" fillId="3" borderId="27" xfId="0" applyFont="1" applyFill="1" applyBorder="1"/>
    <xf numFmtId="0" fontId="0" fillId="4" borderId="26" xfId="0" applyFill="1" applyBorder="1"/>
    <xf numFmtId="2" fontId="0" fillId="4" borderId="26" xfId="0" applyNumberFormat="1" applyFill="1" applyBorder="1"/>
    <xf numFmtId="0" fontId="4" fillId="0" borderId="0" xfId="0" applyFont="1"/>
    <xf numFmtId="0" fontId="0" fillId="0" borderId="21"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1" fillId="0" borderId="0" xfId="0" applyFont="1" applyAlignment="1">
      <alignment horizontal="center" vertical="center"/>
    </xf>
    <xf numFmtId="0" fontId="0" fillId="0" borderId="0" xfId="0" applyAlignment="1">
      <alignment horizontal="center" vertical="center" wrapText="1"/>
    </xf>
    <xf numFmtId="0" fontId="4" fillId="0" borderId="0" xfId="0" applyFont="1" applyAlignment="1">
      <alignment horizontal="center"/>
    </xf>
    <xf numFmtId="9" fontId="0" fillId="0" borderId="29" xfId="1" applyFont="1" applyBorder="1" applyAlignment="1" applyProtection="1">
      <alignment horizontal="center"/>
    </xf>
    <xf numFmtId="0" fontId="0" fillId="0" borderId="29" xfId="0"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0" fillId="0" borderId="5" xfId="0" applyBorder="1" applyAlignment="1">
      <alignment horizontal="center"/>
    </xf>
    <xf numFmtId="0" fontId="0" fillId="0" borderId="36" xfId="0" applyBorder="1" applyAlignment="1">
      <alignment horizontal="center"/>
    </xf>
    <xf numFmtId="0" fontId="0" fillId="0" borderId="38" xfId="0" applyBorder="1" applyAlignment="1">
      <alignment horizontal="center"/>
    </xf>
    <xf numFmtId="9" fontId="0" fillId="0" borderId="38" xfId="1" applyFont="1" applyBorder="1" applyAlignment="1" applyProtection="1">
      <alignment horizontal="center" vertical="center"/>
    </xf>
    <xf numFmtId="0" fontId="0" fillId="0" borderId="39" xfId="0" applyBorder="1" applyAlignment="1">
      <alignment horizontal="center"/>
    </xf>
    <xf numFmtId="0" fontId="0" fillId="6" borderId="0" xfId="0" applyFill="1"/>
    <xf numFmtId="0" fontId="9" fillId="6" borderId="0" xfId="0" applyFont="1" applyFill="1" applyAlignment="1">
      <alignment horizontal="left" vertical="center"/>
    </xf>
    <xf numFmtId="0" fontId="10" fillId="7" borderId="0" xfId="0" applyFont="1" applyFill="1" applyAlignment="1" applyProtection="1">
      <alignment horizontal="center"/>
      <protection hidden="1"/>
    </xf>
    <xf numFmtId="0" fontId="11" fillId="7" borderId="0" xfId="0" applyFont="1" applyFill="1" applyAlignment="1" applyProtection="1">
      <alignment horizontal="left" vertical="center" wrapText="1"/>
      <protection hidden="1"/>
    </xf>
    <xf numFmtId="0" fontId="10" fillId="7" borderId="0" xfId="0" applyFont="1" applyFill="1" applyProtection="1">
      <protection hidden="1"/>
    </xf>
    <xf numFmtId="0" fontId="10" fillId="7" borderId="0" xfId="0" applyFont="1" applyFill="1"/>
    <xf numFmtId="0" fontId="10" fillId="6" borderId="0" xfId="0" applyFont="1" applyFill="1"/>
    <xf numFmtId="0" fontId="4" fillId="7" borderId="0" xfId="0" applyFont="1" applyFill="1"/>
    <xf numFmtId="14" fontId="0" fillId="0" borderId="3" xfId="0" applyNumberFormat="1" applyBorder="1" applyAlignment="1">
      <alignment horizontal="center" vertical="center"/>
    </xf>
    <xf numFmtId="2" fontId="0" fillId="6" borderId="0" xfId="0" applyNumberFormat="1" applyFill="1" applyAlignment="1">
      <alignment horizontal="center" vertical="center"/>
    </xf>
    <xf numFmtId="14" fontId="0" fillId="6" borderId="0" xfId="0" applyNumberFormat="1" applyFill="1" applyAlignment="1">
      <alignment horizontal="center" vertical="center"/>
    </xf>
    <xf numFmtId="0" fontId="0" fillId="6" borderId="0" xfId="0" applyFill="1" applyAlignment="1">
      <alignment horizontal="left" vertical="center" wrapText="1"/>
    </xf>
    <xf numFmtId="0" fontId="0" fillId="6" borderId="0" xfId="0" applyFill="1" applyAlignment="1">
      <alignment horizontal="left" vertical="center"/>
    </xf>
    <xf numFmtId="2" fontId="0" fillId="0" borderId="3" xfId="0" applyNumberFormat="1" applyBorder="1" applyAlignment="1">
      <alignment horizontal="center" vertical="center"/>
    </xf>
    <xf numFmtId="0" fontId="12" fillId="6" borderId="0" xfId="0" applyFont="1" applyFill="1"/>
    <xf numFmtId="0" fontId="13" fillId="6" borderId="0" xfId="0" applyFont="1" applyFill="1"/>
    <xf numFmtId="0" fontId="4" fillId="7" borderId="19" xfId="0" applyFont="1" applyFill="1" applyBorder="1" applyAlignment="1">
      <alignment horizontal="left"/>
    </xf>
    <xf numFmtId="0" fontId="4" fillId="7" borderId="17" xfId="0" applyFont="1" applyFill="1" applyBorder="1" applyAlignment="1">
      <alignment horizontal="right" vertical="top"/>
    </xf>
    <xf numFmtId="0" fontId="4" fillId="7" borderId="19" xfId="0" applyFont="1" applyFill="1" applyBorder="1" applyAlignment="1">
      <alignment horizontal="left" wrapText="1"/>
    </xf>
    <xf numFmtId="0" fontId="4" fillId="7" borderId="28" xfId="0" applyFont="1" applyFill="1" applyBorder="1" applyAlignment="1">
      <alignment horizontal="left"/>
    </xf>
    <xf numFmtId="0" fontId="4" fillId="7" borderId="2" xfId="0" applyFont="1" applyFill="1" applyBorder="1"/>
    <xf numFmtId="0" fontId="4" fillId="7" borderId="14" xfId="0" applyFont="1" applyFill="1" applyBorder="1" applyAlignment="1">
      <alignment horizontal="right"/>
    </xf>
    <xf numFmtId="0" fontId="4" fillId="7" borderId="15" xfId="0" applyFont="1" applyFill="1" applyBorder="1" applyAlignment="1">
      <alignment horizontal="right"/>
    </xf>
    <xf numFmtId="0" fontId="4" fillId="7" borderId="16" xfId="0" applyFont="1" applyFill="1" applyBorder="1" applyAlignment="1">
      <alignment horizontal="right" wrapText="1"/>
    </xf>
    <xf numFmtId="0" fontId="0" fillId="0" borderId="3"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9" xfId="0" applyBorder="1" applyAlignment="1">
      <alignment horizontal="center"/>
    </xf>
    <xf numFmtId="0" fontId="0" fillId="0" borderId="3" xfId="0" applyBorder="1" applyAlignment="1" applyProtection="1">
      <alignment horizontal="center" vertical="center"/>
      <protection locked="0"/>
    </xf>
    <xf numFmtId="0" fontId="0" fillId="0" borderId="3" xfId="0" applyBorder="1" applyAlignment="1">
      <alignment horizontal="center" vertical="center"/>
    </xf>
    <xf numFmtId="0" fontId="0" fillId="0" borderId="35" xfId="0" applyBorder="1" applyAlignment="1" applyProtection="1">
      <alignment horizontal="center" vertical="center"/>
      <protection locked="0"/>
    </xf>
    <xf numFmtId="0" fontId="0" fillId="0" borderId="35" xfId="0" applyBorder="1" applyAlignment="1">
      <alignment horizontal="center" vertical="center"/>
    </xf>
    <xf numFmtId="0" fontId="5" fillId="10" borderId="47" xfId="0" applyFont="1" applyFill="1" applyBorder="1" applyAlignment="1">
      <alignment horizontal="center"/>
    </xf>
    <xf numFmtId="0" fontId="5" fillId="10" borderId="48" xfId="0" applyFont="1" applyFill="1" applyBorder="1" applyAlignment="1">
      <alignment horizontal="center"/>
    </xf>
    <xf numFmtId="0" fontId="5" fillId="10" borderId="49" xfId="0" applyFont="1" applyFill="1" applyBorder="1" applyAlignment="1">
      <alignment horizontal="center"/>
    </xf>
    <xf numFmtId="0" fontId="5" fillId="10" borderId="45" xfId="0" applyFont="1" applyFill="1" applyBorder="1" applyAlignment="1">
      <alignment horizontal="center"/>
    </xf>
    <xf numFmtId="0" fontId="6" fillId="0" borderId="50" xfId="0" applyFont="1" applyBorder="1" applyAlignment="1">
      <alignment horizontal="center"/>
    </xf>
    <xf numFmtId="0" fontId="6" fillId="0" borderId="5" xfId="0" applyFont="1" applyBorder="1" applyAlignment="1">
      <alignment horizontal="center"/>
    </xf>
    <xf numFmtId="0" fontId="6" fillId="5" borderId="51" xfId="0" applyFont="1" applyFill="1" applyBorder="1" applyAlignment="1">
      <alignment horizontal="center"/>
    </xf>
    <xf numFmtId="0" fontId="6" fillId="0" borderId="52" xfId="0" applyFont="1" applyBorder="1" applyAlignment="1">
      <alignment horizontal="center"/>
    </xf>
    <xf numFmtId="0" fontId="4" fillId="7" borderId="53" xfId="0" applyFont="1" applyFill="1" applyBorder="1" applyAlignment="1">
      <alignment horizontal="center"/>
    </xf>
    <xf numFmtId="0" fontId="4" fillId="7" borderId="0" xfId="0" applyFont="1" applyFill="1" applyAlignment="1">
      <alignment horizontal="center"/>
    </xf>
    <xf numFmtId="0" fontId="4" fillId="7" borderId="54" xfId="0" applyFont="1" applyFill="1" applyBorder="1" applyAlignment="1">
      <alignment horizontal="center"/>
    </xf>
    <xf numFmtId="0" fontId="0" fillId="0" borderId="32" xfId="0" applyBorder="1" applyAlignment="1" applyProtection="1">
      <alignment horizontal="center"/>
      <protection locked="0"/>
    </xf>
    <xf numFmtId="0" fontId="0" fillId="0" borderId="55" xfId="0" applyBorder="1" applyAlignment="1" applyProtection="1">
      <alignment horizontal="center"/>
      <protection locked="0"/>
    </xf>
    <xf numFmtId="0" fontId="4" fillId="7" borderId="53" xfId="0" applyFont="1" applyFill="1" applyBorder="1" applyAlignment="1">
      <alignment horizontal="center" vertical="center"/>
    </xf>
    <xf numFmtId="0" fontId="4" fillId="7" borderId="0" xfId="0" applyFont="1" applyFill="1" applyAlignment="1">
      <alignment horizontal="center" vertical="center"/>
    </xf>
    <xf numFmtId="0" fontId="4" fillId="7" borderId="56" xfId="0" applyFont="1" applyFill="1" applyBorder="1" applyAlignment="1">
      <alignment horizontal="center" vertical="center"/>
    </xf>
    <xf numFmtId="0" fontId="0" fillId="0" borderId="32"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 xfId="0" applyBorder="1" applyAlignment="1">
      <alignment horizontal="center" vertical="center"/>
    </xf>
    <xf numFmtId="0" fontId="0" fillId="0" borderId="7"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3" xfId="0" applyBorder="1" applyAlignment="1">
      <alignment horizontal="center" vertical="center"/>
    </xf>
    <xf numFmtId="0" fontId="0" fillId="0" borderId="3" xfId="0" applyBorder="1" applyAlignment="1">
      <alignment horizontal="center" vertical="center" wrapText="1"/>
    </xf>
    <xf numFmtId="0" fontId="4" fillId="7" borderId="56" xfId="0" applyFont="1" applyFill="1" applyBorder="1" applyAlignment="1">
      <alignment horizontal="center"/>
    </xf>
    <xf numFmtId="0" fontId="0" fillId="0" borderId="59" xfId="0" applyBorder="1" applyAlignment="1" applyProtection="1">
      <alignment horizontal="center"/>
      <protection locked="0"/>
    </xf>
    <xf numFmtId="0" fontId="0" fillId="0" borderId="7"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5" xfId="0" applyBorder="1" applyAlignment="1" applyProtection="1">
      <alignment horizontal="center"/>
      <protection locked="0"/>
    </xf>
    <xf numFmtId="0" fontId="0" fillId="9" borderId="4" xfId="0" applyFill="1" applyBorder="1" applyAlignment="1" applyProtection="1">
      <alignment horizontal="center" vertical="center"/>
      <protection hidden="1"/>
    </xf>
    <xf numFmtId="0" fontId="0" fillId="0" borderId="12"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4" fillId="7" borderId="41"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28" xfId="0" applyFont="1" applyFill="1" applyBorder="1" applyAlignment="1">
      <alignment horizontal="center" vertical="center"/>
    </xf>
    <xf numFmtId="0" fontId="4" fillId="7" borderId="54" xfId="0" applyFont="1" applyFill="1" applyBorder="1" applyAlignment="1">
      <alignment horizontal="center" vertical="center" wrapText="1"/>
    </xf>
    <xf numFmtId="0" fontId="0" fillId="0" borderId="31" xfId="0" applyBorder="1" applyAlignment="1" applyProtection="1">
      <alignment horizontal="center" vertical="center" wrapText="1"/>
      <protection locked="0"/>
    </xf>
    <xf numFmtId="0" fontId="0" fillId="0" borderId="35" xfId="0" applyBorder="1" applyAlignment="1">
      <alignment horizontal="center" vertical="center" wrapText="1"/>
    </xf>
    <xf numFmtId="0" fontId="0" fillId="0" borderId="35" xfId="0" applyBorder="1" applyAlignment="1" applyProtection="1">
      <alignment horizontal="center" vertical="center" wrapText="1"/>
      <protection locked="0"/>
    </xf>
    <xf numFmtId="2" fontId="0" fillId="0" borderId="35" xfId="0" applyNumberFormat="1" applyBorder="1" applyAlignment="1">
      <alignment horizontal="center" vertical="center" wrapText="1"/>
    </xf>
    <xf numFmtId="1" fontId="0" fillId="0" borderId="35" xfId="0" applyNumberFormat="1" applyBorder="1" applyAlignment="1">
      <alignment horizontal="center" vertical="center" wrapText="1"/>
    </xf>
    <xf numFmtId="0" fontId="6" fillId="11" borderId="2" xfId="0" applyFont="1" applyFill="1" applyBorder="1" applyAlignment="1" applyProtection="1">
      <alignment horizontal="center" vertical="center"/>
      <protection hidden="1"/>
    </xf>
    <xf numFmtId="0" fontId="0" fillId="9" borderId="6" xfId="0" applyFill="1" applyBorder="1" applyAlignment="1" applyProtection="1">
      <alignment horizontal="center" vertical="center"/>
      <protection hidden="1"/>
    </xf>
    <xf numFmtId="0" fontId="0" fillId="9" borderId="10" xfId="0" applyFill="1" applyBorder="1" applyAlignment="1" applyProtection="1">
      <alignment horizontal="center"/>
      <protection hidden="1"/>
    </xf>
    <xf numFmtId="0" fontId="0" fillId="9" borderId="46" xfId="0" applyFill="1" applyBorder="1" applyAlignment="1" applyProtection="1">
      <alignment horizontal="center"/>
      <protection hidden="1"/>
    </xf>
    <xf numFmtId="0" fontId="0" fillId="9" borderId="9" xfId="0" applyFill="1" applyBorder="1" applyAlignment="1" applyProtection="1">
      <alignment horizontal="center"/>
      <protection hidden="1"/>
    </xf>
    <xf numFmtId="0" fontId="0" fillId="9" borderId="8" xfId="0" applyFill="1" applyBorder="1" applyAlignment="1" applyProtection="1">
      <alignment horizontal="center" vertical="center"/>
      <protection hidden="1"/>
    </xf>
    <xf numFmtId="0" fontId="0" fillId="9" borderId="38" xfId="0" applyFill="1" applyBorder="1" applyAlignment="1" applyProtection="1">
      <alignment horizontal="center" vertical="center"/>
      <protection hidden="1"/>
    </xf>
    <xf numFmtId="0" fontId="0" fillId="9" borderId="10" xfId="0" applyFill="1" applyBorder="1" applyAlignment="1" applyProtection="1">
      <alignment horizontal="center" vertical="center"/>
      <protection hidden="1"/>
    </xf>
    <xf numFmtId="0" fontId="0" fillId="9" borderId="46" xfId="0" applyFill="1" applyBorder="1" applyAlignment="1" applyProtection="1">
      <alignment horizontal="center" vertical="center"/>
      <protection hidden="1"/>
    </xf>
    <xf numFmtId="0" fontId="0" fillId="9" borderId="9" xfId="0" applyFill="1" applyBorder="1" applyAlignment="1" applyProtection="1">
      <alignment horizontal="center" vertical="center"/>
      <protection hidden="1"/>
    </xf>
    <xf numFmtId="0" fontId="0" fillId="9" borderId="60" xfId="0" applyFill="1" applyBorder="1" applyAlignment="1" applyProtection="1">
      <alignment horizontal="center" vertical="center"/>
      <protection hidden="1"/>
    </xf>
    <xf numFmtId="0" fontId="0" fillId="9" borderId="3" xfId="0" applyFill="1" applyBorder="1" applyAlignment="1" applyProtection="1">
      <alignment horizontal="center" vertical="center" wrapText="1"/>
      <protection hidden="1"/>
    </xf>
    <xf numFmtId="0" fontId="0" fillId="9" borderId="35" xfId="0" applyFill="1" applyBorder="1" applyAlignment="1" applyProtection="1">
      <alignment horizontal="center" vertical="center" wrapText="1"/>
      <protection hidden="1"/>
    </xf>
    <xf numFmtId="0" fontId="0" fillId="9" borderId="40" xfId="0" applyFill="1" applyBorder="1" applyAlignment="1" applyProtection="1">
      <alignment horizontal="center" vertical="center" wrapText="1"/>
      <protection hidden="1"/>
    </xf>
    <xf numFmtId="0" fontId="0" fillId="9" borderId="9" xfId="0" applyFill="1" applyBorder="1" applyAlignment="1" applyProtection="1">
      <alignment horizontal="center" vertical="center" wrapText="1"/>
      <protection hidden="1"/>
    </xf>
    <xf numFmtId="0" fontId="0" fillId="9" borderId="4" xfId="0" applyFill="1" applyBorder="1" applyAlignment="1" applyProtection="1">
      <alignment horizontal="center"/>
      <protection hidden="1"/>
    </xf>
    <xf numFmtId="9" fontId="0" fillId="9" borderId="13" xfId="1" applyFont="1" applyFill="1" applyBorder="1" applyAlignment="1" applyProtection="1">
      <alignment horizontal="center" vertical="center"/>
      <protection hidden="1"/>
    </xf>
    <xf numFmtId="0" fontId="0" fillId="9" borderId="8" xfId="0" applyFill="1" applyBorder="1" applyAlignment="1" applyProtection="1">
      <alignment horizontal="center"/>
      <protection hidden="1"/>
    </xf>
    <xf numFmtId="0" fontId="0" fillId="9" borderId="6" xfId="0" applyFill="1" applyBorder="1" applyAlignment="1" applyProtection="1">
      <alignment horizontal="center"/>
      <protection hidden="1"/>
    </xf>
    <xf numFmtId="0" fontId="0" fillId="9" borderId="38" xfId="0" applyFill="1" applyBorder="1" applyAlignment="1" applyProtection="1">
      <alignment horizontal="center"/>
      <protection hidden="1"/>
    </xf>
    <xf numFmtId="0" fontId="4" fillId="7" borderId="58" xfId="0" applyFont="1" applyFill="1" applyBorder="1" applyAlignment="1">
      <alignment horizontal="center" wrapText="1"/>
    </xf>
    <xf numFmtId="0" fontId="4" fillId="7" borderId="22" xfId="0" applyFont="1" applyFill="1" applyBorder="1" applyAlignment="1">
      <alignment horizontal="center" wrapText="1"/>
    </xf>
    <xf numFmtId="0" fontId="4" fillId="7" borderId="23" xfId="0" applyFont="1" applyFill="1" applyBorder="1" applyAlignment="1">
      <alignment horizontal="center" wrapText="1"/>
    </xf>
    <xf numFmtId="0" fontId="4" fillId="9" borderId="9" xfId="0" applyFont="1" applyFill="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5" fillId="7" borderId="0" xfId="0" applyFont="1" applyFill="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0" fillId="9" borderId="57" xfId="0" applyFill="1" applyBorder="1" applyAlignment="1" applyProtection="1">
      <alignment horizontal="center" vertical="center"/>
      <protection hidden="1"/>
    </xf>
    <xf numFmtId="0" fontId="0" fillId="9" borderId="62" xfId="0" applyFill="1" applyBorder="1" applyAlignment="1" applyProtection="1">
      <alignment horizontal="center" vertical="center" wrapText="1"/>
      <protection hidden="1"/>
    </xf>
    <xf numFmtId="0" fontId="0" fillId="9" borderId="62" xfId="0" applyFill="1" applyBorder="1" applyAlignment="1" applyProtection="1">
      <alignment horizontal="center" vertical="center"/>
      <protection hidden="1"/>
    </xf>
    <xf numFmtId="0" fontId="0" fillId="9" borderId="63" xfId="0"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center"/>
      <protection hidden="1"/>
    </xf>
    <xf numFmtId="0" fontId="4" fillId="0" borderId="0" xfId="0" applyFont="1" applyProtection="1">
      <protection hidden="1"/>
    </xf>
    <xf numFmtId="0" fontId="9" fillId="0" borderId="0" xfId="0" applyFont="1" applyAlignment="1">
      <alignment horizontal="left" vertical="center"/>
    </xf>
    <xf numFmtId="0" fontId="0" fillId="0" borderId="0" xfId="0" applyAlignment="1" applyProtection="1">
      <alignment horizontal="center"/>
      <protection hidden="1"/>
    </xf>
    <xf numFmtId="165" fontId="0" fillId="0" borderId="3" xfId="0" applyNumberFormat="1" applyBorder="1" applyAlignment="1">
      <alignment horizontal="center" vertical="center" wrapText="1"/>
    </xf>
    <xf numFmtId="9" fontId="0" fillId="9" borderId="63" xfId="0" applyNumberFormat="1" applyFill="1" applyBorder="1" applyAlignment="1" applyProtection="1">
      <alignment horizontal="center" vertical="center"/>
      <protection hidden="1"/>
    </xf>
    <xf numFmtId="0" fontId="0" fillId="9" borderId="67" xfId="0" applyFill="1" applyBorder="1" applyAlignment="1" applyProtection="1">
      <alignment horizontal="center" vertical="center"/>
      <protection hidden="1"/>
    </xf>
    <xf numFmtId="9" fontId="0" fillId="9" borderId="67" xfId="0" applyNumberFormat="1" applyFill="1" applyBorder="1" applyAlignment="1" applyProtection="1">
      <alignment horizontal="center" vertical="center" wrapText="1"/>
      <protection hidden="1"/>
    </xf>
    <xf numFmtId="0" fontId="4" fillId="7" borderId="22" xfId="0" applyFont="1" applyFill="1" applyBorder="1" applyAlignment="1">
      <alignment horizontal="center" vertical="center" wrapText="1"/>
    </xf>
    <xf numFmtId="0" fontId="4" fillId="7" borderId="22" xfId="0" applyFont="1" applyFill="1" applyBorder="1" applyAlignment="1">
      <alignment horizontal="center" vertical="center"/>
    </xf>
    <xf numFmtId="0" fontId="0" fillId="9" borderId="61" xfId="0" applyFill="1" applyBorder="1" applyAlignment="1" applyProtection="1">
      <alignment horizontal="center" vertical="center"/>
      <protection hidden="1"/>
    </xf>
    <xf numFmtId="9" fontId="0" fillId="9" borderId="61" xfId="0" applyNumberFormat="1" applyFill="1" applyBorder="1" applyAlignment="1" applyProtection="1">
      <alignment horizontal="center" vertical="center"/>
      <protection hidden="1"/>
    </xf>
    <xf numFmtId="0" fontId="3" fillId="0" borderId="0" xfId="2" applyFill="1" applyBorder="1" applyProtection="1"/>
    <xf numFmtId="0" fontId="3" fillId="0" borderId="3" xfId="2" applyFill="1" applyBorder="1" applyAlignment="1" applyProtection="1">
      <alignment horizontal="center"/>
      <protection locked="0"/>
    </xf>
    <xf numFmtId="0" fontId="0" fillId="8" borderId="33" xfId="0" applyFill="1" applyBorder="1" applyAlignment="1" applyProtection="1">
      <alignment horizontal="center" vertical="center"/>
      <protection hidden="1"/>
    </xf>
    <xf numFmtId="0" fontId="0" fillId="8" borderId="7" xfId="0" applyFill="1" applyBorder="1" applyAlignment="1" applyProtection="1">
      <alignment horizontal="center" vertical="center"/>
      <protection hidden="1"/>
    </xf>
    <xf numFmtId="0" fontId="0" fillId="8" borderId="3" xfId="0" applyFill="1" applyBorder="1" applyAlignment="1" applyProtection="1">
      <alignment horizontal="center" vertical="center"/>
      <protection hidden="1"/>
    </xf>
    <xf numFmtId="0" fontId="0" fillId="9" borderId="0" xfId="0" applyFill="1" applyAlignment="1" applyProtection="1">
      <alignment horizontal="center"/>
      <protection hidden="1"/>
    </xf>
    <xf numFmtId="0" fontId="0" fillId="9" borderId="34" xfId="0" applyFill="1" applyBorder="1" applyAlignment="1" applyProtection="1">
      <alignment horizontal="center"/>
      <protection hidden="1"/>
    </xf>
    <xf numFmtId="0" fontId="0" fillId="9" borderId="37" xfId="0" applyFill="1" applyBorder="1" applyAlignment="1" applyProtection="1">
      <alignment horizontal="center"/>
      <protection hidden="1"/>
    </xf>
    <xf numFmtId="9" fontId="0" fillId="0" borderId="0" xfId="0" applyNumberFormat="1" applyAlignment="1">
      <alignment horizontal="center"/>
    </xf>
    <xf numFmtId="0" fontId="4" fillId="0" borderId="0" xfId="0" applyFont="1" applyAlignment="1">
      <alignment vertical="center"/>
    </xf>
    <xf numFmtId="0" fontId="9" fillId="0" borderId="0" xfId="0" applyFont="1" applyAlignment="1">
      <alignment vertical="center"/>
    </xf>
    <xf numFmtId="0" fontId="0" fillId="9" borderId="10" xfId="0" applyFill="1" applyBorder="1" applyAlignment="1" applyProtection="1">
      <alignment horizontal="center" vertical="center" wrapText="1"/>
      <protection hidden="1"/>
    </xf>
    <xf numFmtId="0" fontId="4" fillId="0" borderId="0" xfId="0" applyFont="1" applyAlignment="1">
      <alignment horizontal="center" vertical="center"/>
    </xf>
    <xf numFmtId="0" fontId="0" fillId="9" borderId="3" xfId="0" applyFill="1" applyBorder="1" applyAlignment="1" applyProtection="1">
      <alignment horizontal="center" vertical="center"/>
      <protection hidden="1"/>
    </xf>
    <xf numFmtId="0" fontId="5" fillId="7" borderId="2" xfId="0" applyFont="1" applyFill="1" applyBorder="1" applyAlignment="1">
      <alignment horizontal="center" vertical="center" wrapText="1"/>
    </xf>
    <xf numFmtId="9" fontId="15" fillId="9" borderId="2" xfId="0" applyNumberFormat="1" applyFont="1" applyFill="1" applyBorder="1" applyAlignment="1" applyProtection="1">
      <alignment horizontal="center" vertical="center"/>
      <protection hidden="1"/>
    </xf>
    <xf numFmtId="0" fontId="15" fillId="9" borderId="2" xfId="0" applyFont="1" applyFill="1" applyBorder="1" applyAlignment="1" applyProtection="1">
      <alignment horizontal="center" vertical="center"/>
      <protection hidden="1"/>
    </xf>
    <xf numFmtId="0" fontId="0" fillId="0" borderId="0" xfId="0" applyProtection="1">
      <protection hidden="1"/>
    </xf>
    <xf numFmtId="0" fontId="4" fillId="7" borderId="69" xfId="0" applyFont="1" applyFill="1" applyBorder="1" applyProtection="1">
      <protection hidden="1"/>
    </xf>
    <xf numFmtId="0" fontId="4" fillId="7" borderId="68" xfId="0" applyFont="1" applyFill="1" applyBorder="1" applyProtection="1">
      <protection hidden="1"/>
    </xf>
    <xf numFmtId="0" fontId="4" fillId="7" borderId="34" xfId="0" applyFont="1" applyFill="1" applyBorder="1" applyProtection="1">
      <protection hidden="1"/>
    </xf>
    <xf numFmtId="0" fontId="4" fillId="7" borderId="37" xfId="0" applyFont="1" applyFill="1" applyBorder="1" applyProtection="1">
      <protection hidden="1"/>
    </xf>
    <xf numFmtId="0" fontId="4" fillId="7" borderId="17" xfId="0" applyFont="1" applyFill="1" applyBorder="1" applyProtection="1">
      <protection hidden="1"/>
    </xf>
    <xf numFmtId="0" fontId="0" fillId="9" borderId="32" xfId="0" applyFill="1" applyBorder="1" applyProtection="1">
      <protection hidden="1"/>
    </xf>
    <xf numFmtId="0" fontId="0" fillId="9" borderId="3" xfId="0" applyFill="1" applyBorder="1" applyProtection="1">
      <protection hidden="1"/>
    </xf>
    <xf numFmtId="0" fontId="0" fillId="9" borderId="4" xfId="0" applyFill="1" applyBorder="1" applyProtection="1">
      <protection hidden="1"/>
    </xf>
    <xf numFmtId="0" fontId="4" fillId="7" borderId="18" xfId="0" applyFont="1" applyFill="1" applyBorder="1" applyProtection="1">
      <protection hidden="1"/>
    </xf>
    <xf numFmtId="0" fontId="0" fillId="9" borderId="50" xfId="0" applyFill="1" applyBorder="1" applyProtection="1">
      <protection hidden="1"/>
    </xf>
    <xf numFmtId="0" fontId="0" fillId="9" borderId="5" xfId="0" applyFill="1" applyBorder="1" applyProtection="1">
      <protection hidden="1"/>
    </xf>
    <xf numFmtId="0" fontId="0" fillId="9" borderId="6" xfId="0" applyFill="1" applyBorder="1" applyProtection="1">
      <protection hidden="1"/>
    </xf>
    <xf numFmtId="0" fontId="4" fillId="7" borderId="11" xfId="0" applyFont="1" applyFill="1" applyBorder="1" applyAlignment="1">
      <alignment horizontal="center"/>
    </xf>
    <xf numFmtId="0" fontId="4" fillId="7" borderId="9" xfId="0" applyFont="1" applyFill="1" applyBorder="1" applyAlignment="1">
      <alignment horizontal="center"/>
    </xf>
    <xf numFmtId="0" fontId="4" fillId="7" borderId="10" xfId="0" applyFont="1" applyFill="1" applyBorder="1" applyAlignment="1">
      <alignment horizontal="center"/>
    </xf>
    <xf numFmtId="1" fontId="4" fillId="0" borderId="0" xfId="0" applyNumberFormat="1" applyFont="1" applyProtection="1">
      <protection hidden="1"/>
    </xf>
    <xf numFmtId="0" fontId="4" fillId="7" borderId="19" xfId="0" applyFont="1" applyFill="1" applyBorder="1" applyAlignment="1">
      <alignment horizontal="left" vertical="center"/>
    </xf>
    <xf numFmtId="0" fontId="4" fillId="7" borderId="17" xfId="0" applyFont="1" applyFill="1" applyBorder="1" applyAlignment="1">
      <alignment horizontal="right" vertical="center"/>
    </xf>
    <xf numFmtId="0" fontId="4" fillId="0" borderId="0" xfId="0" applyFont="1" applyAlignment="1">
      <alignment horizontal="left"/>
    </xf>
    <xf numFmtId="0" fontId="0" fillId="0" borderId="0" xfId="0" applyAlignment="1">
      <alignment horizontal="left"/>
    </xf>
    <xf numFmtId="0" fontId="4" fillId="7" borderId="20" xfId="0" applyFont="1" applyFill="1" applyBorder="1" applyAlignment="1">
      <alignment vertical="center" wrapText="1"/>
    </xf>
    <xf numFmtId="0" fontId="4" fillId="7" borderId="18" xfId="0" applyFont="1" applyFill="1" applyBorder="1" applyAlignment="1">
      <alignment horizontal="right" vertical="center"/>
    </xf>
    <xf numFmtId="0" fontId="4" fillId="7" borderId="41" xfId="0" applyFont="1" applyFill="1" applyBorder="1" applyAlignment="1">
      <alignment horizontal="right"/>
    </xf>
    <xf numFmtId="0" fontId="4" fillId="7" borderId="17" xfId="0" applyFont="1" applyFill="1" applyBorder="1" applyAlignment="1">
      <alignment horizontal="right"/>
    </xf>
    <xf numFmtId="0" fontId="0" fillId="0" borderId="13" xfId="0" applyBorder="1" applyAlignment="1" applyProtection="1">
      <alignment horizontal="center" vertical="center"/>
      <protection locked="0"/>
    </xf>
    <xf numFmtId="165" fontId="0" fillId="0" borderId="0" xfId="0" applyNumberFormat="1" applyProtection="1">
      <protection hidden="1"/>
    </xf>
    <xf numFmtId="2" fontId="0" fillId="9" borderId="8" xfId="0" applyNumberFormat="1" applyFill="1" applyBorder="1" applyAlignment="1" applyProtection="1">
      <alignment horizontal="center" vertical="center"/>
      <protection hidden="1"/>
    </xf>
    <xf numFmtId="2" fontId="0" fillId="9" borderId="10" xfId="0" applyNumberFormat="1" applyFill="1" applyBorder="1" applyAlignment="1" applyProtection="1">
      <alignment horizontal="center" vertical="center"/>
      <protection hidden="1"/>
    </xf>
    <xf numFmtId="2" fontId="0" fillId="9" borderId="62" xfId="0" applyNumberFormat="1" applyFill="1" applyBorder="1" applyAlignment="1" applyProtection="1">
      <alignment horizontal="center" vertical="center"/>
      <protection hidden="1"/>
    </xf>
    <xf numFmtId="2" fontId="0" fillId="9" borderId="62" xfId="0" applyNumberFormat="1" applyFill="1" applyBorder="1" applyAlignment="1" applyProtection="1">
      <alignment horizontal="center" vertical="center" wrapText="1"/>
      <protection hidden="1"/>
    </xf>
    <xf numFmtId="1" fontId="0" fillId="9" borderId="32" xfId="0" applyNumberFormat="1" applyFill="1" applyBorder="1" applyAlignment="1" applyProtection="1">
      <alignment horizontal="center"/>
      <protection hidden="1"/>
    </xf>
    <xf numFmtId="10" fontId="0" fillId="8" borderId="3" xfId="1" applyNumberFormat="1" applyFont="1" applyFill="1" applyBorder="1" applyAlignment="1" applyProtection="1">
      <alignment horizontal="center" vertical="center"/>
      <protection hidden="1"/>
    </xf>
    <xf numFmtId="9" fontId="6" fillId="9" borderId="13" xfId="1" applyFont="1" applyFill="1" applyBorder="1" applyAlignment="1" applyProtection="1">
      <alignment horizontal="center" vertical="center"/>
      <protection hidden="1"/>
    </xf>
    <xf numFmtId="9" fontId="6" fillId="9" borderId="6" xfId="1" applyFont="1" applyFill="1" applyBorder="1" applyAlignment="1" applyProtection="1">
      <alignment horizontal="center" vertical="center"/>
      <protection hidden="1"/>
    </xf>
    <xf numFmtId="0" fontId="5" fillId="7" borderId="0" xfId="0" applyFont="1" applyFill="1" applyAlignment="1">
      <alignment horizontal="center"/>
    </xf>
    <xf numFmtId="0" fontId="4" fillId="7" borderId="61" xfId="0" applyFont="1" applyFill="1" applyBorder="1" applyAlignment="1">
      <alignment horizontal="left" vertical="center" wrapText="1"/>
    </xf>
    <xf numFmtId="0" fontId="4" fillId="7" borderId="0" xfId="0" applyFont="1" applyFill="1" applyAlignment="1">
      <alignment horizontal="left" vertical="center" wrapText="1"/>
    </xf>
    <xf numFmtId="0" fontId="5" fillId="7" borderId="0" xfId="0" applyFont="1" applyFill="1" applyAlignment="1">
      <alignment horizontal="left" vertical="center"/>
    </xf>
    <xf numFmtId="0" fontId="4" fillId="7" borderId="42" xfId="0" applyFont="1" applyFill="1" applyBorder="1" applyAlignment="1">
      <alignment horizontal="center"/>
    </xf>
    <xf numFmtId="0" fontId="4" fillId="7" borderId="43" xfId="0" applyFont="1" applyFill="1" applyBorder="1" applyAlignment="1">
      <alignment horizontal="center"/>
    </xf>
    <xf numFmtId="0" fontId="4" fillId="7" borderId="45" xfId="0" applyFont="1" applyFill="1" applyBorder="1" applyAlignment="1">
      <alignment horizontal="center"/>
    </xf>
    <xf numFmtId="0" fontId="4" fillId="7" borderId="61" xfId="0" applyFont="1" applyFill="1" applyBorder="1" applyAlignment="1">
      <alignment horizontal="left"/>
    </xf>
    <xf numFmtId="0" fontId="4" fillId="7" borderId="0" xfId="0" applyFont="1" applyFill="1" applyAlignment="1">
      <alignment horizontal="left"/>
    </xf>
    <xf numFmtId="0" fontId="1" fillId="10" borderId="47" xfId="0" applyFont="1" applyFill="1" applyBorder="1" applyAlignment="1">
      <alignment horizontal="center" vertical="center"/>
    </xf>
    <xf numFmtId="0" fontId="1" fillId="10" borderId="48" xfId="0" applyFont="1" applyFill="1" applyBorder="1" applyAlignment="1">
      <alignment horizontal="center" vertical="center"/>
    </xf>
    <xf numFmtId="0" fontId="1" fillId="10" borderId="45" xfId="0" applyFont="1" applyFill="1" applyBorder="1" applyAlignment="1">
      <alignment horizontal="center" vertical="center"/>
    </xf>
    <xf numFmtId="0" fontId="7" fillId="10" borderId="42" xfId="0" applyFont="1" applyFill="1" applyBorder="1" applyAlignment="1">
      <alignment horizontal="center" vertical="center"/>
    </xf>
    <xf numFmtId="0" fontId="7" fillId="10" borderId="43" xfId="0" applyFont="1" applyFill="1" applyBorder="1" applyAlignment="1">
      <alignment horizontal="center" vertical="center"/>
    </xf>
    <xf numFmtId="0" fontId="7" fillId="10" borderId="44" xfId="0" applyFont="1" applyFill="1" applyBorder="1" applyAlignment="1">
      <alignment horizontal="center" vertical="center"/>
    </xf>
    <xf numFmtId="0" fontId="1" fillId="10" borderId="64" xfId="0" applyFont="1" applyFill="1" applyBorder="1" applyAlignment="1">
      <alignment horizontal="center"/>
    </xf>
    <xf numFmtId="0" fontId="1" fillId="10" borderId="65" xfId="0" applyFont="1" applyFill="1" applyBorder="1" applyAlignment="1">
      <alignment horizontal="center"/>
    </xf>
    <xf numFmtId="0" fontId="1" fillId="10" borderId="66" xfId="0" applyFont="1" applyFill="1" applyBorder="1" applyAlignment="1">
      <alignment horizontal="center"/>
    </xf>
    <xf numFmtId="0" fontId="1" fillId="10" borderId="47" xfId="0" applyFont="1" applyFill="1" applyBorder="1" applyAlignment="1">
      <alignment horizontal="center"/>
    </xf>
    <xf numFmtId="0" fontId="1" fillId="10" borderId="48" xfId="0" applyFont="1" applyFill="1" applyBorder="1" applyAlignment="1">
      <alignment horizontal="center"/>
    </xf>
    <xf numFmtId="0" fontId="1" fillId="10" borderId="45" xfId="0" applyFont="1" applyFill="1" applyBorder="1" applyAlignment="1">
      <alignment horizontal="center"/>
    </xf>
    <xf numFmtId="0" fontId="1" fillId="10" borderId="47" xfId="0" applyFont="1" applyFill="1" applyBorder="1" applyAlignment="1">
      <alignment horizontal="center" wrapText="1"/>
    </xf>
    <xf numFmtId="0" fontId="1" fillId="10" borderId="48" xfId="0" applyFont="1" applyFill="1" applyBorder="1" applyAlignment="1">
      <alignment horizontal="center" wrapText="1"/>
    </xf>
    <xf numFmtId="0" fontId="1" fillId="10" borderId="45" xfId="0" applyFont="1" applyFill="1" applyBorder="1" applyAlignment="1">
      <alignment horizontal="center" wrapText="1"/>
    </xf>
    <xf numFmtId="0" fontId="4" fillId="7" borderId="47" xfId="0" applyFont="1" applyFill="1" applyBorder="1" applyAlignment="1" applyProtection="1">
      <alignment horizontal="center"/>
      <protection hidden="1"/>
    </xf>
    <xf numFmtId="0" fontId="4" fillId="7" borderId="48" xfId="0" applyFont="1" applyFill="1" applyBorder="1" applyAlignment="1" applyProtection="1">
      <alignment horizontal="center"/>
      <protection hidden="1"/>
    </xf>
    <xf numFmtId="0" fontId="4" fillId="7" borderId="45" xfId="0" applyFont="1" applyFill="1" applyBorder="1" applyAlignment="1" applyProtection="1">
      <alignment horizontal="center"/>
      <protection hidden="1"/>
    </xf>
    <xf numFmtId="0" fontId="9" fillId="7" borderId="0" xfId="0" applyFont="1" applyFill="1" applyAlignment="1">
      <alignment horizontal="left" vertical="center"/>
    </xf>
    <xf numFmtId="0" fontId="0" fillId="0" borderId="40" xfId="0" applyBorder="1" applyAlignment="1">
      <alignment horizontal="left" vertical="center"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0" fontId="0" fillId="0" borderId="40"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cellXfs>
  <cellStyles count="3">
    <cellStyle name="Input" xfId="2" builtinId="20"/>
    <cellStyle name="Normal" xfId="0" builtinId="0"/>
    <cellStyle name="Per cent" xfId="1" builtinId="5"/>
  </cellStyles>
  <dxfs count="249">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medium">
          <color auto="1"/>
        </left>
        <right style="medium">
          <color auto="1"/>
        </right>
        <top style="medium">
          <color auto="1"/>
        </top>
        <bottom/>
        <vertical/>
        <horizontal/>
      </border>
      <protection locked="1" hidden="0"/>
    </dxf>
    <dxf>
      <border outline="0">
        <bottom style="medium">
          <color auto="1"/>
        </bottom>
      </border>
    </dxf>
    <dxf>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3" formatCode="0%"/>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protection locked="1" hidden="0"/>
    </dxf>
    <dxf>
      <border outline="0">
        <bottom style="medium">
          <color auto="1"/>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protection locked="1" hidden="0"/>
    </dxf>
    <dxf>
      <alignment horizontal="center" vertical="bottom" textRotation="0" wrapText="0" indent="0" justifyLastLine="0" shrinkToFit="0" readingOrder="0"/>
      <border diagonalUp="0" diagonalDown="0">
        <left style="thin">
          <color auto="1"/>
        </left>
        <right style="medium">
          <color auto="1"/>
        </right>
        <top style="thin">
          <color auto="1"/>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style="thin">
          <color auto="1"/>
        </left>
        <right style="medium">
          <color auto="1"/>
        </right>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3" formatCode="0%"/>
      <fill>
        <patternFill patternType="solid">
          <fgColor indexed="64"/>
          <bgColor rgb="FFD9D9D9"/>
        </patternFill>
      </fill>
      <alignment horizontal="center" vertical="center" textRotation="0" wrapText="0" indent="0" justifyLastLine="0" shrinkToFit="0" readingOrder="0"/>
      <border diagonalUp="0" diagonalDown="0">
        <left/>
        <right style="thin">
          <color auto="1"/>
        </right>
        <top style="thin">
          <color auto="1"/>
        </top>
        <bottom style="medium">
          <color auto="1"/>
        </bottom>
        <vertical/>
        <horizontal/>
      </border>
      <protection locked="1" hidden="1"/>
    </dxf>
    <dxf>
      <border outline="0">
        <bottom style="medium">
          <color auto="1"/>
        </bottom>
      </border>
    </dxf>
    <dxf>
      <font>
        <b val="0"/>
        <i val="0"/>
        <strike val="0"/>
        <condense val="0"/>
        <extend val="0"/>
        <outline val="0"/>
        <shadow val="0"/>
        <u val="none"/>
        <vertAlign val="baseline"/>
        <sz val="11"/>
        <color theme="1"/>
        <name val="Calibri"/>
        <family val="2"/>
        <scheme val="minor"/>
      </font>
      <fill>
        <patternFill patternType="solid">
          <fgColor indexed="64"/>
          <bgColor rgb="FFD9D9D9"/>
        </patternFill>
      </fill>
      <alignment horizontal="center" vertical="center" textRotation="0" wrapText="0" indent="0" justifyLastLine="0" shrinkToFit="0" readingOrder="0"/>
      <protection locked="1" hidden="1"/>
    </dxf>
    <dxf>
      <alignment horizontal="center" vertical="bottom" textRotation="0" wrapText="0" indent="0" justifyLastLine="0" shrinkToFit="0" readingOrder="0"/>
      <border diagonalUp="0" diagonalDown="0">
        <left style="thin">
          <color auto="1"/>
        </left>
        <right style="thin">
          <color auto="1"/>
        </right>
        <top style="thin">
          <color auto="1"/>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style="thin">
          <color auto="1"/>
        </left>
        <right style="thin">
          <color auto="1"/>
        </right>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right style="thin">
          <color auto="1"/>
        </right>
        <top style="thin">
          <color auto="1"/>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right style="thin">
          <color auto="1"/>
        </right>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style="medium">
          <color auto="1"/>
        </left>
        <right style="medium">
          <color auto="1"/>
        </right>
        <top style="thin">
          <color auto="1"/>
        </top>
        <bottom/>
        <vertical/>
        <horizontal/>
      </border>
      <protection locked="1" hidden="0"/>
    </dxf>
    <dxf>
      <border outline="0">
        <bottom style="medium">
          <color auto="1"/>
        </bottom>
      </border>
    </dxf>
    <dxf>
      <alignment horizontal="center" vertical="bottom" textRotation="0" wrapText="0" indent="0" justifyLastLine="0" shrinkToFit="0" readingOrder="0"/>
      <protection locked="1" hidden="0"/>
    </dxf>
    <dxf>
      <alignment horizontal="center" vertical="center" textRotation="0" wrapText="0" indent="0" justifyLastLine="0" shrinkToFit="0" readingOrder="0"/>
      <border diagonalUp="0" diagonalDown="0">
        <left style="medium">
          <color auto="1"/>
        </left>
        <right style="medium">
          <color auto="1"/>
        </right>
        <top style="thin">
          <color auto="1"/>
        </top>
        <bottom/>
        <vertical/>
        <horizontal/>
      </border>
      <protection locked="1" hidden="0"/>
    </dxf>
    <dxf>
      <border outline="0">
        <bottom style="thin">
          <color auto="1"/>
        </bottom>
      </border>
    </dxf>
    <dxf>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3" formatCode="0%"/>
      <alignment horizontal="center" vertical="bottom" textRotation="0" wrapText="0" indent="0" justifyLastLine="0" shrinkToFit="0" readingOrder="0"/>
      <border diagonalUp="0" diagonalDown="0">
        <left style="medium">
          <color auto="1"/>
        </left>
        <right style="medium">
          <color auto="1"/>
        </right>
        <top style="thin">
          <color auto="1"/>
        </top>
        <bottom/>
        <vertical/>
        <horizontal/>
      </border>
      <protection locked="1" hidden="0"/>
    </dxf>
    <dxf>
      <border outline="0">
        <bottom style="thin">
          <color auto="1"/>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theme="9" tint="0.39997558519241921"/>
        </right>
        <top style="thin">
          <color theme="9" tint="0.39997558519241921"/>
        </top>
        <bottom style="thin">
          <color theme="9" tint="0.39997558519241921"/>
        </bottom>
        <vertical/>
        <horizontal/>
      </border>
    </dxf>
    <dxf>
      <numFmt numFmtId="2" formatCode="0.00"/>
    </dxf>
    <dxf>
      <border outline="0">
        <bottom style="thin">
          <color theme="4" tint="0.39997558519241921"/>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fill>
        <patternFill patternType="solid">
          <fgColor indexed="64"/>
          <bgColor rgb="FFD9D9D9"/>
        </patternFill>
      </fill>
      <alignment horizontal="center" vertical="center" textRotation="0" indent="0" justifyLastLine="0" shrinkToFit="0" readingOrder="0"/>
      <border diagonalUp="0" diagonalDown="0">
        <left style="thin">
          <color auto="1"/>
        </left>
        <right/>
        <top/>
        <bottom/>
      </border>
      <protection locked="1" hidden="1"/>
    </dxf>
    <dxf>
      <fill>
        <patternFill patternType="solid">
          <fgColor indexed="64"/>
          <bgColor rgb="FFD9D9D9"/>
        </patternFill>
      </fill>
      <alignment horizontal="center" vertical="center" textRotation="0" indent="0" justifyLastLine="0" shrinkToFit="0" readingOrder="0"/>
      <border diagonalUp="0" diagonalDown="0">
        <left style="thin">
          <color auto="1"/>
        </left>
        <right/>
        <top/>
        <bottom/>
      </border>
      <protection locked="1" hidden="1"/>
    </dxf>
    <dxf>
      <fill>
        <patternFill patternType="solid">
          <fgColor indexed="64"/>
          <bgColor rgb="FFD9D9D9"/>
        </patternFill>
      </fill>
      <alignment horizontal="center" vertical="center" textRotation="0" indent="0" justifyLastLine="0" shrinkToFit="0" readingOrder="0"/>
      <border diagonalUp="0" diagonalDown="0">
        <left style="thin">
          <color auto="1"/>
        </left>
        <right/>
        <top/>
        <bottom/>
      </border>
      <protection locked="1" hidden="1"/>
    </dxf>
    <dxf>
      <fill>
        <patternFill patternType="solid">
          <fgColor indexed="64"/>
          <bgColor rgb="FFD9D9D9"/>
        </patternFill>
      </fill>
      <alignment horizontal="center" vertical="center" textRotation="0"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wrapText="1"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indent="0" justifyLastLine="0" shrinkToFit="0" readingOrder="0"/>
      <border diagonalUp="0" diagonalDown="0">
        <left/>
        <right style="thin">
          <color auto="1"/>
        </right>
        <top/>
        <bottom/>
      </border>
      <protection locked="1" hidden="1"/>
    </dxf>
    <dxf>
      <border>
        <top style="medium">
          <color auto="1"/>
        </top>
      </border>
    </dxf>
    <dxf>
      <border>
        <bottom style="medium">
          <color auto="1"/>
        </bottom>
      </border>
    </dxf>
    <dxf>
      <border diagonalUp="0" diagonalDown="0">
        <left style="medium">
          <color auto="1"/>
        </left>
        <right style="medium">
          <color auto="1"/>
        </right>
        <top/>
        <bottom style="medium">
          <color auto="1"/>
        </bottom>
      </border>
    </dxf>
    <dxf>
      <fill>
        <patternFill patternType="solid">
          <fgColor indexed="64"/>
          <bgColor rgb="FFD9D9D9"/>
        </patternFill>
      </fill>
      <alignment horizontal="center" vertical="center" textRotation="0" indent="0" justifyLastLine="0" shrinkToFit="0" readingOrder="0"/>
      <protection locked="1" hidden="1"/>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1" indent="0" justifyLastLine="0" shrinkToFit="0" readingOrder="0"/>
      <border diagonalUp="0" diagonalDown="0">
        <left/>
        <right/>
        <top/>
        <bottom/>
        <vertical/>
        <horizontal/>
      </border>
      <protection locked="1" hidden="0"/>
    </dxf>
    <dxf>
      <fill>
        <patternFill patternType="solid">
          <fgColor indexed="64"/>
          <bgColor rgb="FFD9D9D9"/>
        </patternFill>
      </fill>
      <alignment horizontal="center" vertical="bottom" textRotation="0" indent="0" justifyLastLine="0" shrinkToFit="0" readingOrder="0"/>
      <border diagonalUp="0" diagonalDown="0">
        <left style="thin">
          <color auto="1"/>
        </left>
        <right style="medium">
          <color auto="1"/>
        </right>
        <top style="thin">
          <color auto="1"/>
        </top>
        <bottom style="thin">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alignment horizontal="center" vertical="bottom" textRotation="0" indent="0" justifyLastLine="0" shrinkToFit="0" readingOrder="0"/>
      <border diagonalUp="0" diagonalDown="0">
        <left style="thin">
          <color auto="1"/>
        </left>
        <right style="thin">
          <color auto="1"/>
        </right>
        <top/>
        <bottom/>
        <vertical style="thin">
          <color auto="1"/>
        </vertical>
        <horizontal/>
      </border>
      <protection locked="1" hidden="0"/>
    </dxf>
    <dxf>
      <alignment horizontal="center" vertical="bottom"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protection locked="1" hidden="0"/>
    </dxf>
    <dxf>
      <fill>
        <patternFill patternType="solid">
          <fgColor indexed="64"/>
          <bgColor rgb="FFD9D9D9"/>
        </patternFill>
      </fill>
      <alignment horizontal="center" vertical="bottom" textRotation="0" indent="0" justifyLastLine="0" shrinkToFit="0" readingOrder="0"/>
      <border diagonalUp="0" diagonalDown="0">
        <left style="thin">
          <color auto="1"/>
        </left>
        <right style="medium">
          <color auto="1"/>
        </right>
        <top style="thin">
          <color auto="1"/>
        </top>
        <bottom style="thin">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alignment horizontal="center" vertical="bottom"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alignment horizontal="center" vertical="bottom" textRotation="0" indent="0" justifyLastLine="0" shrinkToFit="0" readingOrder="0"/>
      <protection locked="1" hidden="0"/>
    </dxf>
    <dxf>
      <alignment horizontal="center" vertical="bottom"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protection locked="1" hidden="0"/>
    </dxf>
    <dxf>
      <fill>
        <patternFill patternType="solid">
          <fgColor indexed="64"/>
          <bgColor rgb="FFD9D9D9"/>
        </patternFill>
      </fill>
      <border diagonalUp="0" diagonalDown="0">
        <left style="thin">
          <color auto="1"/>
        </left>
        <right style="medium">
          <color auto="1"/>
        </right>
        <top style="thin">
          <color auto="1"/>
        </top>
        <bottom style="thin">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alignment horizontal="center" vertical="bottom"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alignment horizontal="center" vertical="bottom" textRotation="0" indent="0" justifyLastLine="0" shrinkToFit="0" readingOrder="0"/>
      <border diagonalUp="0" diagonalDown="0">
        <left style="thin">
          <color auto="1"/>
        </left>
        <right style="thin">
          <color auto="1"/>
        </right>
        <top/>
        <bottom/>
        <vertical style="thin">
          <color auto="1"/>
        </vertical>
        <horizontal/>
      </border>
      <protection locked="1" hidden="0"/>
    </dxf>
    <dxf>
      <alignment horizontal="center" vertical="bottom"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protection locked="1" hidden="0"/>
    </dxf>
    <dxf>
      <fill>
        <patternFill patternType="solid">
          <fgColor indexed="64"/>
          <bgColor rgb="FFD9D9D9"/>
        </patternFill>
      </fill>
      <alignment horizontal="center" vertical="center" textRotation="0" wrapText="1" indent="0" justifyLastLine="0" shrinkToFit="0" readingOrder="0"/>
      <border diagonalUp="0" diagonalDown="0">
        <left style="thin">
          <color auto="1"/>
        </left>
        <right style="medium">
          <color auto="1"/>
        </right>
        <top/>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medium">
          <color auto="1"/>
        </right>
        <top/>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wrapText="1"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style="medium">
          <color auto="1"/>
        </left>
        <right style="thin">
          <color auto="1"/>
        </right>
        <top/>
        <bottom/>
      </border>
      <protection locked="1" hidden="1"/>
    </dxf>
    <dxf>
      <border>
        <bottom style="medium">
          <color auto="1"/>
        </bottom>
      </border>
    </dxf>
    <dxf>
      <fill>
        <patternFill patternType="solid">
          <fgColor indexed="64"/>
          <bgColor rgb="FFD9D9D9"/>
        </patternFill>
      </fill>
      <alignment horizontal="center" vertical="center" textRotation="0" wrapText="0" indent="0" justifyLastLine="0" shrinkToFit="0" readingOrder="0"/>
      <protection locked="1" hidden="1"/>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1" indent="0" justifyLastLine="0" shrinkToFit="0" readingOrder="0"/>
      <border diagonalUp="0" diagonalDown="0">
        <left/>
        <right/>
        <top/>
        <bottom/>
        <vertical/>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left style="thin">
          <color auto="1"/>
        </left>
        <right style="medium">
          <color auto="1"/>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protection locked="1" hidden="1"/>
    </dxf>
    <dxf>
      <alignment horizontal="center" textRotation="0" indent="0" justifyLastLine="0" shrinkToFit="0" readingOrder="0"/>
      <protection locked="1" hidden="0"/>
    </dxf>
    <dxf>
      <font>
        <strike val="0"/>
        <outline val="0"/>
        <shadow val="0"/>
        <u val="none"/>
        <vertAlign val="baseline"/>
        <sz val="11"/>
        <color theme="0"/>
        <name val="Calibri"/>
        <family val="2"/>
        <scheme val="minor"/>
      </font>
      <fill>
        <patternFill>
          <bgColor rgb="FF3D6864"/>
        </patternFill>
      </fill>
      <alignment horizontal="center" vertical="bottom" textRotation="0" wrapText="0" indent="0" justifyLastLine="0" shrinkToFit="0" readingOrder="0"/>
      <protection locked="1" hidden="0"/>
    </dxf>
    <dxf>
      <fill>
        <patternFill patternType="solid">
          <fgColor indexed="64"/>
          <bgColor rgb="FFD9D9D9"/>
        </patternFill>
      </fill>
      <alignment horizontal="center" vertical="bottom" textRotation="0" wrapText="0" indent="0" justifyLastLine="0" shrinkToFit="0" readingOrder="0"/>
      <border diagonalUp="0" diagonalDown="0">
        <left style="thin">
          <color auto="1"/>
        </left>
        <right style="medium">
          <color auto="1"/>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numFmt numFmtId="0" formatCode="General"/>
      <alignment horizontal="center" textRotation="0"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theme="0"/>
        <name val="Calibri"/>
        <family val="2"/>
        <scheme val="minor"/>
      </font>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textRotation="0" indent="0" justifyLastLine="0" shrinkToFit="0" readingOrder="0"/>
      <border diagonalUp="0" diagonalDown="0">
        <left style="medium">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bottom/>
      </border>
      <protection locked="1" hidden="1"/>
    </dxf>
    <dxf>
      <alignment horizontal="center"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protection locked="1" hidden="0"/>
    </dxf>
    <dxf>
      <fill>
        <patternFill patternType="solid">
          <fgColor indexed="64"/>
          <bgColor rgb="FFD9D9D9"/>
        </patternFill>
      </fill>
      <alignment horizontal="center" vertical="bottom" textRotation="0" wrapText="0" indent="0" justifyLastLine="0" shrinkToFit="0" readingOrder="0"/>
      <border diagonalUp="0" diagonalDown="0">
        <left style="thin">
          <color auto="1"/>
        </left>
        <right style="medium">
          <color auto="1"/>
        </right>
        <top style="thin">
          <color auto="1"/>
        </top>
        <bottom style="thin">
          <color auto="1"/>
        </bottom>
      </border>
      <protection locked="1" hidden="1"/>
    </dxf>
    <dxf>
      <font>
        <b val="0"/>
        <i val="0"/>
        <strike val="0"/>
        <condense val="0"/>
        <extend val="0"/>
        <outline val="0"/>
        <shadow val="0"/>
        <u val="none"/>
        <vertAlign val="baseline"/>
        <sz val="11"/>
        <color theme="1"/>
        <name val="Calibri"/>
        <family val="2"/>
        <scheme val="minor"/>
      </font>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border>
        <bottom style="medium">
          <color auto="1"/>
        </bottom>
      </border>
    </dxf>
    <dxf>
      <border diagonalUp="0" diagonalDown="0">
        <left style="medium">
          <color auto="1"/>
        </left>
        <right style="medium">
          <color auto="1"/>
        </right>
        <top style="medium">
          <color auto="1"/>
        </top>
        <bottom style="medium">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protection locked="1" hidden="1"/>
    </dxf>
    <dxf>
      <alignment horizontal="center"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1"/>
        <color theme="1"/>
        <name val="Calibri"/>
        <scheme val="minor"/>
      </font>
      <numFmt numFmtId="2" formatCode="0.00"/>
      <fill>
        <patternFill patternType="solid">
          <fgColor indexed="64"/>
          <bgColor rgb="FFD9D9D9"/>
        </patternFill>
      </fill>
      <alignment horizontal="center" vertical="center" textRotation="0" wrapText="0" indent="0" justifyLastLine="0" shrinkToFit="0" readingOrder="0"/>
      <border diagonalUp="0" diagonalDown="0">
        <left style="thin">
          <color auto="1"/>
        </left>
        <right/>
        <top style="thin">
          <color auto="1"/>
        </top>
        <bottom style="thin">
          <color auto="1"/>
        </bottom>
      </border>
      <protection locked="1" hidden="1"/>
    </dxf>
    <dxf>
      <fill>
        <patternFill patternType="solid">
          <fgColor indexed="64"/>
          <bgColor rgb="FFD9D9D9"/>
        </patternFill>
      </fill>
      <alignment horizontal="center" vertical="center" textRotation="0" wrapText="1" indent="0" justifyLastLine="0" shrinkToFit="0" readingOrder="0"/>
      <border diagonalUp="0" diagonalDown="0" outline="0">
        <left style="thin">
          <color auto="1"/>
        </left>
        <right style="medium">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2" formatCode="0.00"/>
      <fill>
        <patternFill patternType="solid">
          <fgColor theme="9" tint="0.79998168889431442"/>
          <bgColor theme="9" tint="0.79998168889431442"/>
        </patternFill>
      </fill>
      <alignment horizontal="center" vertical="center" textRotation="0" wrapText="0" indent="0" justifyLastLine="0" shrinkToFit="0" readingOrder="0"/>
      <border diagonalUp="0" diagonalDown="0" outline="0">
        <left style="thin">
          <color auto="1"/>
        </left>
        <right style="thin">
          <color indexed="64"/>
        </right>
        <top style="thin">
          <color auto="1"/>
        </top>
        <bottom style="thin">
          <color auto="1"/>
        </bottom>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2" formatCode="0.00"/>
      <fill>
        <patternFill patternType="solid">
          <fgColor theme="9" tint="0.79998168889431442"/>
          <bgColor theme="9"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2" formatCode="0.00"/>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0" formatCode="General"/>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wrapText="0" indent="0" justifyLastLine="0" shrinkToFit="0" readingOrder="0"/>
      <border diagonalUp="0" diagonalDown="0" outline="0">
        <left/>
        <right style="thin">
          <color auto="1"/>
        </right>
        <top style="thin">
          <color auto="1"/>
        </top>
        <bottom style="thin">
          <color auto="1"/>
        </bottom>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border>
        <bottom style="thin">
          <color indexed="64"/>
        </bottom>
      </border>
    </dxf>
    <dxf>
      <border diagonalUp="0" diagonalDown="0">
        <left style="medium">
          <color auto="1"/>
        </left>
        <right style="medium">
          <color auto="1"/>
        </right>
        <top/>
        <bottom style="medium">
          <color auto="1"/>
        </bottom>
      </border>
    </dxf>
    <dxf>
      <fill>
        <patternFill>
          <fgColor indexed="64"/>
          <bgColor rgb="FFD9D9D9"/>
        </patternFill>
      </fill>
      <alignment horizontal="center" textRotation="0" indent="0" justifyLastLine="0" shrinkToFit="0" readingOrder="0"/>
      <border diagonalUp="0" diagonalDown="0">
        <left style="thin">
          <color auto="1"/>
        </left>
        <right style="thin">
          <color auto="1"/>
        </right>
        <top/>
        <bottom/>
      </border>
      <protection locked="1" hidden="1"/>
    </dxf>
    <dxf>
      <alignment horizontal="center" textRotation="0" indent="0" justifyLastLine="0" shrinkToFit="0" readingOrder="0"/>
      <protection locked="1" hidden="0"/>
    </dxf>
    <dxf>
      <font>
        <strike val="0"/>
        <outline val="0"/>
        <shadow val="0"/>
        <u val="none"/>
        <sz val="11"/>
        <color theme="0"/>
        <name val="Calibri"/>
        <family val="2"/>
        <scheme val="minor"/>
      </font>
      <fill>
        <patternFill patternType="solid">
          <fgColor indexed="64"/>
          <bgColor rgb="FF3D6864"/>
        </patternFill>
      </fill>
      <alignment horizontal="center" vertical="center" textRotation="0" wrapText="0" indent="0" justifyLastLine="0" shrinkToFit="0" readingOrder="0"/>
      <border diagonalUp="0" diagonalDown="0">
        <left/>
        <right/>
        <top/>
        <bottom/>
        <vertical/>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left style="thin">
          <color auto="1"/>
        </left>
        <right style="medium">
          <color auto="1"/>
        </right>
        <top style="thin">
          <color auto="1"/>
        </top>
        <bottom style="thin">
          <color auto="1"/>
        </bottom>
        <vertical/>
        <horizontal style="thin">
          <color auto="1"/>
        </horizontal>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top style="thin">
          <color auto="1"/>
        </top>
        <bottom style="thin">
          <color auto="1"/>
        </bottom>
      </border>
      <protection locked="0"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bottom"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alignment horizontal="center" textRotation="0" indent="0" justifyLastLine="0" shrinkToFit="0" readingOrder="0"/>
      <protection locked="1" hidden="0"/>
    </dxf>
    <dxf>
      <font>
        <strike val="0"/>
        <outline val="0"/>
        <shadow val="0"/>
        <u val="none"/>
        <sz val="11"/>
        <color theme="0"/>
        <name val="Calibri"/>
        <family val="2"/>
        <scheme val="minor"/>
      </font>
      <fill>
        <patternFill patternType="solid">
          <fgColor indexed="64"/>
          <bgColor rgb="FF3D6864"/>
        </patternFill>
      </fill>
      <alignment horizontal="center" textRotation="0" indent="0" justifyLastLine="0" shrinkToFit="0" readingOrder="0"/>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top style="medium">
          <color auto="1"/>
        </top>
        <bottom style="medium">
          <color auto="1"/>
        </bottom>
      </border>
      <protection locked="1" hidden="1"/>
    </dxf>
    <dxf>
      <numFmt numFmtId="2" formatCode="0.00"/>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numFmt numFmtId="2" formatCode="0.00"/>
      <fill>
        <patternFill patternType="solid">
          <fgColor indexed="64"/>
          <bgColor rgb="FFD9D9D9"/>
        </patternFill>
      </fill>
      <alignment horizontal="center" vertical="center" textRotation="0" wrapText="1"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numFmt numFmtId="2" formatCode="0.00"/>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1"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right style="thin">
          <color auto="1"/>
        </right>
        <top style="medium">
          <color auto="1"/>
        </top>
        <bottom style="medium">
          <color auto="1"/>
        </bottom>
        <vertical style="thin">
          <color auto="1"/>
        </vertical>
        <horizontal style="medium">
          <color auto="1"/>
        </horizontal>
      </border>
      <protection locked="1" hidden="1"/>
    </dxf>
    <dxf>
      <border>
        <top style="medium">
          <color auto="1"/>
        </top>
      </border>
    </dxf>
    <dxf>
      <border>
        <bottom style="medium">
          <color auto="1"/>
        </bottom>
      </border>
    </dxf>
    <dxf>
      <border diagonalUp="0" diagonalDown="0">
        <left style="medium">
          <color auto="1"/>
        </left>
        <right style="medium">
          <color auto="1"/>
        </right>
        <top/>
        <bottom style="medium">
          <color auto="1"/>
        </bottom>
      </border>
    </dxf>
    <dxf>
      <fill>
        <patternFill patternType="solid">
          <fgColor indexed="64"/>
          <bgColor rgb="FFD9D9D9"/>
        </patternFill>
      </fill>
      <alignment horizontal="center" vertical="center" textRotation="0" wrapText="0" indent="0" justifyLastLine="0" shrinkToFit="0" readingOrder="0"/>
      <protection locked="1" hidden="1"/>
    </dxf>
    <dxf>
      <font>
        <strike val="0"/>
        <outline val="0"/>
        <shadow val="0"/>
        <u val="none"/>
        <vertAlign val="baseline"/>
        <sz val="11"/>
        <color theme="0"/>
        <name val="Calibri"/>
        <family val="2"/>
        <scheme val="minor"/>
      </font>
      <fill>
        <patternFill patternType="solid">
          <fgColor indexed="64"/>
          <bgColor rgb="FF3D6864"/>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medium">
          <color auto="1"/>
        </horizontal>
      </border>
      <protection locked="1" hidden="0"/>
    </dxf>
    <dxf>
      <numFmt numFmtId="2" formatCode="0.00"/>
      <fill>
        <patternFill patternType="solid">
          <fgColor indexed="64"/>
          <bgColor rgb="FFD9D9D9"/>
        </patternFill>
      </fill>
      <alignment horizontal="center" vertical="center" textRotation="0" indent="0" justifyLastLine="0" shrinkToFit="0" readingOrder="0"/>
      <border diagonalUp="0" diagonalDown="0">
        <left style="thin">
          <color auto="1"/>
        </left>
        <right style="medium">
          <color auto="1"/>
        </right>
        <top style="thin">
          <color auto="1"/>
        </top>
        <bottom style="thin">
          <color auto="1"/>
        </bottom>
      </border>
      <protection locked="1" hidden="1"/>
    </dxf>
    <dxf>
      <numFmt numFmtId="2" formatCode="0.00"/>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numFmt numFmtId="2" formatCode="0.00"/>
      <alignment horizontal="center" vertical="center" textRotation="0" indent="0" justifyLastLine="0" shrinkToFit="0" readingOrder="0"/>
      <protection locked="1" hidden="0"/>
    </dxf>
    <dxf>
      <alignment horizontal="center" vertical="center" textRotation="0" wrapText="0" indent="0" justifyLastLine="0" shrinkToFit="0" readingOrder="0"/>
      <border diagonalUp="0" diagonalDown="0" outline="0">
        <left/>
        <right/>
        <top style="medium">
          <color auto="1"/>
        </top>
        <bottom style="medium">
          <color auto="1"/>
        </bottom>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alignment horizontal="center" vertical="center" textRotation="0" indent="0" justifyLastLine="0" shrinkToFit="0" readingOrder="0"/>
      <protection locked="1" hidden="0"/>
    </dxf>
    <dxf>
      <alignment horizontal="center" vertical="center" textRotation="0" indent="0" justifyLastLine="0" shrinkToFit="0" readingOrder="0"/>
      <protection locked="1" hidden="0"/>
    </dxf>
    <dxf>
      <font>
        <strike val="0"/>
        <outline val="0"/>
        <shadow val="0"/>
        <u val="none"/>
        <sz val="11"/>
        <color theme="0"/>
        <name val="Calibri"/>
        <family val="2"/>
        <scheme val="minor"/>
      </font>
      <fill>
        <patternFill patternType="solid">
          <fgColor indexed="64"/>
          <bgColor rgb="FF3D6864"/>
        </patternFill>
      </fill>
      <alignment horizontal="center" vertical="center" textRotation="0" indent="0" justifyLastLine="0" shrinkToFit="0" readingOrder="0"/>
      <border diagonalUp="0" diagonalDown="0">
        <left/>
        <right/>
        <top/>
        <bottom/>
        <vertical/>
        <horizontal/>
      </border>
      <protection locked="1" hidden="0"/>
    </dxf>
    <dxf>
      <fill>
        <patternFill patternType="solid">
          <fgColor indexed="64"/>
          <bgColor rgb="FFD9D9D9"/>
        </patternFill>
      </fill>
      <alignment horizontal="center" vertical="center" textRotation="0" indent="0" justifyLastLine="0" shrinkToFit="0" readingOrder="0"/>
      <border diagonalUp="0" diagonalDown="0">
        <left style="thin">
          <color auto="1"/>
        </left>
        <right style="medium">
          <color auto="1"/>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fill>
        <patternFill patternType="solid">
          <fgColor indexed="64"/>
          <bgColor rgb="FFD9D9D9"/>
        </patternFill>
      </fill>
      <alignment horizontal="center" vertical="center" textRotation="0" indent="0" justifyLastLine="0" shrinkToFit="0" readingOrder="0"/>
      <border diagonalUp="0" diagonalDown="0">
        <left style="thin">
          <color auto="1"/>
        </left>
        <right style="thin">
          <color auto="1"/>
        </right>
        <top/>
        <bottom/>
        <vertical style="thin">
          <color auto="1"/>
        </vertical>
        <horizontal/>
      </border>
      <protection locked="1" hidden="0"/>
    </dxf>
    <dxf>
      <alignment horizontal="center" vertical="center" textRotation="0" indent="0" justifyLastLine="0" shrinkToFit="0" readingOrder="0"/>
      <protection locked="1" hidden="0"/>
    </dxf>
    <dxf>
      <font>
        <strike val="0"/>
        <outline val="0"/>
        <shadow val="0"/>
        <u val="none"/>
        <sz val="11"/>
        <color theme="0"/>
        <name val="Calibri"/>
        <family val="2"/>
        <scheme val="minor"/>
      </font>
      <fill>
        <patternFill patternType="solid">
          <fgColor indexed="64"/>
          <bgColor rgb="FF3D6864"/>
        </patternFill>
      </fill>
      <alignment horizontal="center" vertical="center" textRotation="0" indent="0" justifyLastLine="0" shrinkToFit="0" readingOrder="0"/>
      <protection locked="1" hidden="0"/>
    </dxf>
  </dxfs>
  <tableStyles count="0" defaultTableStyle="TableStyleMedium2" defaultPivotStyle="PivotStyleLight16"/>
  <colors>
    <mruColors>
      <color rgb="FFD9D9D9"/>
      <color rgb="FF3D6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xdr:colOff>
      <xdr:row>4</xdr:row>
      <xdr:rowOff>180973</xdr:rowOff>
    </xdr:from>
    <xdr:to>
      <xdr:col>15</xdr:col>
      <xdr:colOff>0</xdr:colOff>
      <xdr:row>41</xdr:row>
      <xdr:rowOff>47625</xdr:rowOff>
    </xdr:to>
    <xdr:sp macro="" textlink="">
      <xdr:nvSpPr>
        <xdr:cNvPr id="2" name="Instructions">
          <a:extLst>
            <a:ext uri="{FF2B5EF4-FFF2-40B4-BE49-F238E27FC236}">
              <a16:creationId xmlns:a16="http://schemas.microsoft.com/office/drawing/2014/main" id="{605D0547-8147-420C-85E8-9A4BC1253DB6}"/>
            </a:ext>
          </a:extLst>
        </xdr:cNvPr>
        <xdr:cNvSpPr txBox="1"/>
      </xdr:nvSpPr>
      <xdr:spPr>
        <a:xfrm>
          <a:off x="619125" y="942973"/>
          <a:ext cx="7305675" cy="6915152"/>
        </a:xfrm>
        <a:prstGeom prst="rect">
          <a:avLst/>
        </a:prstGeom>
        <a:solidFill>
          <a:schemeClr val="lt1"/>
        </a:solidFill>
        <a:ln w="19050" cmpd="sng">
          <a:solidFill>
            <a:srgbClr val="3D686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Applicability of this calculator tool to the BREEAM Family of Schemes (BREEAM, CEEQUAL, HQM)</a:t>
          </a:r>
          <a:endParaRPr lang="en-GB" sz="1100">
            <a:solidFill>
              <a:schemeClr val="dk1"/>
            </a:solidFill>
            <a:effectLst/>
            <a:latin typeface="+mn-lt"/>
            <a:ea typeface="+mn-ea"/>
            <a:cs typeface="+mn-cs"/>
          </a:endParaRPr>
        </a:p>
        <a:p>
          <a:r>
            <a:rPr lang="x-none"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x-none" sz="1100">
              <a:solidFill>
                <a:schemeClr val="dk1"/>
              </a:solidFill>
              <a:effectLst/>
              <a:latin typeface="+mn-lt"/>
              <a:ea typeface="+mn-ea"/>
              <a:cs typeface="+mn-cs"/>
            </a:rPr>
            <a:t>This calculator</a:t>
          </a:r>
          <a:r>
            <a:rPr lang="en-GB" sz="1100">
              <a:solidFill>
                <a:schemeClr val="dk1"/>
              </a:solidFill>
              <a:effectLst/>
              <a:latin typeface="+mn-lt"/>
              <a:ea typeface="+mn-ea"/>
              <a:cs typeface="+mn-cs"/>
            </a:rPr>
            <a:t> tool </a:t>
          </a:r>
          <a:r>
            <a:rPr lang="x-none" sz="1100">
              <a:solidFill>
                <a:schemeClr val="dk1"/>
              </a:solidFill>
              <a:effectLst/>
              <a:latin typeface="+mn-lt"/>
              <a:ea typeface="+mn-ea"/>
              <a:cs typeface="+mn-cs"/>
            </a:rPr>
            <a:t>is applicable for BREEAM, CEEQUAL and HQM schemes used in the UK which opened for registrations from 2018 onwards.</a:t>
          </a:r>
          <a:endParaRPr lang="en-GB" sz="1100">
            <a:solidFill>
              <a:schemeClr val="dk1"/>
            </a:solidFill>
            <a:effectLst/>
            <a:latin typeface="+mn-lt"/>
            <a:ea typeface="+mn-ea"/>
            <a:cs typeface="+mn-cs"/>
          </a:endParaRPr>
        </a:p>
        <a:p>
          <a:r>
            <a:rPr lang="x-none"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x-none" sz="1100">
              <a:solidFill>
                <a:schemeClr val="dk1"/>
              </a:solidFill>
              <a:effectLst/>
              <a:latin typeface="+mn-lt"/>
              <a:ea typeface="+mn-ea"/>
              <a:cs typeface="+mn-cs"/>
            </a:rPr>
            <a:t>The relevance of </a:t>
          </a:r>
          <a:r>
            <a:rPr lang="en-GB" sz="1100">
              <a:solidFill>
                <a:schemeClr val="dk1"/>
              </a:solidFill>
              <a:effectLst/>
              <a:latin typeface="+mn-lt"/>
              <a:ea typeface="+mn-ea"/>
              <a:cs typeface="+mn-cs"/>
            </a:rPr>
            <a:t>this </a:t>
          </a:r>
          <a:r>
            <a:rPr lang="x-none" sz="1100">
              <a:solidFill>
                <a:schemeClr val="dk1"/>
              </a:solidFill>
              <a:effectLst/>
              <a:latin typeface="+mn-lt"/>
              <a:ea typeface="+mn-ea"/>
              <a:cs typeface="+mn-cs"/>
            </a:rPr>
            <a:t>t</a:t>
          </a:r>
          <a:r>
            <a:rPr lang="en-GB" sz="1100">
              <a:solidFill>
                <a:schemeClr val="dk1"/>
              </a:solidFill>
              <a:effectLst/>
              <a:latin typeface="+mn-lt"/>
              <a:ea typeface="+mn-ea"/>
              <a:cs typeface="+mn-cs"/>
            </a:rPr>
            <a:t>ool</a:t>
          </a:r>
          <a:r>
            <a:rPr lang="x-none" sz="1100">
              <a:solidFill>
                <a:schemeClr val="dk1"/>
              </a:solidFill>
              <a:effectLst/>
              <a:latin typeface="+mn-lt"/>
              <a:ea typeface="+mn-ea"/>
              <a:cs typeface="+mn-cs"/>
            </a:rPr>
            <a:t> to a project </a:t>
          </a:r>
          <a:r>
            <a:rPr lang="en-GB" sz="1100">
              <a:solidFill>
                <a:schemeClr val="dk1"/>
              </a:solidFill>
              <a:effectLst/>
              <a:latin typeface="+mn-lt"/>
              <a:ea typeface="+mn-ea"/>
              <a:cs typeface="+mn-cs"/>
            </a:rPr>
            <a:t>being assessed with </a:t>
          </a:r>
          <a:r>
            <a:rPr lang="x-none" sz="1100">
              <a:solidFill>
                <a:schemeClr val="dk1"/>
              </a:solidFill>
              <a:effectLst/>
              <a:latin typeface="+mn-lt"/>
              <a:ea typeface="+mn-ea"/>
              <a:cs typeface="+mn-cs"/>
            </a:rPr>
            <a:t>any of these schemes is dependent on the </a:t>
          </a:r>
          <a:r>
            <a:rPr lang="en-GB" sz="1100">
              <a:solidFill>
                <a:schemeClr val="dk1"/>
              </a:solidFill>
              <a:effectLst/>
              <a:latin typeface="+mn-lt"/>
              <a:ea typeface="+mn-ea"/>
              <a:cs typeface="+mn-cs"/>
            </a:rPr>
            <a:t>scheme’s </a:t>
          </a:r>
          <a:r>
            <a:rPr lang="x-none" sz="1100">
              <a:solidFill>
                <a:schemeClr val="dk1"/>
              </a:solidFill>
              <a:effectLst/>
              <a:latin typeface="+mn-lt"/>
              <a:ea typeface="+mn-ea"/>
              <a:cs typeface="+mn-cs"/>
            </a:rPr>
            <a:t>version being used. Reference should be made to the scheme Technical </a:t>
          </a:r>
          <a:r>
            <a:rPr lang="en-GB" sz="1100">
              <a:solidFill>
                <a:schemeClr val="dk1"/>
              </a:solidFill>
              <a:effectLst/>
              <a:latin typeface="+mn-lt"/>
              <a:ea typeface="+mn-ea"/>
              <a:cs typeface="+mn-cs"/>
            </a:rPr>
            <a:t>M</a:t>
          </a:r>
          <a:r>
            <a:rPr lang="x-none" sz="1100">
              <a:solidFill>
                <a:schemeClr val="dk1"/>
              </a:solidFill>
              <a:effectLst/>
              <a:latin typeface="+mn-lt"/>
              <a:ea typeface="+mn-ea"/>
              <a:cs typeface="+mn-cs"/>
            </a:rPr>
            <a:t>anual</a:t>
          </a:r>
          <a:r>
            <a:rPr lang="en-GB" sz="1100">
              <a:solidFill>
                <a:schemeClr val="dk1"/>
              </a:solidFill>
              <a:effectLst/>
              <a:latin typeface="+mn-lt"/>
              <a:ea typeface="+mn-ea"/>
              <a:cs typeface="+mn-cs"/>
            </a:rPr>
            <a:t> and specifically the assessment issue content </a:t>
          </a:r>
          <a:r>
            <a:rPr lang="x-none" sz="1100">
              <a:solidFill>
                <a:schemeClr val="dk1"/>
              </a:solidFill>
              <a:effectLst/>
              <a:latin typeface="+mn-lt"/>
              <a:ea typeface="+mn-ea"/>
              <a:cs typeface="+mn-cs"/>
            </a:rPr>
            <a:t>to determine this. </a:t>
          </a:r>
          <a:r>
            <a:rPr lang="en-GB" sz="1100">
              <a:solidFill>
                <a:schemeClr val="dk1"/>
              </a:solidFill>
              <a:effectLst/>
              <a:latin typeface="+mn-lt"/>
              <a:ea typeface="+mn-ea"/>
              <a:cs typeface="+mn-cs"/>
            </a:rPr>
            <a:t>If the assessment criteria do not require completion of this tool, </a:t>
          </a:r>
          <a:r>
            <a:rPr lang="x-none" sz="1100">
              <a:solidFill>
                <a:schemeClr val="dk1"/>
              </a:solidFill>
              <a:effectLst/>
              <a:latin typeface="+mn-lt"/>
              <a:ea typeface="+mn-ea"/>
              <a:cs typeface="+mn-cs"/>
            </a:rPr>
            <a:t>the</a:t>
          </a:r>
          <a:r>
            <a:rPr lang="en-GB" sz="1100">
              <a:solidFill>
                <a:schemeClr val="dk1"/>
              </a:solidFill>
              <a:effectLst/>
              <a:latin typeface="+mn-lt"/>
              <a:ea typeface="+mn-ea"/>
              <a:cs typeface="+mn-cs"/>
            </a:rPr>
            <a:t> information </a:t>
          </a:r>
          <a:r>
            <a:rPr lang="x-none" sz="1100">
              <a:solidFill>
                <a:schemeClr val="dk1"/>
              </a:solidFill>
              <a:effectLst/>
              <a:latin typeface="+mn-lt"/>
              <a:ea typeface="+mn-ea"/>
              <a:cs typeface="+mn-cs"/>
            </a:rPr>
            <a:t>set out here is not relevant and </a:t>
          </a:r>
          <a:r>
            <a:rPr lang="en-GB" sz="1100">
              <a:solidFill>
                <a:schemeClr val="dk1"/>
              </a:solidFill>
              <a:effectLst/>
              <a:latin typeface="+mn-lt"/>
              <a:ea typeface="+mn-ea"/>
              <a:cs typeface="+mn-cs"/>
            </a:rPr>
            <a:t>it </a:t>
          </a:r>
          <a:r>
            <a:rPr lang="x-none" sz="1100">
              <a:solidFill>
                <a:schemeClr val="dk1"/>
              </a:solidFill>
              <a:effectLst/>
              <a:latin typeface="+mn-lt"/>
              <a:ea typeface="+mn-ea"/>
              <a:cs typeface="+mn-cs"/>
            </a:rPr>
            <a:t>cannot be used </a:t>
          </a:r>
          <a:r>
            <a:rPr lang="en-GB" sz="1100">
              <a:solidFill>
                <a:schemeClr val="dk1"/>
              </a:solidFill>
              <a:effectLst/>
              <a:latin typeface="+mn-lt"/>
              <a:ea typeface="+mn-ea"/>
              <a:cs typeface="+mn-cs"/>
            </a:rPr>
            <a:t>for </a:t>
          </a:r>
          <a:r>
            <a:rPr lang="x-none" sz="1100">
              <a:solidFill>
                <a:schemeClr val="dk1"/>
              </a:solidFill>
              <a:effectLst/>
              <a:latin typeface="+mn-lt"/>
              <a:ea typeface="+mn-ea"/>
              <a:cs typeface="+mn-cs"/>
            </a:rPr>
            <a:t>demonstrating compliance with the assessment criteria in those</a:t>
          </a:r>
          <a:r>
            <a:rPr lang="en-GB" sz="1100">
              <a:solidFill>
                <a:schemeClr val="dk1"/>
              </a:solidFill>
              <a:effectLst/>
              <a:latin typeface="+mn-lt"/>
              <a:ea typeface="+mn-ea"/>
              <a:cs typeface="+mn-cs"/>
            </a:rPr>
            <a:t> scheme</a:t>
          </a:r>
          <a:r>
            <a:rPr lang="x-none" sz="1100">
              <a:solidFill>
                <a:schemeClr val="dk1"/>
              </a:solidFill>
              <a:effectLst/>
              <a:latin typeface="+mn-lt"/>
              <a:ea typeface="+mn-ea"/>
              <a:cs typeface="+mn-cs"/>
            </a:rPr>
            <a:t> versions.</a:t>
          </a:r>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Instructions for Use:</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obtain habitat type references and associated input values, please refer to GN36 Appendix C, which is available from the Resources section of the BREEAM website, the Assessor Extranet or BREEAM Projects</a:t>
          </a:r>
          <a:r>
            <a:rPr lang="en-GB" sz="1100" baseline="0">
              <a:solidFill>
                <a:schemeClr val="dk1"/>
              </a:solidFill>
              <a:effectLst/>
              <a:latin typeface="+mn-lt"/>
              <a:ea typeface="+mn-ea"/>
              <a:cs typeface="+mn-cs"/>
            </a:rPr>
            <a:t> website</a:t>
          </a:r>
          <a:r>
            <a:rPr lang="en-GB" sz="1100">
              <a:solidFill>
                <a:schemeClr val="dk1"/>
              </a:solidFill>
              <a:effectLst/>
              <a:latin typeface="+mn-lt"/>
              <a:ea typeface="+mn-ea"/>
              <a:cs typeface="+mn-cs"/>
            </a:rPr>
            <a:t>. Habitat types entered into the tool should reflect either the Phase 1 types or Defra 2012b types provided in the appendix.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All details need to be completed before a score is given. If any information is entered into any line of the tool, all fields should be completed; if a particular habitat type is not applicable, it should be left entirely blank.</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When entering area-based information, either Hectares or Square Metres can be used. This must be kept consistent throughout the assessment. </a:t>
          </a:r>
        </a:p>
        <a:p>
          <a:br>
            <a:rPr lang="en-GB" sz="1100">
              <a:solidFill>
                <a:schemeClr val="dk1"/>
              </a:solidFill>
              <a:effectLst/>
              <a:latin typeface="+mn-lt"/>
              <a:ea typeface="+mn-ea"/>
              <a:cs typeface="+mn-cs"/>
            </a:rPr>
          </a:br>
          <a:r>
            <a:rPr lang="en-GB" sz="1100">
              <a:solidFill>
                <a:schemeClr val="dk1"/>
              </a:solidFill>
              <a:effectLst/>
              <a:latin typeface="+mn-lt"/>
              <a:ea typeface="+mn-ea"/>
              <a:cs typeface="+mn-cs"/>
            </a:rPr>
            <a:t>All length-based measurements should be given in Metres.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If the project meets the necessary requirements to undergo a simplified calculation method (See GN36 BREEAM, CEEQUAL and HQM Ecology Calculation Methodology - Route 2 Section 4 for further information), all condition scores should be marked as "Moderate", unless evidence can be provided that the habitat is in "Good" condition.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On the "Summary" tab, only cells highlighted need to be completed by the Ecologist, the remaining cells will update, based on the information provided in the tool.</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aid navigation, the tool currently provides 25 habitat parcels for each habitat type and due to cell protection, it is not possible to add new rows. If this number is insufficient for the project being assessed, please contact </a:t>
          </a:r>
          <a:r>
            <a:rPr lang="en-GB" sz="1100" u="sng">
              <a:solidFill>
                <a:schemeClr val="dk1"/>
              </a:solidFill>
              <a:effectLst/>
              <a:latin typeface="+mn-lt"/>
              <a:ea typeface="+mn-ea"/>
              <a:cs typeface="+mn-cs"/>
            </a:rPr>
            <a:t>BREEAM@bre.co.uk</a:t>
          </a:r>
          <a:r>
            <a:rPr lang="en-GB" sz="1100">
              <a:solidFill>
                <a:schemeClr val="dk1"/>
              </a:solidFill>
              <a:effectLst/>
              <a:latin typeface="+mn-lt"/>
              <a:ea typeface="+mn-ea"/>
              <a:cs typeface="+mn-cs"/>
            </a:rPr>
            <a:t> and request additional rows. Please specify an estimate of the number of rows required to complete the assessment when contacting BREEAM.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understand further about how the final score is determined, please refer to GN36 BREEAM, CEEQUAL and HQM Ecology Calculation Methodology - Route 2 for full details on the calculation methodology.</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determine</a:t>
          </a:r>
          <a:r>
            <a:rPr lang="en-GB" sz="1100" baseline="0">
              <a:solidFill>
                <a:schemeClr val="dk1"/>
              </a:solidFill>
              <a:effectLst/>
              <a:latin typeface="+mn-lt"/>
              <a:ea typeface="+mn-ea"/>
              <a:cs typeface="+mn-cs"/>
            </a:rPr>
            <a:t> the number of credits or points that could be awarded based on the result obtained, please refer to the 'Credit Award Matrix' tab or the relevant Technical Manual.</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endParaRPr lang="en-GB" sz="1100">
            <a:solidFill>
              <a:schemeClr val="dk1"/>
            </a:solidFill>
            <a:effectLst/>
            <a:latin typeface="+mn-lt"/>
            <a:ea typeface="+mn-ea"/>
            <a:cs typeface="+mn-cs"/>
          </a:endParaRPr>
        </a:p>
      </xdr:txBody>
    </xdr:sp>
    <xdr:clientData/>
  </xdr:twoCellAnchor>
  <xdr:twoCellAnchor>
    <xdr:from>
      <xdr:col>3</xdr:col>
      <xdr:colOff>23041</xdr:colOff>
      <xdr:row>0</xdr:row>
      <xdr:rowOff>142875</xdr:rowOff>
    </xdr:from>
    <xdr:to>
      <xdr:col>9</xdr:col>
      <xdr:colOff>581025</xdr:colOff>
      <xdr:row>3</xdr:row>
      <xdr:rowOff>169758</xdr:rowOff>
    </xdr:to>
    <xdr:grpSp>
      <xdr:nvGrpSpPr>
        <xdr:cNvPr id="11" name="Group 10">
          <a:extLst>
            <a:ext uri="{FF2B5EF4-FFF2-40B4-BE49-F238E27FC236}">
              <a16:creationId xmlns:a16="http://schemas.microsoft.com/office/drawing/2014/main" id="{9A611867-8898-4796-A811-ECA4247DA730}"/>
            </a:ext>
          </a:extLst>
        </xdr:cNvPr>
        <xdr:cNvGrpSpPr/>
      </xdr:nvGrpSpPr>
      <xdr:grpSpPr>
        <a:xfrm>
          <a:off x="632641" y="142875"/>
          <a:ext cx="4215584" cy="598383"/>
          <a:chOff x="632641" y="142875"/>
          <a:chExt cx="4215584" cy="598383"/>
        </a:xfrm>
      </xdr:grpSpPr>
      <xdr:pic>
        <xdr:nvPicPr>
          <xdr:cNvPr id="3" name="Picture 21">
            <a:extLst>
              <a:ext uri="{FF2B5EF4-FFF2-40B4-BE49-F238E27FC236}">
                <a16:creationId xmlns:a16="http://schemas.microsoft.com/office/drawing/2014/main" id="{165F4B66-B62C-42AD-A654-B5900E408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Picture 8">
            <a:extLst>
              <a:ext uri="{FF2B5EF4-FFF2-40B4-BE49-F238E27FC236}">
                <a16:creationId xmlns:a16="http://schemas.microsoft.com/office/drawing/2014/main" id="{BC80ACCE-F229-42B7-B3BE-90B341FC1C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10" name="Picture 9">
            <a:extLst>
              <a:ext uri="{FF2B5EF4-FFF2-40B4-BE49-F238E27FC236}">
                <a16:creationId xmlns:a16="http://schemas.microsoft.com/office/drawing/2014/main" id="{1A934691-AD30-4668-8ABA-E3C894B615F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54428</xdr:colOff>
      <xdr:row>28</xdr:row>
      <xdr:rowOff>136071</xdr:rowOff>
    </xdr:from>
    <xdr:to>
      <xdr:col>3</xdr:col>
      <xdr:colOff>1566180</xdr:colOff>
      <xdr:row>36</xdr:row>
      <xdr:rowOff>85142</xdr:rowOff>
    </xdr:to>
    <xdr:grpSp>
      <xdr:nvGrpSpPr>
        <xdr:cNvPr id="2" name="Group 1">
          <a:extLst>
            <a:ext uri="{FF2B5EF4-FFF2-40B4-BE49-F238E27FC236}">
              <a16:creationId xmlns:a16="http://schemas.microsoft.com/office/drawing/2014/main" id="{944388FF-F3F3-47DB-9B5F-91EA5FA4E122}"/>
            </a:ext>
          </a:extLst>
        </xdr:cNvPr>
        <xdr:cNvGrpSpPr/>
      </xdr:nvGrpSpPr>
      <xdr:grpSpPr>
        <a:xfrm>
          <a:off x="140153" y="7432221"/>
          <a:ext cx="7036252" cy="1473071"/>
          <a:chOff x="13001726" y="350285"/>
          <a:chExt cx="7066187" cy="1473071"/>
        </a:xfrm>
      </xdr:grpSpPr>
      <xdr:sp macro="" textlink="">
        <xdr:nvSpPr>
          <xdr:cNvPr id="3" name="TextBox 2">
            <a:extLst>
              <a:ext uri="{FF2B5EF4-FFF2-40B4-BE49-F238E27FC236}">
                <a16:creationId xmlns:a16="http://schemas.microsoft.com/office/drawing/2014/main" id="{039E2DE8-6BCD-4063-9303-5732B675704F}"/>
              </a:ext>
            </a:extLst>
          </xdr:cNvPr>
          <xdr:cNvSpPr txBox="1"/>
        </xdr:nvSpPr>
        <xdr:spPr bwMode="auto">
          <a:xfrm>
            <a:off x="13001726" y="350285"/>
            <a:ext cx="7013219" cy="1473071"/>
          </a:xfrm>
          <a:prstGeom prst="rect">
            <a:avLst/>
          </a:prstGeom>
          <a:solidFill>
            <a:srgbClr val="3D6864"/>
          </a:solid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b="1" baseline="0">
                <a:solidFill>
                  <a:schemeClr val="bg1"/>
                </a:solidFill>
              </a:rPr>
              <a:t> </a:t>
            </a:r>
            <a:endParaRPr lang="en-GB" sz="1000" b="0">
              <a:solidFill>
                <a:schemeClr val="bg1"/>
              </a:solidFill>
            </a:endParaRPr>
          </a:p>
        </xdr:txBody>
      </xdr:sp>
      <xdr:sp macro="" textlink="">
        <xdr:nvSpPr>
          <xdr:cNvPr id="4" name="Rectangle 3">
            <a:extLst>
              <a:ext uri="{FF2B5EF4-FFF2-40B4-BE49-F238E27FC236}">
                <a16:creationId xmlns:a16="http://schemas.microsoft.com/office/drawing/2014/main" id="{1917C23B-9F54-448D-B3D4-2B80B9667C40}"/>
              </a:ext>
            </a:extLst>
          </xdr:cNvPr>
          <xdr:cNvSpPr/>
        </xdr:nvSpPr>
        <xdr:spPr bwMode="auto">
          <a:xfrm>
            <a:off x="13079044" y="478477"/>
            <a:ext cx="1214641" cy="4678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sp macro="" textlink="">
        <xdr:nvSpPr>
          <xdr:cNvPr id="5" name="Rectangle 4">
            <a:extLst>
              <a:ext uri="{FF2B5EF4-FFF2-40B4-BE49-F238E27FC236}">
                <a16:creationId xmlns:a16="http://schemas.microsoft.com/office/drawing/2014/main" id="{0BE3C85A-A6DC-4733-89F7-5FB9C49F35E0}"/>
              </a:ext>
            </a:extLst>
          </xdr:cNvPr>
          <xdr:cNvSpPr/>
        </xdr:nvSpPr>
        <xdr:spPr bwMode="auto">
          <a:xfrm>
            <a:off x="13079044" y="1132840"/>
            <a:ext cx="1214641" cy="467886"/>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sp macro="" textlink="">
        <xdr:nvSpPr>
          <xdr:cNvPr id="6" name="TextBox 5">
            <a:extLst>
              <a:ext uri="{FF2B5EF4-FFF2-40B4-BE49-F238E27FC236}">
                <a16:creationId xmlns:a16="http://schemas.microsoft.com/office/drawing/2014/main" id="{EE32C7CD-8871-409E-84DB-E994B35FCD92}"/>
              </a:ext>
            </a:extLst>
          </xdr:cNvPr>
          <xdr:cNvSpPr txBox="1"/>
        </xdr:nvSpPr>
        <xdr:spPr bwMode="auto">
          <a:xfrm>
            <a:off x="14315294" y="508914"/>
            <a:ext cx="5752619" cy="1096208"/>
          </a:xfrm>
          <a:prstGeom prst="rect">
            <a:avLst/>
          </a:prstGeom>
          <a:no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GB" sz="1100" b="0" i="1">
                <a:solidFill>
                  <a:schemeClr val="bg1"/>
                </a:solidFill>
              </a:rPr>
              <a:t>Cells that are white with a black border require the user to input information,</a:t>
            </a:r>
            <a:r>
              <a:rPr lang="en-GB" sz="1100" b="0" i="1" baseline="0">
                <a:solidFill>
                  <a:schemeClr val="bg1"/>
                </a:solidFill>
              </a:rPr>
              <a:t> either by selecting from the available options </a:t>
            </a:r>
            <a:r>
              <a:rPr lang="en-GB" sz="1100" b="0" i="1">
                <a:solidFill>
                  <a:schemeClr val="bg1"/>
                </a:solidFill>
              </a:rPr>
              <a:t>or</a:t>
            </a:r>
            <a:r>
              <a:rPr lang="en-GB" sz="1100" b="0" i="1" baseline="0">
                <a:solidFill>
                  <a:schemeClr val="bg1"/>
                </a:solidFill>
              </a:rPr>
              <a:t> entering the required </a:t>
            </a:r>
            <a:r>
              <a:rPr lang="en-GB" sz="1100" b="0" i="1">
                <a:solidFill>
                  <a:schemeClr val="bg1"/>
                </a:solidFill>
              </a:rPr>
              <a:t>data.</a:t>
            </a:r>
          </a:p>
        </xdr:txBody>
      </xdr:sp>
      <xdr:sp macro="" textlink="">
        <xdr:nvSpPr>
          <xdr:cNvPr id="7" name="TextBox 6">
            <a:extLst>
              <a:ext uri="{FF2B5EF4-FFF2-40B4-BE49-F238E27FC236}">
                <a16:creationId xmlns:a16="http://schemas.microsoft.com/office/drawing/2014/main" id="{E20C1A81-CACE-4ADF-8027-3E1D25B6EA7D}"/>
              </a:ext>
            </a:extLst>
          </xdr:cNvPr>
          <xdr:cNvSpPr txBox="1"/>
        </xdr:nvSpPr>
        <xdr:spPr bwMode="auto">
          <a:xfrm>
            <a:off x="14325889" y="1084442"/>
            <a:ext cx="5667869" cy="576543"/>
          </a:xfrm>
          <a:prstGeom prst="rect">
            <a:avLst/>
          </a:prstGeom>
          <a:no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GB" sz="1100" b="0" i="1">
                <a:solidFill>
                  <a:schemeClr val="bg1"/>
                </a:solidFill>
                <a:latin typeface="+mn-lt"/>
              </a:rPr>
              <a:t>Cells that are light</a:t>
            </a:r>
            <a:r>
              <a:rPr lang="en-GB" sz="1100" b="0" i="1" baseline="0">
                <a:solidFill>
                  <a:schemeClr val="bg1"/>
                </a:solidFill>
                <a:latin typeface="+mn-lt"/>
              </a:rPr>
              <a:t> </a:t>
            </a:r>
            <a:r>
              <a:rPr lang="en-GB" sz="1100" b="0" i="1">
                <a:solidFill>
                  <a:schemeClr val="bg1"/>
                </a:solidFill>
                <a:latin typeface="+mn-lt"/>
              </a:rPr>
              <a:t>grey (with</a:t>
            </a:r>
            <a:r>
              <a:rPr lang="en-GB" sz="1100" b="0" i="1" baseline="0">
                <a:solidFill>
                  <a:schemeClr val="bg1"/>
                </a:solidFill>
                <a:latin typeface="+mn-lt"/>
              </a:rPr>
              <a:t>/without black border)</a:t>
            </a:r>
            <a:r>
              <a:rPr lang="en-GB" sz="1100" b="0" i="1">
                <a:solidFill>
                  <a:schemeClr val="bg1"/>
                </a:solidFill>
                <a:latin typeface="+mn-lt"/>
              </a:rPr>
              <a:t> contain</a:t>
            </a:r>
            <a:r>
              <a:rPr lang="en-GB" sz="1100" b="0" i="1" baseline="0">
                <a:solidFill>
                  <a:schemeClr val="bg1"/>
                </a:solidFill>
                <a:latin typeface="+mn-lt"/>
              </a:rPr>
              <a:t> </a:t>
            </a:r>
            <a:r>
              <a:rPr lang="en-GB" sz="1100" b="0" i="1">
                <a:solidFill>
                  <a:schemeClr val="bg1"/>
                </a:solidFill>
                <a:latin typeface="+mn-lt"/>
              </a:rPr>
              <a:t>information for the user </a:t>
            </a:r>
            <a:r>
              <a:rPr lang="en-GB" sz="1100" b="0" i="1">
                <a:solidFill>
                  <a:schemeClr val="bg1"/>
                </a:solidFill>
                <a:latin typeface="+mn-lt"/>
                <a:ea typeface="+mn-ea"/>
                <a:cs typeface="+mn-cs"/>
              </a:rPr>
              <a:t>and/or automated </a:t>
            </a:r>
            <a:r>
              <a:rPr lang="en-GB" sz="1100" b="0" i="1">
                <a:solidFill>
                  <a:schemeClr val="bg1"/>
                </a:solidFill>
                <a:latin typeface="+mn-lt"/>
              </a:rPr>
              <a:t>calculation. They do not require the user to</a:t>
            </a:r>
            <a:r>
              <a:rPr lang="en-GB" sz="1100" b="0" i="1" baseline="0">
                <a:solidFill>
                  <a:schemeClr val="bg1"/>
                </a:solidFill>
                <a:latin typeface="+mn-lt"/>
              </a:rPr>
              <a:t> </a:t>
            </a:r>
            <a:r>
              <a:rPr lang="en-GB" sz="1100" b="0" i="1">
                <a:solidFill>
                  <a:schemeClr val="bg1"/>
                </a:solidFill>
                <a:latin typeface="+mn-lt"/>
              </a:rPr>
              <a:t>input</a:t>
            </a:r>
            <a:r>
              <a:rPr lang="en-GB" sz="1100" b="0" i="1" baseline="0">
                <a:solidFill>
                  <a:schemeClr val="bg1"/>
                </a:solidFill>
                <a:latin typeface="+mn-lt"/>
              </a:rPr>
              <a:t> or select </a:t>
            </a:r>
            <a:r>
              <a:rPr lang="en-GB" sz="1100" b="0" i="1" baseline="0">
                <a:solidFill>
                  <a:schemeClr val="bg1"/>
                </a:solidFill>
                <a:effectLst/>
                <a:latin typeface="+mn-lt"/>
              </a:rPr>
              <a:t>data</a:t>
            </a:r>
            <a:r>
              <a:rPr lang="en-GB" sz="1100" b="0" i="1" baseline="0">
                <a:solidFill>
                  <a:schemeClr val="bg1"/>
                </a:solidFill>
                <a:latin typeface="+mn-lt"/>
              </a:rPr>
              <a:t>.</a:t>
            </a:r>
            <a:endParaRPr lang="en-GB" sz="1100" b="0" i="1">
              <a:solidFill>
                <a:schemeClr val="bg1"/>
              </a:solidFill>
              <a:latin typeface="+mn-lt"/>
              <a:ea typeface="+mn-ea"/>
              <a:cs typeface="+mn-cs"/>
            </a:endParaRPr>
          </a:p>
        </xdr:txBody>
      </xdr:sp>
    </xdr:grpSp>
    <xdr:clientData/>
  </xdr:twoCellAnchor>
  <xdr:twoCellAnchor>
    <xdr:from>
      <xdr:col>4</xdr:col>
      <xdr:colOff>326572</xdr:colOff>
      <xdr:row>0</xdr:row>
      <xdr:rowOff>176894</xdr:rowOff>
    </xdr:from>
    <xdr:to>
      <xdr:col>5</xdr:col>
      <xdr:colOff>2446656</xdr:colOff>
      <xdr:row>4</xdr:row>
      <xdr:rowOff>13277</xdr:rowOff>
    </xdr:to>
    <xdr:grpSp>
      <xdr:nvGrpSpPr>
        <xdr:cNvPr id="10" name="Group 9">
          <a:extLst>
            <a:ext uri="{FF2B5EF4-FFF2-40B4-BE49-F238E27FC236}">
              <a16:creationId xmlns:a16="http://schemas.microsoft.com/office/drawing/2014/main" id="{6E545E87-AF54-4AAA-9BF6-DC5F7A04DE28}"/>
            </a:ext>
          </a:extLst>
        </xdr:cNvPr>
        <xdr:cNvGrpSpPr/>
      </xdr:nvGrpSpPr>
      <xdr:grpSpPr>
        <a:xfrm>
          <a:off x="7756072" y="176894"/>
          <a:ext cx="4301309" cy="598383"/>
          <a:chOff x="632641" y="142875"/>
          <a:chExt cx="4215584" cy="598383"/>
        </a:xfrm>
      </xdr:grpSpPr>
      <xdr:pic>
        <xdr:nvPicPr>
          <xdr:cNvPr id="11" name="Picture 21">
            <a:extLst>
              <a:ext uri="{FF2B5EF4-FFF2-40B4-BE49-F238E27FC236}">
                <a16:creationId xmlns:a16="http://schemas.microsoft.com/office/drawing/2014/main" id="{F2DF4E09-EAD9-432A-BFBE-0B6541F9F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Picture 11">
            <a:extLst>
              <a:ext uri="{FF2B5EF4-FFF2-40B4-BE49-F238E27FC236}">
                <a16:creationId xmlns:a16="http://schemas.microsoft.com/office/drawing/2014/main" id="{DC1AB9AA-0CFE-437E-A06D-322C57D71D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13" name="Picture 12">
            <a:extLst>
              <a:ext uri="{FF2B5EF4-FFF2-40B4-BE49-F238E27FC236}">
                <a16:creationId xmlns:a16="http://schemas.microsoft.com/office/drawing/2014/main" id="{55468B00-92D2-4B82-82D1-961EDF8DDE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127000</xdr:colOff>
      <xdr:row>0</xdr:row>
      <xdr:rowOff>158750</xdr:rowOff>
    </xdr:from>
    <xdr:to>
      <xdr:col>12</xdr:col>
      <xdr:colOff>1088209</xdr:colOff>
      <xdr:row>3</xdr:row>
      <xdr:rowOff>185633</xdr:rowOff>
    </xdr:to>
    <xdr:grpSp>
      <xdr:nvGrpSpPr>
        <xdr:cNvPr id="6" name="Group 5">
          <a:extLst>
            <a:ext uri="{FF2B5EF4-FFF2-40B4-BE49-F238E27FC236}">
              <a16:creationId xmlns:a16="http://schemas.microsoft.com/office/drawing/2014/main" id="{85E3A9B6-4120-4EB7-BF52-35E69EF2579D}"/>
            </a:ext>
          </a:extLst>
        </xdr:cNvPr>
        <xdr:cNvGrpSpPr/>
      </xdr:nvGrpSpPr>
      <xdr:grpSpPr>
        <a:xfrm>
          <a:off x="10213975" y="158750"/>
          <a:ext cx="4218759" cy="598383"/>
          <a:chOff x="632641" y="142875"/>
          <a:chExt cx="4215584" cy="598383"/>
        </a:xfrm>
      </xdr:grpSpPr>
      <xdr:pic>
        <xdr:nvPicPr>
          <xdr:cNvPr id="11" name="Picture 21">
            <a:extLst>
              <a:ext uri="{FF2B5EF4-FFF2-40B4-BE49-F238E27FC236}">
                <a16:creationId xmlns:a16="http://schemas.microsoft.com/office/drawing/2014/main" id="{821484E4-C0FD-4C02-8E27-B257EEDA4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Picture 11">
            <a:extLst>
              <a:ext uri="{FF2B5EF4-FFF2-40B4-BE49-F238E27FC236}">
                <a16:creationId xmlns:a16="http://schemas.microsoft.com/office/drawing/2014/main" id="{4BEB24B6-BA72-4B0D-A482-9E3D5D7C22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13" name="Picture 12">
            <a:extLst>
              <a:ext uri="{FF2B5EF4-FFF2-40B4-BE49-F238E27FC236}">
                <a16:creationId xmlns:a16="http://schemas.microsoft.com/office/drawing/2014/main" id="{4167B92F-8DDD-4A5E-A5BD-377FB3D428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142875</xdr:colOff>
      <xdr:row>0</xdr:row>
      <xdr:rowOff>158750</xdr:rowOff>
    </xdr:from>
    <xdr:to>
      <xdr:col>7</xdr:col>
      <xdr:colOff>40459</xdr:colOff>
      <xdr:row>3</xdr:row>
      <xdr:rowOff>185633</xdr:rowOff>
    </xdr:to>
    <xdr:grpSp>
      <xdr:nvGrpSpPr>
        <xdr:cNvPr id="3" name="Group 2">
          <a:extLst>
            <a:ext uri="{FF2B5EF4-FFF2-40B4-BE49-F238E27FC236}">
              <a16:creationId xmlns:a16="http://schemas.microsoft.com/office/drawing/2014/main" id="{4DB0A2FB-8516-4D0E-910E-E56ADB8F797D}"/>
            </a:ext>
          </a:extLst>
        </xdr:cNvPr>
        <xdr:cNvGrpSpPr/>
      </xdr:nvGrpSpPr>
      <xdr:grpSpPr>
        <a:xfrm>
          <a:off x="7134225" y="158750"/>
          <a:ext cx="4221934" cy="598383"/>
          <a:chOff x="632641" y="142875"/>
          <a:chExt cx="4215584" cy="598383"/>
        </a:xfrm>
      </xdr:grpSpPr>
      <xdr:pic>
        <xdr:nvPicPr>
          <xdr:cNvPr id="4" name="Picture 21">
            <a:extLst>
              <a:ext uri="{FF2B5EF4-FFF2-40B4-BE49-F238E27FC236}">
                <a16:creationId xmlns:a16="http://schemas.microsoft.com/office/drawing/2014/main" id="{40C2998E-1C13-4A11-BE7B-895D7FC700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4">
            <a:extLst>
              <a:ext uri="{FF2B5EF4-FFF2-40B4-BE49-F238E27FC236}">
                <a16:creationId xmlns:a16="http://schemas.microsoft.com/office/drawing/2014/main" id="{C80E5F5B-1B02-4881-88EE-A7FCBD2635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6" name="Picture 5">
            <a:extLst>
              <a:ext uri="{FF2B5EF4-FFF2-40B4-BE49-F238E27FC236}">
                <a16:creationId xmlns:a16="http://schemas.microsoft.com/office/drawing/2014/main" id="{B55F7CE9-7C9C-4B5C-BFC9-0F4056EBEB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127000</xdr:colOff>
      <xdr:row>0</xdr:row>
      <xdr:rowOff>174625</xdr:rowOff>
    </xdr:from>
    <xdr:to>
      <xdr:col>7</xdr:col>
      <xdr:colOff>24584</xdr:colOff>
      <xdr:row>4</xdr:row>
      <xdr:rowOff>11008</xdr:rowOff>
    </xdr:to>
    <xdr:grpSp>
      <xdr:nvGrpSpPr>
        <xdr:cNvPr id="3" name="Group 2">
          <a:extLst>
            <a:ext uri="{FF2B5EF4-FFF2-40B4-BE49-F238E27FC236}">
              <a16:creationId xmlns:a16="http://schemas.microsoft.com/office/drawing/2014/main" id="{D69D69B0-E648-49B8-8259-B1196E6786AC}"/>
            </a:ext>
          </a:extLst>
        </xdr:cNvPr>
        <xdr:cNvGrpSpPr/>
      </xdr:nvGrpSpPr>
      <xdr:grpSpPr>
        <a:xfrm>
          <a:off x="7118350" y="174625"/>
          <a:ext cx="4783909" cy="598383"/>
          <a:chOff x="632641" y="142875"/>
          <a:chExt cx="4215584" cy="598383"/>
        </a:xfrm>
      </xdr:grpSpPr>
      <xdr:pic>
        <xdr:nvPicPr>
          <xdr:cNvPr id="4" name="Picture 21">
            <a:extLst>
              <a:ext uri="{FF2B5EF4-FFF2-40B4-BE49-F238E27FC236}">
                <a16:creationId xmlns:a16="http://schemas.microsoft.com/office/drawing/2014/main" id="{6A3F0549-200B-4E5E-A474-BA35BF863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4">
            <a:extLst>
              <a:ext uri="{FF2B5EF4-FFF2-40B4-BE49-F238E27FC236}">
                <a16:creationId xmlns:a16="http://schemas.microsoft.com/office/drawing/2014/main" id="{A39E3D08-0620-448E-A9BF-80E1200A5D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6" name="Picture 5">
            <a:extLst>
              <a:ext uri="{FF2B5EF4-FFF2-40B4-BE49-F238E27FC236}">
                <a16:creationId xmlns:a16="http://schemas.microsoft.com/office/drawing/2014/main" id="{F8CA800A-3C53-43A6-8555-2BADBE3BEF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134470</xdr:colOff>
      <xdr:row>0</xdr:row>
      <xdr:rowOff>100854</xdr:rowOff>
    </xdr:from>
    <xdr:to>
      <xdr:col>15</xdr:col>
      <xdr:colOff>3786</xdr:colOff>
      <xdr:row>2</xdr:row>
      <xdr:rowOff>11207</xdr:rowOff>
    </xdr:to>
    <xdr:grpSp>
      <xdr:nvGrpSpPr>
        <xdr:cNvPr id="3" name="Group 2">
          <a:extLst>
            <a:ext uri="{FF2B5EF4-FFF2-40B4-BE49-F238E27FC236}">
              <a16:creationId xmlns:a16="http://schemas.microsoft.com/office/drawing/2014/main" id="{347CF650-89A5-439F-B5ED-E1D2AEFA4AC6}"/>
            </a:ext>
          </a:extLst>
        </xdr:cNvPr>
        <xdr:cNvGrpSpPr/>
      </xdr:nvGrpSpPr>
      <xdr:grpSpPr>
        <a:xfrm>
          <a:off x="6287620" y="100854"/>
          <a:ext cx="4003166" cy="586628"/>
          <a:chOff x="632641" y="142875"/>
          <a:chExt cx="4215584" cy="598383"/>
        </a:xfrm>
      </xdr:grpSpPr>
      <xdr:pic>
        <xdr:nvPicPr>
          <xdr:cNvPr id="4" name="Picture 21">
            <a:extLst>
              <a:ext uri="{FF2B5EF4-FFF2-40B4-BE49-F238E27FC236}">
                <a16:creationId xmlns:a16="http://schemas.microsoft.com/office/drawing/2014/main" id="{5DE291CC-241D-4EFD-86D6-6447B40C9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4">
            <a:extLst>
              <a:ext uri="{FF2B5EF4-FFF2-40B4-BE49-F238E27FC236}">
                <a16:creationId xmlns:a16="http://schemas.microsoft.com/office/drawing/2014/main" id="{38B65A59-9020-42FA-8713-321A55EB1F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6" name="Picture 5">
            <a:extLst>
              <a:ext uri="{FF2B5EF4-FFF2-40B4-BE49-F238E27FC236}">
                <a16:creationId xmlns:a16="http://schemas.microsoft.com/office/drawing/2014/main" id="{06C524F9-253A-499F-8BBF-FD1D850468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Area_Loss" displayName="Area_Loss" ref="B40:I66" totalsRowCount="1" headerRowDxfId="248" dataDxfId="247" totalsRowDxfId="246" totalsRowBorderDxfId="245">
  <tableColumns count="8">
    <tableColumn id="1" xr3:uid="{00000000-0010-0000-0000-000001000000}" name="Parcel Number" totalsRowLabel="Total" dataDxfId="243" totalsRowDxfId="244"/>
    <tableColumn id="2" xr3:uid="{00000000-0010-0000-0000-000002000000}" name="Habitat Type" dataDxfId="241" totalsRowDxfId="242"/>
    <tableColumn id="3" xr3:uid="{00000000-0010-0000-0000-000003000000}" name="Distinctiveness" dataDxfId="239" totalsRowDxfId="240"/>
    <tableColumn id="7" xr3:uid="{00000000-0010-0000-0000-000007000000}" name="Distinctiveness Score" dataDxfId="237" totalsRowDxfId="238">
      <calculatedColumnFormula>VLOOKUP(Area_Loss[[#This Row],[Distinctiveness]],Distinctiveness_LU[],2,FALSE)</calculatedColumnFormula>
    </tableColumn>
    <tableColumn id="4" xr3:uid="{00000000-0010-0000-0000-000004000000}" name="Condition" dataDxfId="235" totalsRowDxfId="236"/>
    <tableColumn id="8" xr3:uid="{00000000-0010-0000-0000-000008000000}" name="Condition Score" dataDxfId="233" totalsRowDxfId="234">
      <calculatedColumnFormula>VLOOKUP(Area_Loss[[#This Row],[Condition]],Condition_LU[],2,FALSE)</calculatedColumnFormula>
    </tableColumn>
    <tableColumn id="5" xr3:uid="{00000000-0010-0000-0000-000005000000}" name="Area (ha or m2)" totalsRowFunction="sum" dataDxfId="231" totalsRowDxfId="232"/>
    <tableColumn id="6" xr3:uid="{00000000-0010-0000-0000-000006000000}" name="Biodiversity Units" totalsRowFunction="custom" dataDxfId="229" totalsRowDxfId="230">
      <calculatedColumnFormula>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calculatedColumnFormula>
      <totalsRowFormula>IF(J66&gt;0,Errors_Corrected,IF(SUM(Area_Loss[Biodiversity Units])&gt;Area_Pre_Development[[#Totals],[Biodiversity Units]],Loss_Exceeds_Pre_Error,(SUBTOTAL(9,Area_Loss[Biodiversity Units]))))</totalsRow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Foliage_Lost" displayName="Foliage_Lost" ref="B36:G62" totalsRowCount="1" headerRowDxfId="93" dataDxfId="92" totalsRowDxfId="91" totalsRowBorderDxfId="90">
  <autoFilter ref="B36:G61"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Parcel Number" totalsRowLabel="Total" totalsRowDxfId="89"/>
    <tableColumn id="2" xr3:uid="{00000000-0010-0000-0900-000002000000}" name="Habitat Type" totalsRowDxfId="88"/>
    <tableColumn id="3" xr3:uid="{00000000-0010-0000-0900-000003000000}" name="Length (m)" totalsRowFunction="custom" totalsRowDxfId="87">
      <totalsRowFormula>SUM(Foliage_Lost[Length (m)])</totalsRowFormula>
    </tableColumn>
    <tableColumn id="4" xr3:uid="{00000000-0010-0000-0900-000004000000}" name="Condition" totalsRowDxfId="86"/>
    <tableColumn id="5" xr3:uid="{00000000-0010-0000-0900-000005000000}" name="Condition Score" totalsRowFunction="min" dataDxfId="84" totalsRowDxfId="85">
      <calculatedColumnFormula>IFERROR(VLOOKUP(Foliage_Lost[[#This Row],[Condition]],Lookups!$D$2:$E$4,2,FALSE),"")</calculatedColumnFormula>
    </tableColumn>
    <tableColumn id="6" xr3:uid="{00000000-0010-0000-0900-000006000000}" name="Biodiversity Units" totalsRowFunction="custom" dataDxfId="82" totalsRowDxfId="83">
      <calculatedColumnFormula>IF(AND(Foliage_Lost[[#This Row],[Parcel Number]]&lt;&gt;"",(OR(Foliage_Lost[[#This Row],[Habitat Type]]="",Foliage_Lost[[#This Row],[Length (m)]]="",Foliage_Lost[[#This Row],[Condition]]=""))),Incomplete_Habitat_Details,IF(Foliage_Lost[[#This Row],[Parcel Number]]="",0,Foliage_Lost[[#This Row],[Length (m)]]*Foliage_Lost[[#This Row],[Condition Score]]))</calculatedColumnFormula>
      <totalsRowFormula>IF(H62&gt;0,Errors_Corrected,IF(SUM(Foliage_Lost[[#Headers],[#Data],[Biodiversity Units]])&gt;Foliage_Pre[[#Totals],[Biodiversity Units]],Loss_Exceeds_Pre_Error,IF(Foliage_Lost[[#Totals],[Length (m)]]=0,0,SUM(Foliage_Lost[[#Headers],[#Data],[Biodiversity Units]]))))</totalsRow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Foliage_Pre" displayName="Foliage_Pre" ref="B7:G33" totalsRowCount="1" headerRowDxfId="81" dataDxfId="80" totalsRowDxfId="79" totalsRowBorderDxfId="78">
  <autoFilter ref="B7:G32" xr:uid="{00000000-0009-0000-0100-00001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Parcel Number" totalsRowLabel="Total" totalsRowDxfId="77"/>
    <tableColumn id="2" xr3:uid="{00000000-0010-0000-0A00-000002000000}" name="Habitat Type" totalsRowDxfId="76"/>
    <tableColumn id="3" xr3:uid="{00000000-0010-0000-0A00-000003000000}" name="Length (m)" totalsRowFunction="custom" totalsRowDxfId="75">
      <totalsRowFormula>SUM(Foliage_Pre[Length (m)])</totalsRowFormula>
    </tableColumn>
    <tableColumn id="4" xr3:uid="{00000000-0010-0000-0A00-000004000000}" name="Condition" totalsRowDxfId="74"/>
    <tableColumn id="5" xr3:uid="{00000000-0010-0000-0A00-000005000000}" name="Condition Score" totalsRowFunction="min" dataDxfId="72" totalsRowDxfId="73">
      <calculatedColumnFormula>IFERROR(VLOOKUP(Foliage_Pre[[#This Row],[Condition]],Lookups!$D$2:$E$4,2,FALSE),"")</calculatedColumnFormula>
    </tableColumn>
    <tableColumn id="6" xr3:uid="{00000000-0010-0000-0A00-000006000000}" name="Biodiversity Units" totalsRowFunction="custom" dataDxfId="70" totalsRowDxfId="71">
      <calculatedColumnFormula>IF(AND(Foliage_Pre[[#This Row],[Parcel Number]]&lt;&gt;"",(OR(Foliage_Pre[[#This Row],[Habitat Type]]="",Foliage_Pre[[#This Row],[Length (m)]]="",Foliage_Pre[[#This Row],[Condition]]=""))),Incomplete_Habitat_Details,IF(Foliage_Pre[[#This Row],[Parcel Number]]="",0,Foliage_Pre[[#This Row],[Length (m)]]*Foliage_Pre[[#This Row],[Condition Score]]))</calculatedColumnFormula>
      <totalsRowFormula>IF(H33&gt;0,Errors_Corrected,IF(Foliage_Pre[[#Totals],[Length (m)]]=0,0, SUBTOTAL(9,Foliage_Pre[Biodiversity Units])))</totalsRow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Foliage_Enhanced" displayName="Foliage_Enhanced" ref="B65:E91" totalsRowCount="1" headerRowDxfId="69" dataDxfId="68" totalsRowDxfId="67" totalsRowBorderDxfId="66">
  <autoFilter ref="B65:E90" xr:uid="{00000000-0009-0000-0100-000012000000}">
    <filterColumn colId="0" hiddenButton="1"/>
    <filterColumn colId="1" hiddenButton="1"/>
    <filterColumn colId="2" hiddenButton="1"/>
    <filterColumn colId="3" hiddenButton="1"/>
  </autoFilter>
  <tableColumns count="4">
    <tableColumn id="1" xr3:uid="{00000000-0010-0000-0B00-000001000000}" name="Parcel Number" totalsRowLabel="Total" totalsRowDxfId="65"/>
    <tableColumn id="2" xr3:uid="{00000000-0010-0000-0B00-000002000000}" name="Habitat Type" totalsRowDxfId="64"/>
    <tableColumn id="3" xr3:uid="{00000000-0010-0000-0B00-000003000000}" name="Length (m)" totalsRowFunction="custom" totalsRowDxfId="63">
      <totalsRowFormula>SUM(Foliage_Enhanced[Length (m)])</totalsRowFormula>
    </tableColumn>
    <tableColumn id="4" xr3:uid="{00000000-0010-0000-0B00-000004000000}" name="Biodiversity Units" totalsRowFunction="custom" dataDxfId="61" totalsRowDxfId="62">
      <calculatedColumnFormula>IF(AND(Foliage_Enhanced[[#This Row],[Parcel Number]]&lt;&gt;"",OR(Foliage_Enhanced[[#This Row],[Habitat Type]]="",Foliage_Enhanced[[#This Row],[Length (m)]]="")),Incomplete_Habitat_Details,IF(Foliage_Enhanced[[#This Row],[Parcel Number]]="",0,Foliage_Enhanced[[#This Row],[Length (m)]]))</calculatedColumnFormula>
      <totalsRowFormula>IF(G91&gt;0,Errors_Corrected,IF(Foliage_Enhanced[[#Totals],[Length (m)]]=0,0,IF(SUBTOTAL(9,Foliage_Enhanced[Biodiversity Units])&lt;0,NegEnhance,SUBTOTAL(9,Foliage_Enhanced[Biodiversity Units]))))</totalsRow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Foliage_Total" displayName="Foliage_Total" ref="B94:G95" totalsRowShown="0" headerRowDxfId="60" dataDxfId="59" headerRowBorderDxfId="57" tableBorderDxfId="58" totalsRowBorderDxfId="56">
  <autoFilter ref="B94:G95" xr:uid="{00000000-0009-0000-0100-00001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C00-000001000000}" name="Pre Development Linear _x000a_(Foliage) Biodiversity Units" dataDxfId="55">
      <calculatedColumnFormula>Foliage_Pre[[#Totals],[Biodiversity Units]]</calculatedColumnFormula>
    </tableColumn>
    <tableColumn id="2" xr3:uid="{00000000-0010-0000-0C00-000002000000}" name="Linear (Foliage) _x000a_Units Lost" dataDxfId="54">
      <calculatedColumnFormula>Foliage_Lost[[#Totals],[Biodiversity Units]]</calculatedColumnFormula>
    </tableColumn>
    <tableColumn id="3" xr3:uid="{00000000-0010-0000-0C00-000003000000}" name="Linear (Foliage) Units _x000a_Created and/or Enhanced" dataDxfId="53">
      <calculatedColumnFormula>Foliage_Enhanced[[#Totals],[Biodiversity Units]]</calculatedColumnFormula>
    </tableColumn>
    <tableColumn id="4" xr3:uid="{00000000-0010-0000-0C00-000004000000}" name="Total Post Development Linear _x000a_(Foliage) Biodiversity Units" dataDxfId="52">
      <calculatedColumnFormula>IF(OR(Foliage_Total[Pre Development Linear 
(Foliage) Biodiversity Units]=Errors_Corrected,Foliage_Total[Linear (Foliage) 
Units Lost]=Errors_Corrected,Foliage_Total[Linear (Foliage) Units 
Created and/or Enhanced]=Errors_Corrected,Foliage_Total[Linear (Foliage) 
Units Lost]=Loss_Exceeds_Pre_Error),Errors_Corrected,(Foliage_Total[Pre Development Linear 
(Foliage) Biodiversity Units]-Foliage_Total[Linear (Foliage) 
Units Lost])+Foliage_Total[Linear (Foliage) Units 
Created and/or Enhanced])</calculatedColumnFormula>
    </tableColumn>
    <tableColumn id="5" xr3:uid="{3F8C734F-7344-42ED-899D-F6F250A65F88}" name="Column1" dataDxfId="51"/>
    <tableColumn id="6" xr3:uid="{BE568B43-556F-46F4-883D-F5FD9EE70491}" name="Biodiversity Unit Score" dataDxfId="50">
      <calculatedColumnFormula>Summary!G25</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D000000}" name="Distinctiveness_LU" displayName="Distinctiveness_LU" ref="A1:B5" totalsRowShown="0">
  <tableColumns count="2">
    <tableColumn id="1" xr3:uid="{00000000-0010-0000-0D00-000001000000}" name="Distinctiveness"/>
    <tableColumn id="2" xr3:uid="{00000000-0010-0000-0D00-000002000000}" name="Score"/>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Condition_LU" displayName="Condition_LU" ref="D1:E5" totalsRowShown="0">
  <autoFilter ref="D1:E5" xr:uid="{00000000-0009-0000-0100-000003000000}">
    <filterColumn colId="0" hiddenButton="1"/>
    <filterColumn colId="1" hiddenButton="1"/>
  </autoFilter>
  <tableColumns count="2">
    <tableColumn id="1" xr3:uid="{00000000-0010-0000-0E00-000001000000}" name="Condition"/>
    <tableColumn id="2" xr3:uid="{00000000-0010-0000-0E00-000002000000}" name="Scor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F000000}" name="DeliveryRisk_LU" displayName="DeliveryRisk_LU" ref="G1:H5" totalsRowShown="0">
  <autoFilter ref="G1:H5" xr:uid="{00000000-0009-0000-0100-000006000000}">
    <filterColumn colId="0" hiddenButton="1"/>
    <filterColumn colId="1" hiddenButton="1"/>
  </autoFilter>
  <tableColumns count="2">
    <tableColumn id="1" xr3:uid="{00000000-0010-0000-0F00-000001000000}" name="Delivery Risk"/>
    <tableColumn id="2" xr3:uid="{00000000-0010-0000-0F00-000002000000}" name="Risk Factor"/>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TemporalRisk_LU" displayName="TemporalRisk_LU" ref="J1:K11" totalsRowShown="0">
  <autoFilter ref="J1:K11" xr:uid="{00000000-0009-0000-0100-000007000000}">
    <filterColumn colId="0" hiddenButton="1"/>
    <filterColumn colId="1" hiddenButton="1"/>
  </autoFilter>
  <tableColumns count="2">
    <tableColumn id="1" xr3:uid="{00000000-0010-0000-1000-000001000000}" name="Temporal Risk"/>
    <tableColumn id="2" xr3:uid="{00000000-0010-0000-1000-000002000000}" name="Risk Factor"/>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1000000}" name="SpatialRisk_LU" displayName="SpatialRisk_LU" ref="M1:N4" totalsRowShown="0" headerRowDxfId="49" headerRowBorderDxfId="47" tableBorderDxfId="48">
  <autoFilter ref="M1:N4" xr:uid="{00000000-0009-0000-0100-000008000000}">
    <filterColumn colId="0" hiddenButton="1"/>
    <filterColumn colId="1" hiddenButton="1"/>
  </autoFilter>
  <tableColumns count="2">
    <tableColumn id="1" xr3:uid="{00000000-0010-0000-1100-000001000000}" name="Location of Habitat Creation or Enhancement"/>
    <tableColumn id="2" xr3:uid="{00000000-0010-0000-1100-000002000000}" name="Risk Factor" dataDxfId="4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2000000}" name="Answers_LU" displayName="Answers_LU" ref="A7:A9" totalsRowShown="0">
  <autoFilter ref="A7:A9" xr:uid="{00000000-0009-0000-0100-000009000000}">
    <filterColumn colId="0" hiddenButton="1"/>
  </autoFilter>
  <tableColumns count="1">
    <tableColumn id="1" xr3:uid="{00000000-0010-0000-1200-000001000000}" name="Answer Option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Area_Created" displayName="Area_Created" ref="B69:O95" totalsRowCount="1" headerRowDxfId="228" dataDxfId="227" totalsRowDxfId="226" totalsRowBorderDxfId="225">
  <tableColumns count="14">
    <tableColumn id="1" xr3:uid="{00000000-0010-0000-0100-000001000000}" name="Parcel Number" totalsRowLabel="Total" totalsRowDxfId="224"/>
    <tableColumn id="2" xr3:uid="{00000000-0010-0000-0100-000002000000}" name="Habitat Type" totalsRowDxfId="223"/>
    <tableColumn id="3" xr3:uid="{00000000-0010-0000-0100-000003000000}" name="Distinctiveness" totalsRowDxfId="222"/>
    <tableColumn id="7" xr3:uid="{00000000-0010-0000-0100-000007000000}" name="Distinctiveness Score" totalsRowDxfId="221">
      <calculatedColumnFormula>VLOOKUP(Area_Created[[#This Row],[Distinctiveness]],Lookups!$A$2:$B$5,2,FALSE)</calculatedColumnFormula>
    </tableColumn>
    <tableColumn id="4" xr3:uid="{00000000-0010-0000-0100-000004000000}" name="Condition" totalsRowDxfId="220"/>
    <tableColumn id="8" xr3:uid="{00000000-0010-0000-0100-000008000000}" name="Condition Score" totalsRowDxfId="219">
      <calculatedColumnFormula>VLOOKUP(Area_Created[[#This Row],[Condition]],Condition_LU[#All],2,FALSE)</calculatedColumnFormula>
    </tableColumn>
    <tableColumn id="5" xr3:uid="{00000000-0010-0000-0100-000005000000}" name="Area (ha or m2)" totalsRowFunction="sum" totalsRowDxfId="218"/>
    <tableColumn id="9" xr3:uid="{00000000-0010-0000-0100-000009000000}" name="Delivery Risk" totalsRowDxfId="217"/>
    <tableColumn id="10" xr3:uid="{00000000-0010-0000-0100-00000A000000}" name="Delivery Risk Factor" totalsRowDxfId="216">
      <calculatedColumnFormula>VLOOKUP(Area_Created[[#This Row],[Delivery Risk]],DeliveryRisk_LU[],2,FALSE)</calculatedColumnFormula>
    </tableColumn>
    <tableColumn id="11" xr3:uid="{00000000-0010-0000-0100-00000B000000}" name="Temporal Risk " totalsRowDxfId="215"/>
    <tableColumn id="12" xr3:uid="{00000000-0010-0000-0100-00000C000000}" name="Temporal Risk Factor" totalsRowDxfId="214">
      <calculatedColumnFormula>VLOOKUP(Area_Created[[#This Row],[Temporal Risk ]],TemporalRisk_LU[],2,FALSE)</calculatedColumnFormula>
    </tableColumn>
    <tableColumn id="13" xr3:uid="{00000000-0010-0000-0100-00000D000000}" name="Spatial Risk" totalsRowDxfId="213"/>
    <tableColumn id="14" xr3:uid="{00000000-0010-0000-0100-00000E000000}" name="Spatial Risk Factor" dataDxfId="211" totalsRowDxfId="212">
      <calculatedColumnFormula>VLOOKUP(Area_Created[[#This Row],[Spatial Risk]],SpatialRisk_LU[#All],2,FALSE)</calculatedColumnFormula>
    </tableColumn>
    <tableColumn id="6" xr3:uid="{00000000-0010-0000-0100-000006000000}" name="Biodiversity Units" totalsRowFunction="custom" dataDxfId="209" totalsRowDxfId="210">
      <calculatedColumnFormula>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calculatedColumnFormula>
      <totalsRowFormula>IF(P95&gt;0,Errors_Corrected,SUBTOTAL(9,Area_Created[[#Headers],[#Data],[Biodiversity Units]]))</totalsRow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Area_Options_LU" displayName="Area_Options_LU" ref="D7:D9" totalsRowShown="0">
  <autoFilter ref="D7:D9" xr:uid="{00000000-0009-0000-0100-000014000000}">
    <filterColumn colId="0" hiddenButton="1"/>
  </autoFilter>
  <tableColumns count="1">
    <tableColumn id="1" xr3:uid="{00000000-0010-0000-1300-000001000000}" name="Answer Options (Area)"/>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8FB8628-036C-41EF-8FBA-3F5B63628B3E}" name="AreaThreshold_LU" displayName="AreaThreshold_LU" ref="G13:H15" totalsRowShown="0">
  <autoFilter ref="G13:H15" xr:uid="{AA145268-54F7-495A-B0B4-FACFEA8827C3}">
    <filterColumn colId="0" hiddenButton="1"/>
    <filterColumn colId="1" hiddenButton="1"/>
  </autoFilter>
  <tableColumns count="2">
    <tableColumn id="1" xr3:uid="{B05DA825-F82C-416B-812E-BE273462AA31}" name="Area Threshold"/>
    <tableColumn id="2" xr3:uid="{37EC6F80-F1FD-4001-810F-CAB7229F2C50}" name="Area" dataDxfId="45">
      <calculatedColumnFormula>G14*Summary!$D$8</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740D363-B33D-4F31-A4EA-6AC13EAFA6F0}" name="Error_Messages" displayName="Error_Messages" ref="A20:A28" totalsRowShown="0">
  <autoFilter ref="A20:A28" xr:uid="{14EA5F27-07A9-4B3F-8137-60EAB66FF6C7}">
    <filterColumn colId="0" hiddenButton="1"/>
  </autoFilter>
  <tableColumns count="1">
    <tableColumn id="1" xr3:uid="{E29C19C1-E24E-42F9-82FA-FE2EB7410115}" name="Error Messag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7A33CB48-64CE-4778-B02C-210AAB957C01}" name="Level_Calc" displayName="Level_Calc" ref="C20:E26" totalsRowShown="0">
  <autoFilter ref="C20:E26" xr:uid="{2E40EFBC-5F1E-4BB3-98C5-196A6707F3DA}">
    <filterColumn colId="0" hiddenButton="1"/>
    <filterColumn colId="1" hiddenButton="1"/>
    <filterColumn colId="2" hiddenButton="1"/>
  </autoFilter>
  <tableColumns count="3">
    <tableColumn id="1" xr3:uid="{EA1860CB-2E6B-4014-8F60-D6E9091421DA}" name="Cumulative">
      <calculatedColumnFormula>SUM($E20:E$21)</calculatedColumnFormula>
    </tableColumn>
    <tableColumn id="2" xr3:uid="{3E9868BA-846E-454E-BD87-CA5946D4BA94}" name="Award Calc"/>
    <tableColumn id="3" xr3:uid="{500D630D-7AD6-4847-B929-BCAC836B7C66}" name="Marginal"/>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1A1135D-E5D5-46E1-88C1-E2AB7C18C3BB}" name="ScoreCalc" displayName="ScoreCalc" ref="D13:D14" totalsRowShown="0" headerRowDxfId="44" dataDxfId="43">
  <autoFilter ref="D13:D14" xr:uid="{42667209-3FB1-480F-A20E-D5877BE24E87}">
    <filterColumn colId="0" hiddenButton="1"/>
  </autoFilter>
  <tableColumns count="1">
    <tableColumn id="1" xr3:uid="{917EFFED-8961-4F15-A43A-BEA398F0E71F}" name="Calc Score" dataDxfId="42">
      <calculatedColumnFormula>IF(Details&lt;14,Assess_Details,IF(AND(Details=14,Summary!$E$10=1,Summary!$E$11=0,Lookups!$G$21&gt;Lookups!$G$15),Lookups!$C$24,IF(AND(Details=14,Summary!$E$10=1,Summary!$E$11=0,Lookups!$G$21&gt;Lookups!$G$14),Lookups!$C$23,IF(AND(Details=14,Summary!$E$10=1,Summary!$E$11=0,LU_Area_Create&lt;AreaThreshold_LU[[#This Row],[Area Threshold]]),Insuff_Hab_Created,IF(MAX(Summary!E25:F25)=0,Errors_Corrected,IF(OR(Summary!$E$25=Errors_Corrected,Lookups!$E$37=Errors_Corrected),Errors_Corrected,IF(AND(Details=14,Summary!$E$10=1,Summary!$I$15=1, WatercourseFilterDD[Watercourse Filter Drop Down]=1),MIN(Summary!$E$25,Lookups!$E$37), IF(AND(Details=14,Summary!$E$10=1,Summary!$I$19=1,FoliageFilterDD[Foliage Filter Drop Down]=1),MIN(Summary!E25,Summary!F25), IF(AND(Details=14,Summary!$E$10=1,Summary!$I$15=1,WatercourseFilterDD[Watercourse Filter Drop Down]=1,Summary!$I$19=1,FoliageFilterDD[Foliage Filter Drop Down]=1),Summary!$E$25,IF(Summary!$F$25=Errors_Corrected,Errors_Corrected,IF(AND(Summary!$E$10=1,Summary!$I$15=0),MIN(Summary!$E$25:$F$25),IF(Summary!$E$10=0,Stat_Obs,Insuff_Hab_Created))))))))))))</calculatedColumnFormula>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065F17F-8211-48D8-A082-E7A1F1830CAD}" name="Area0" displayName="Area0" ref="G17:G18" totalsRowShown="0" dataDxfId="41" tableBorderDxfId="40">
  <autoFilter ref="G17:G18" xr:uid="{F31148ED-40A5-4D87-A7D2-0BD647B31C7D}">
    <filterColumn colId="0" hiddenButton="1"/>
  </autoFilter>
  <tableColumns count="1">
    <tableColumn id="1" xr3:uid="{0B8675CC-3279-4540-9BF3-0C2C0326CC13}" name="Area 0 - Water" dataDxfId="39">
      <calculatedColumnFormula>IF(Lookups!$A$31=0,"Yes","No")</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6139D90-B829-4180-BC8B-46433134724E}" name="LUArea_Create" displayName="LUArea_Create" ref="G20:G21" totalsRowShown="0" dataDxfId="38" tableBorderDxfId="37">
  <autoFilter ref="G20:G21" xr:uid="{E14B5D7F-533F-40FC-9F93-2EB68A8D847E}">
    <filterColumn colId="0" hiddenButton="1"/>
  </autoFilter>
  <tableColumns count="1">
    <tableColumn id="1" xr3:uid="{C506BCAC-9824-4F16-A95B-236019E5E936}" name="Area Created" dataDxfId="36">
      <calculatedColumnFormula>IF(AND(Area_Pre_Development[[#Totals],[Area (ha or m2)]]=0,Area_Created[[#Totals],[Area (ha or m2)]]=0),0,IF(Lookups!$G$18="No", "Not Applicable",ROUNDDOWN(((DistincAbove0[Area Created where distinctiveness &gt; 0]/Area_Pre_Development[[#Totals],[Area (ha or m2)]])),2)))</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FCF5AB3-9160-4192-9313-B93583B12CF9}" name="Watercourse_Present" displayName="Watercourse_Present" ref="G23:G24" totalsRowShown="0">
  <autoFilter ref="G23:G24" xr:uid="{4929570D-467E-4D54-B682-312CB936624F}">
    <filterColumn colId="0" hiddenButton="1"/>
  </autoFilter>
  <tableColumns count="1">
    <tableColumn id="1" xr3:uid="{54802012-B109-4DF5-B5C6-29B2A5A77BDC}" name="Watercourse Present">
      <calculatedColumnFormula>IF(Summary!$F$23=0,"No","Yes")</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822DD86-1B74-418B-8EAA-6633C4419DA5}" name="WatercourseCondition" displayName="WatercourseCondition" ref="G26:G27" totalsRowShown="0" dataDxfId="35" tableBorderDxfId="34">
  <autoFilter ref="G26:G27" xr:uid="{AC9E6B71-A3C8-4078-9594-A92D6709C126}">
    <filterColumn colId="0" hiddenButton="1"/>
  </autoFilter>
  <tableColumns count="1">
    <tableColumn id="1" xr3:uid="{CDE68D22-30ED-433A-BC35-3F0606C5020B}" name="Watercourse Condition" dataDxfId="33">
      <calculatedColumnFormula>IF(AND(Water_Pre[[#Totals],[Condition Score]]=3,Water_Loss[[#Totals],[Biodiversity Units]]=0),"Yes",IF(Water_Pre[[#Totals],[Biodiversity Units]]=0,"N/A","No"))</calculatedColumnFormula>
    </tableColumn>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D833664-D31D-4218-82C5-4EC8123E4525}" name="Watercourse_Filter" displayName="Watercourse_Filter" ref="G29:G30" totalsRowShown="0" dataDxfId="32" tableBorderDxfId="31">
  <autoFilter ref="G29:G30" xr:uid="{741C8E2E-9652-4E98-85C9-FCF7D8FF420F}">
    <filterColumn colId="0" hiddenButton="1"/>
  </autoFilter>
  <tableColumns count="1">
    <tableColumn id="1" xr3:uid="{56CE82B1-F6CF-4868-B0DB-057DEF7981ED}" name="Watercourse Filter" dataDxfId="30">
      <calculatedColumnFormula>IF(Watercourse_Present[Watercourse Present]="No","Yes",IF(AND(Watercourse_Present[Watercourse Present]="No",Water_Enhanced[[#Totals],[Biodiversity Units]]&gt;0,LinearFilterSummary="Yes"),"Yes",IF(AND(Watercourse_Present[Watercourse Present]="Yes",WatercourseCondition[Watercourse Condition]="Yes",Water_Enhanced[[#Totals],[Biodiversity Units]]=0),"Yes",IF(AND(Watercourse_Present[Watercourse Present]="Yes",WatercourseCondition[Watercourse Condition]="Yes",Water_Enhanced[[#Totals],[Biodiversity Units]]&gt;0,WatercourseFilterDD[Watercourse Filter Drop Down]=1),"Yes","No"))))</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Biodiversity_Units_Total" displayName="Biodiversity_Units_Total" ref="B127:I128" totalsRowShown="0" headerRowDxfId="208" dataDxfId="207" headerRowBorderDxfId="205" tableBorderDxfId="206" totalsRowBorderDxfId="204">
  <autoFilter ref="B127:I128"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300-000001000000}" name="Pre Development Area _x000a_Biodiversity Units" dataDxfId="203">
      <calculatedColumnFormula>Area_Pre_Development[[#Totals],[Biodiversity Units]]</calculatedColumnFormula>
    </tableColumn>
    <tableColumn id="2" xr3:uid="{00000000-0010-0000-0300-000002000000}" name="Area Based _x000a_Units Lost" dataDxfId="202">
      <calculatedColumnFormula>IF(Area_Loss[[#Totals],[Biodiversity Units]]&gt;Biodiversity_Units_Total[Pre Development Area 
Biodiversity Units],Loss_Exceeds_Pre_Error,Area_Loss[[#Totals],[Biodiversity Units]])</calculatedColumnFormula>
    </tableColumn>
    <tableColumn id="3" xr3:uid="{00000000-0010-0000-0300-000003000000}" name="Area Based Units_x000a_(Creation)" dataDxfId="201">
      <calculatedColumnFormula>Area_Created[[#Totals],[Biodiversity Units]]</calculatedColumnFormula>
    </tableColumn>
    <tableColumn id="4" xr3:uid="{00000000-0010-0000-0300-000004000000}" name="Column1" dataDxfId="200"/>
    <tableColumn id="5" xr3:uid="{00000000-0010-0000-0300-000005000000}" name="Area Based Units _x000a_(Enhancement)" dataDxfId="199">
      <calculatedColumnFormula>Area_Enhanced[[#Totals],[Biodiversity Units due to Enhancement]]</calculatedColumnFormula>
    </tableColumn>
    <tableColumn id="6" xr3:uid="{00000000-0010-0000-0300-000006000000}" name="Column2" dataDxfId="198"/>
    <tableColumn id="7" xr3:uid="{00000000-0010-0000-0300-000007000000}" name="Total Post Development _x000a_Area Biodiversity Units" dataDxfId="197">
      <calculatedColumnFormula>IF(OR(Biodiversity_Units_Total[Pre Development Area 
Biodiversity Units]=Errors_Corrected,Biodiversity_Units_Total[Area Based 
Units Lost]=Errors_Corrected,Biodiversity_Units_Total[Area Based Units
(Creation)]=Errors_Corrected,Biodiversity_Units_Total[Area Based Units 
(Enhancement)]=Errors_Corrected,Biodiversity_Units_Total[Area Based 
Units Lost]=Loss_Exceeds_Pre_Error,Biodiversity_Units_Total[Area Based Units 
(Enhancement)]=NegEnhance),Errors_Corrected,(Biodiversity_Units_Total[Pre Development Area 
Biodiversity Units]-Biodiversity_Units_Total[Area Based 
Units Lost])+Biodiversity_Units_Total[Area Based Units
(Creation)]+Biodiversity_Units_Total[Area Based Units 
(Enhancement)])</calculatedColumnFormula>
    </tableColumn>
    <tableColumn id="8" xr3:uid="{15400716-940F-428A-9727-C0D48CCD778C}" name="Biodiversity Unit Score" dataDxfId="196">
      <calculatedColumnFormula>Summary!E25</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898C96C-70D0-4FAA-9691-41FDA0342DA4}" name="Area_Pre" displayName="Area_Pre" ref="A30:A31" totalsRowShown="0" dataDxfId="29" tableBorderDxfId="28">
  <autoFilter ref="A30:A31" xr:uid="{938D0F41-CCDC-4730-A7A9-6A42DBF9D205}"/>
  <tableColumns count="1">
    <tableColumn id="1" xr3:uid="{F8BAE8CD-90DE-43FF-A5F4-C5ADA8543D65}" name="Area Pre" dataDxfId="27">
      <calculatedColumnFormula>Biodiversity_Units_Total[Pre Development Area 
Biodiversity Units]</calculatedColumnFormula>
    </tableColum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D17FC16-10A2-43B6-A1A5-D7BC8CC3E99F}" name="Area_Post" displayName="Area_Post" ref="A33:A34" totalsRowShown="0" dataDxfId="26" tableBorderDxfId="25">
  <autoFilter ref="A33:A34" xr:uid="{C1011FF7-CD28-4A1C-A2CA-08713E0B3874}"/>
  <tableColumns count="1">
    <tableColumn id="1" xr3:uid="{1F15CDD3-E40D-4679-8366-A51E8694D74C}" name="Area Post" dataDxfId="24">
      <calculatedColumnFormula>Biodiversity_Units_Total[Total Post Development 
Area Biodiversity Units]</calculatedColumnFormula>
    </tableColumn>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38BC6A7-A4C8-4937-81A7-E1B5720C2298}" name="AreaPercentage" displayName="AreaPercentage" ref="A36:A37" totalsRowShown="0">
  <autoFilter ref="A36:A37" xr:uid="{DE5EF055-4343-4592-A958-C3F9C64B545C}">
    <filterColumn colId="0" hiddenButton="1"/>
  </autoFilter>
  <tableColumns count="1">
    <tableColumn id="1" xr3:uid="{993BD223-E001-4FAF-8111-4882AA9FFCCA}" name="Area Percentage">
      <calculatedColumnFormula>IF(AND(Area_Pre[Area Pre]=0,Area_Post[Area Post]=0),0,IF(AND(Area_Pre[Area Pre]=0,Area_Post[Area Post]&gt;0,DistincAbove0[Area Created where distinctiveness &gt; 0]&gt;H14,DistincAbove0[Area Created where distinctiveness &gt; 0]&gt;H15),C24,IF(AND(Area_Pre[Area Pre]=0,Area_Post[Area Post]&gt;0,DistincAbove0[Area Created where distinctiveness &gt; 0]&gt;H14),C23,IF(AND(Area_Pre[Area Pre]=0,Area_Post[Area Post]&gt;0,DistincAbove0[Area Created where distinctiveness &gt; 0]&lt;H14),Insuff_Hab_Created,IF(AND(Area_Post[Area Post]=0,Area_Pre[Area Pre]=0),Incomplete_Habitat_Details,IF(Summary!$E$24=Errors_Corrected,Errors_Corrected,ROUNDDOWN((Summary!$E$24/Summary!$E$23),2)))))))</calculatedColumnFormula>
    </tableColum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1B1F022-4517-490B-80F3-684F45BFF9F8}" name="WatercoursePre" displayName="WatercoursePre" ref="C30:C31" totalsRowShown="0" dataDxfId="23" tableBorderDxfId="22">
  <autoFilter ref="C30:C31" xr:uid="{EEA866AD-9621-41CB-88A4-986AD82F47F5}">
    <filterColumn colId="0" hiddenButton="1"/>
  </autoFilter>
  <tableColumns count="1">
    <tableColumn id="1" xr3:uid="{1B4F7D00-9047-4958-ABB8-29492009ED05}" name="Watercourse Pre" dataDxfId="21">
      <calculatedColumnFormula>Water_Total[Pre Development Linear 
(Watercourse) Biodiversity Units]</calculatedColumnFormula>
    </tableColumn>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B74550E-E420-415D-8395-D581F9B3FC03}" name="WatercoursePost" displayName="WatercoursePost" ref="C33:C34" totalsRowShown="0" dataDxfId="20" tableBorderDxfId="19">
  <autoFilter ref="C33:C34" xr:uid="{A1B37653-1B5F-4745-A2FE-2798908587CC}">
    <filterColumn colId="0" hiddenButton="1"/>
  </autoFilter>
  <tableColumns count="1">
    <tableColumn id="1" xr3:uid="{D2813E15-AE79-40E3-A7EE-0A090CEA7EB6}" name="Watercourse Post" dataDxfId="18">
      <calculatedColumnFormula>IF(AND(Lookups!$C$31=0,Watercourse_Filter[]="Yes"),0,Water_Total[Total Post Development Linear 
(Watercourse) Biodiversity Units])</calculatedColumnFormula>
    </tableColumn>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C0624B6-0849-4DDA-ABAF-FFAB60425D5A}" name="WaterPost" displayName="WaterPost" ref="C36:C37" totalsRowShown="0" dataDxfId="17" tableBorderDxfId="16">
  <autoFilter ref="C36:C37" xr:uid="{1A576DEE-CB59-4090-A497-05BEA777F844}">
    <filterColumn colId="0" hiddenButton="1"/>
  </autoFilter>
  <tableColumns count="1">
    <tableColumn id="1" xr3:uid="{9B981DE6-4466-4BDC-905C-F13407EC8B11}" name="Water Percentage" dataDxfId="15">
      <calculatedColumnFormula>IF(Watercourse_Filter[Watercourse Filter]="Yes",Filter,IF(AND(WatercoursePre[]=0,ISNUMBER(Water_Enhanced[[#Totals],[Biodiversity Units]]),WatercoursePost[]&gt;WatercoursePre[]),$C$25,IF(Lookups!$C$34=Errors_Corrected,Errors_Corrected,ROUNDDOWN((Lookups!$C$34/Lookups!$C$31),2))))</calculatedColumnFormula>
    </tableColumn>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A4ADA04-81D0-4C0B-A833-562698BE8D49}" name="FoliagePre" displayName="FoliagePre" ref="E30:E31" totalsRowShown="0" dataDxfId="14" tableBorderDxfId="13">
  <autoFilter ref="E30:E31" xr:uid="{47F23445-5EA5-493F-ACAC-BE2227FE84CD}">
    <filterColumn colId="0" hiddenButton="1"/>
  </autoFilter>
  <tableColumns count="1">
    <tableColumn id="1" xr3:uid="{E5095CFD-4EC1-436F-BE97-6751301EC55F}" name="Foliage Pre" dataDxfId="12">
      <calculatedColumnFormula>Foliage_Total[Pre Development Linear 
(Foliage) Biodiversity Units]</calculatedColumnFormula>
    </tableColumn>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26227EF-8077-4497-B9D1-605954146CDD}" name="FoliagePost" displayName="FoliagePost" ref="E33:E34" totalsRowShown="0" dataDxfId="11" tableBorderDxfId="10">
  <autoFilter ref="E33:E34" xr:uid="{202D1576-E405-4C2D-89A4-F01E1F31CE6F}">
    <filterColumn colId="0" hiddenButton="1"/>
  </autoFilter>
  <tableColumns count="1">
    <tableColumn id="1" xr3:uid="{53736B9F-651D-4CF5-8178-B2EF530B2657}" name="Foliage Post" dataDxfId="9">
      <calculatedColumnFormula>Foliage_Total[Total Post Development Linear 
(Foliage) Biodiversity Units]</calculatedColumnFormula>
    </tableColumn>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98E2FAB-EF24-4F2D-A0F1-B0C1DE6619A2}" name="FoliagePercent" displayName="FoliagePercent" ref="E36:E37" totalsRowShown="0" dataDxfId="8" tableBorderDxfId="7">
  <autoFilter ref="E36:E37" xr:uid="{CEF1A93B-1241-43E5-8DF5-817F5267F1B9}">
    <filterColumn colId="0" hiddenButton="1"/>
  </autoFilter>
  <tableColumns count="1">
    <tableColumn id="1" xr3:uid="{344FB148-F3D9-4466-88B0-D4480657E7C9}" name="Foliage Percentage" dataDxfId="6">
      <calculatedColumnFormula>IF(Foliage_Filter="Yes",Filter,IF(FoliagePost[]=Errors_Corrected,Errors_Corrected,IF(AND(Lookups!$E$31=0,ISNUMBER(Foliage_Enhanced[[#Totals],[Biodiversity Units]]),Lookups!$E$34&gt;Lookups!$E$31),1.1,IF(Lookups!E31=0,0,ROUNDDOWN((FoliagePost[]/FoliagePre[]),2)))))</calculatedColumnFormula>
    </tableColumn>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C32D650-AB23-4262-9DA3-0348B4C43131}" name="FinalScore" displayName="FinalScore" ref="D16:D17" totalsRowShown="0" dataDxfId="5" tableBorderDxfId="4">
  <autoFilter ref="D16:D17" xr:uid="{7D522F3F-0837-464F-8D90-FE4C64BF5BA7}">
    <filterColumn colId="0" hiddenButton="1"/>
  </autoFilter>
  <tableColumns count="1">
    <tableColumn id="1" xr3:uid="{1328192C-A3ED-4FAB-AE18-686C5E2AEB6A}" name="Final Score" dataDxfId="3">
      <calculatedColumnFormula>LOOKUP(Summary!F27,Level_Calc[[Cumulative]:[Award Calc]])</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Area_Pre_Development" displayName="Area_Pre_Development" ref="B11:I37" totalsRowCount="1" headerRowDxfId="195" dataDxfId="194" totalsRowDxfId="193" totalsRowBorderDxfId="192">
  <tableColumns count="8">
    <tableColumn id="1" xr3:uid="{00000000-0010-0000-0400-000001000000}" name="Parcel Number" totalsRowLabel="Total" dataDxfId="190" totalsRowDxfId="191"/>
    <tableColumn id="2" xr3:uid="{00000000-0010-0000-0400-000002000000}" name="Habitat Type " dataDxfId="188" totalsRowDxfId="189"/>
    <tableColumn id="3" xr3:uid="{00000000-0010-0000-0400-000003000000}" name="Distinctiveness" dataDxfId="186" totalsRowDxfId="187"/>
    <tableColumn id="7" xr3:uid="{00000000-0010-0000-0400-000007000000}" name="Distinctiveness Score" dataDxfId="184" totalsRowDxfId="185">
      <calculatedColumnFormula>VLOOKUP(Area_Pre_Development[[#This Row],[Distinctiveness]],Distinctiveness_LU[],2,FALSE)</calculatedColumnFormula>
    </tableColumn>
    <tableColumn id="4" xr3:uid="{00000000-0010-0000-0400-000004000000}" name="Condition" dataDxfId="182" totalsRowDxfId="183"/>
    <tableColumn id="8" xr3:uid="{00000000-0010-0000-0400-000008000000}" name="Condition Score" dataDxfId="180" totalsRowDxfId="181">
      <calculatedColumnFormula>VLOOKUP(Area_Pre_Development[[#This Row],[Condition]],Lookups!$D$1:$E$5,2,FALSE)</calculatedColumnFormula>
    </tableColumn>
    <tableColumn id="5" xr3:uid="{00000000-0010-0000-0400-000005000000}" name="Area (ha or m2)" totalsRowFunction="sum" dataDxfId="178" totalsRowDxfId="179"/>
    <tableColumn id="6" xr3:uid="{00000000-0010-0000-0400-000006000000}" name="Biodiversity Units" totalsRowFunction="custom" dataDxfId="176" totalsRowDxfId="177">
      <calculatedColumnFormula>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calculatedColumnFormula>
      <totalsRowFormula>IF(J37&gt;0,Errors_Corrected,SUBTOTAL(9,Area_Pre_Development[[#Headers],[#Data],[Biodiversity Units]]))</totalsRow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Credits_LU" displayName="Credits_LU" ref="A14:B18" totalsRowShown="0">
  <autoFilter ref="A14:B18" xr:uid="{00000000-0009-0000-0100-000015000000}">
    <filterColumn colId="0" hiddenButton="1"/>
    <filterColumn colId="1" hiddenButton="1"/>
  </autoFilter>
  <tableColumns count="2">
    <tableColumn id="1" xr3:uid="{00000000-0010-0000-1400-000001000000}" name="Category"/>
    <tableColumn id="2" xr3:uid="{00000000-0010-0000-1400-000002000000}" name="Credit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36D2D42-9C18-41A5-A5A6-21091EDC7D3B}" name="Table39" displayName="Table39" ref="I17:I18" totalsRowShown="0">
  <autoFilter ref="I17:I18" xr:uid="{E6957AD2-2FD4-4CB0-A100-DF9F5A04690A}">
    <filterColumn colId="0" hiddenButton="1"/>
  </autoFilter>
  <tableColumns count="1">
    <tableColumn id="1" xr3:uid="{B5BAEE9B-C50C-43C6-B367-C2A996D09B91}" name="Area 0 - Foliage">
      <calculatedColumnFormula>IF(FoliagePre[Foliage Pre]=0,"Yes","No")</calculatedColumnFormula>
    </tableColumn>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089AE6C-F4EC-4DD7-A660-3DBA7222F18E}" name="Foliage_Present" displayName="Foliage_Present" ref="I23:I24" totalsRowShown="0">
  <autoFilter ref="I23:I24" xr:uid="{2A4432CD-A2C4-457B-BE67-EA670CFDEE53}">
    <filterColumn colId="0" hiddenButton="1"/>
  </autoFilter>
  <tableColumns count="1">
    <tableColumn id="1" xr3:uid="{2AE07789-BCE1-4845-A23C-5CE0BE47329C}" name="Foliage Present">
      <calculatedColumnFormula>IF(Summary!G23=0,"No","Yes")</calculatedColumnFormula>
    </tableColumn>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74D35B9-D117-4E34-867B-E33D3449EFDE}" name="Foliage_Condition" displayName="Foliage_Condition" ref="I26:I27" totalsRowShown="0">
  <autoFilter ref="I26:I27" xr:uid="{7602F52A-3EFA-470C-995C-2E1C67E1D8B4}">
    <filterColumn colId="0" hiddenButton="1"/>
  </autoFilter>
  <tableColumns count="1">
    <tableColumn id="1" xr3:uid="{149F4868-3DE4-47E4-9D3A-ED4B87522046}" name="Foliage Condition">
      <calculatedColumnFormula>IF(AND((MIN('Linear (Foliage)'!$I$8:$I$32)=3),Foliage_Lost[[#Totals],[Biodiversity Units]]=0),"Yes",IF(Foliage_Pre[[#Totals],[Condition Score]]=0,"N/A","No"))</calculatedColumnFormula>
    </tableColumn>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FAE1C71-D526-4929-8168-6EF83F2CFE8F}" name="Table42" displayName="Table42" ref="I29:I30" totalsRowShown="0">
  <autoFilter ref="I29:I30" xr:uid="{24244954-09A4-405B-9675-83E2E380BE38}">
    <filterColumn colId="0" hiddenButton="1"/>
  </autoFilter>
  <tableColumns count="1">
    <tableColumn id="1" xr3:uid="{951C5C30-3E1E-44D5-952A-A6952E1B619D}" name="Foliage Filter">
      <calculatedColumnFormula>IF(AND(Foliage_Present[Foliage Present]="No",FoliageFilterDD[Foliage Filter Drop Down]=1),"Yes",IF(AND(Foliage_Present[Foliage Present]="No",Water_Enhanced[[#Totals],[Biodiversity Units]]&gt;0,FoliageFilterDD[Foliage Filter Drop Down]=1),"Yes",IF(AND(Foliage_Present[Foliage Present]="Yes",Foliage_Condition[Foliage Condition]="Yes",Water_Enhanced[[#Totals],[Biodiversity Units]]=0),"Yes",IF(AND(Foliage_Present[Foliage Present]="Yes",Foliage_Condition[Foliage Condition]="Yes",Water_Enhanced[[#Totals],[Biodiversity Units]]&gt;0,FoliageFilterDD[Foliage Filter Drop Down]=1),"Yes","No"))))</calculatedColumnFormula>
    </tableColumn>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2A20C54-DB5E-43AC-8C21-6C258E557A21}" name="Table25" displayName="Table25" ref="G33:G34" totalsRowShown="0" headerRowDxfId="2" dataDxfId="1">
  <autoFilter ref="G33:G34" xr:uid="{62A8A6BD-4762-4BA4-8571-652B55B04B6F}">
    <filterColumn colId="0" hiddenButton="1"/>
  </autoFilter>
  <tableColumns count="1">
    <tableColumn id="1" xr3:uid="{589F35F9-CB97-4D75-8F18-98930712523E}" name="Assessment Details" dataDxfId="0">
      <calculatedColumnFormula>SUM(Summary!$A$7:A20)</calculatedColumnFormula>
    </tableColumn>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1AEDA8E-A201-46A9-ADC7-2A64EFC682A9}" name="WatercourseFilterDD" displayName="WatercourseFilterDD" ref="G36:G37" totalsRowShown="0">
  <autoFilter ref="G36:G37" xr:uid="{E5EC1CF5-23EF-4987-98DC-5568A3F6A985}">
    <filterColumn colId="0" hiddenButton="1"/>
  </autoFilter>
  <tableColumns count="1">
    <tableColumn id="1" xr3:uid="{7AD49A1D-D885-43CC-9308-77E485904A1D}" name="Watercourse Filter Drop Down">
      <calculatedColumnFormula>IF(OR(LinearFilterSummary="Yes",AND(Water_Total[Pre Development Linear 
(Watercourse) Biodiversity Units]=0,Water_Total[Linear (Watercourse) Units 
Created and/or Enhanced]=0)),1,0)</calculatedColumnFormula>
    </tableColumn>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8F43F0E-BECA-414C-9DFF-6B9BF7DBA11F}" name="FoliageFilterDD" displayName="FoliageFilterDD" ref="I36:I37" totalsRowShown="0">
  <autoFilter ref="I36:I37" xr:uid="{CE7DB1D9-446A-4AD0-8416-F8FBDC891C9E}">
    <filterColumn colId="0" hiddenButton="1"/>
  </autoFilter>
  <tableColumns count="1">
    <tableColumn id="1" xr3:uid="{182C4BD3-6438-4E6D-83F6-F14E429451D8}" name="Foliage Filter Drop Down">
      <calculatedColumnFormula>IF(OR((Summary!$D$20="yes"),AND(Foliage_Total[Pre Development Linear 
(Foliage) Biodiversity Units]=0,Foliage_Total[Linear (Foliage) Units 
Created and/or Enhanced]=0)),1,0)</calculatedColumnFormula>
    </tableColumn>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6ABE59F7-2315-4AF4-91DB-9D802657E7F6}" name="DistincAbove0" displayName="DistincAbove0" ref="A39:A40" totalsRowShown="0">
  <autoFilter ref="A39:A40" xr:uid="{C14E6ABF-419D-4B0E-8912-F3C3430B5C09}"/>
  <tableColumns count="1">
    <tableColumn id="1" xr3:uid="{F913BB7A-518B-43F2-8600-B1CDA754D03B}" name="Area Created where distinctiveness &gt; 0">
      <calculatedColumnFormula>SUMIF(Area_Created[Distinctiveness Score],"&gt;0",Area_Created[Area (ha or m2)])</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Area_Enhanced" displayName="Area_Enhanced" ref="B98:O124" totalsRowCount="1" headerRowDxfId="175" dataDxfId="174" totalsRowDxfId="173" headerRowBorderDxfId="171" tableBorderDxfId="172" totalsRowBorderDxfId="170">
  <autoFilter ref="B98:O123"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Pre Dev Parcel Number" totalsRowLabel="Total" dataDxfId="168" totalsRowDxfId="169"/>
    <tableColumn id="2" xr3:uid="{00000000-0010-0000-0200-000002000000}" name="Pre Dev _x000a_Biodiversity Units" totalsRowFunction="sum" dataDxfId="166" totalsRowDxfId="167">
      <calculatedColumnFormula>IF(Area_Enhanced[[#This Row],[Pre Dev Parcel Number]]="","Insert Pre Dev Parcel 
Number in Column B",VLOOKUP(Area_Enhanced[[#This Row],[Pre Dev Parcel Number]],Area_Pre_Development[],8,FALSE))</calculatedColumnFormula>
    </tableColumn>
    <tableColumn id="3" xr3:uid="{00000000-0010-0000-0200-000003000000}" name="Distinctiveness" dataDxfId="164" totalsRowDxfId="165"/>
    <tableColumn id="4" xr3:uid="{00000000-0010-0000-0200-000004000000}" name="Distinctiveness Score" dataDxfId="162" totalsRowDxfId="163">
      <calculatedColumnFormula>VLOOKUP(Area_Enhanced[[#This Row],[Distinctiveness]],Distinctiveness_LU[],2,FALSE)</calculatedColumnFormula>
    </tableColumn>
    <tableColumn id="5" xr3:uid="{00000000-0010-0000-0200-000005000000}" name="Condition" dataDxfId="160" totalsRowDxfId="161"/>
    <tableColumn id="6" xr3:uid="{00000000-0010-0000-0200-000006000000}" name="Condition Score" dataDxfId="158" totalsRowDxfId="159">
      <calculatedColumnFormula>VLOOKUP(Area_Enhanced[[#This Row],[Condition]],Condition_LU[],2,FALSE)</calculatedColumnFormula>
    </tableColumn>
    <tableColumn id="7" xr3:uid="{00000000-0010-0000-0200-000007000000}" name="Area Enhanced (ha or m2)" dataDxfId="156" totalsRowDxfId="157">
      <calculatedColumnFormula>IF(ISBLANK(Area_Enhanced[[#This Row],[Pre Dev Parcel Number]]),"",VLOOKUP(Area_Enhanced[[#This Row],[Pre Dev Parcel Number]],Area_Pre_Development[[#Data],[#Totals]],7,FALSE))</calculatedColumnFormula>
    </tableColumn>
    <tableColumn id="8" xr3:uid="{00000000-0010-0000-0200-000008000000}" name="Delivery Risk" dataDxfId="154" totalsRowDxfId="155"/>
    <tableColumn id="9" xr3:uid="{00000000-0010-0000-0200-000009000000}" name="Delivery Risk Factor" dataDxfId="152" totalsRowDxfId="153">
      <calculatedColumnFormula>VLOOKUP(Area_Enhanced[[#This Row],[Delivery Risk]],DeliveryRisk_LU[],2,FALSE)</calculatedColumnFormula>
    </tableColumn>
    <tableColumn id="10" xr3:uid="{00000000-0010-0000-0200-00000A000000}" name="Temporal Risk " dataDxfId="150" totalsRowDxfId="151"/>
    <tableColumn id="11" xr3:uid="{00000000-0010-0000-0200-00000B000000}" name="Temporal Risk Factor" dataDxfId="148" totalsRowDxfId="149">
      <calculatedColumnFormula>VLOOKUP(Area_Enhanced[[#This Row],[Temporal Risk ]],TemporalRisk_LU[],2,FALSE)</calculatedColumnFormula>
    </tableColumn>
    <tableColumn id="12" xr3:uid="{00000000-0010-0000-0200-00000C000000}" name="Spatial Risk" dataDxfId="146" totalsRowDxfId="147"/>
    <tableColumn id="13" xr3:uid="{00000000-0010-0000-0200-00000D000000}" name="Spatial Risk Factor" dataDxfId="144" totalsRowDxfId="145">
      <calculatedColumnFormula>VLOOKUP(Area_Enhanced[[#This Row],[Spatial Risk]],SpatialRisk_LU[],2,FALSE)</calculatedColumnFormula>
    </tableColumn>
    <tableColumn id="14" xr3:uid="{00000000-0010-0000-0200-00000E000000}" name="Biodiversity Units due to Enhancement" totalsRowFunction="custom" dataDxfId="142" totalsRowDxfId="143">
      <calculatedColumnFormula>IF(Q99=1,NegEnhance,IF(Area_Enhanced[[#This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calculatedColumnFormula>
      <totalsRowFormula>IF($P$124&gt;0,Errors_Corrected,IF(Q124&gt;0,NegEnhance, SUBTOTAL(9,Area_Enhanced[Biodiversity Units due to Enhancement])))</totalsRow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Water_Loss" displayName="Water_Loss" ref="B36:G62" totalsRowCount="1" headerRowDxfId="141" dataDxfId="140" totalsRowDxfId="139" headerRowBorderDxfId="137" tableBorderDxfId="138" totalsRowBorderDxfId="136">
  <autoFilter ref="B36:G61"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500-000001000000}" name="Parcel Number" totalsRowLabel="Total" totalsRowDxfId="135"/>
    <tableColumn id="2" xr3:uid="{00000000-0010-0000-0500-000002000000}" name="Habitat Type" totalsRowDxfId="134"/>
    <tableColumn id="3" xr3:uid="{00000000-0010-0000-0500-000003000000}" name="Length (m)" totalsRowFunction="custom" totalsRowDxfId="133">
      <totalsRowFormula>SUM(Water_Loss[Length (m)])</totalsRowFormula>
    </tableColumn>
    <tableColumn id="4" xr3:uid="{00000000-0010-0000-0500-000004000000}" name="Condition" totalsRowDxfId="132"/>
    <tableColumn id="5" xr3:uid="{00000000-0010-0000-0500-000005000000}" name="Condition Score" totalsRowFunction="custom" dataDxfId="130" totalsRowDxfId="131">
      <calculatedColumnFormula>IF(Water_Loss[[#This Row],[Condition]]="","",VLOOKUP(Water_Loss[[#This Row],[Condition]],Lookups!$D$2:$E$4,2,FALSE))</calculatedColumnFormula>
      <totalsRowFormula>AVERAGE(Water_Loss[Condition Score])</totalsRowFormula>
    </tableColumn>
    <tableColumn id="6" xr3:uid="{00000000-0010-0000-0500-000006000000}" name="Biodiversity Units" totalsRowFunction="custom" dataDxfId="128" totalsRowDxfId="129">
      <calculatedColumnFormula>IF(AND(Water_Loss[[#This Row],[Parcel Number]]&lt;&gt;"",(OR(Water_Loss[[#This Row],[Habitat Type]]="",Water_Loss[[#This Row],[Length (m)]]="",Water_Loss[[#This Row],[Condition]]=""))),Incomplete_Habitat_Details,IF(Water_Loss[[#This Row],[Parcel Number]]="",0,(Water_Loss[[#This Row],[Length (m)]]*Water_Loss[[#This Row],[Condition Score]])))</calculatedColumnFormula>
      <totalsRowFormula>IF(H62&gt;0,Errors_Corrected,IF((SUM(Water_Loss[[#Headers],[#Data],[Biodiversity Units]])&gt;Water_Pre[[#Totals],[Biodiversity Units]]),Loss_Exceeds_Pre_Error,SUM(Water_Loss[[#Headers],[#Data],[Biodiversity Units]])))</totalsRow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Water_Pre" displayName="Water_Pre" ref="B7:G33" totalsRowCount="1" headerRowDxfId="127" dataDxfId="126" totalsRowDxfId="125" totalsRowBorderDxfId="124">
  <autoFilter ref="B7:G32" xr:uid="{00000000-0009-0000-0100-00000D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600-000001000000}" name="Parcel Number" totalsRowLabel="Total" dataDxfId="122" totalsRowDxfId="123"/>
    <tableColumn id="2" xr3:uid="{00000000-0010-0000-0600-000002000000}" name="Habitat Type" dataDxfId="120" totalsRowDxfId="121"/>
    <tableColumn id="3" xr3:uid="{00000000-0010-0000-0600-000003000000}" name="Length (m)" totalsRowFunction="custom" dataDxfId="118" totalsRowDxfId="119">
      <totalsRowFormula>SUM(Water_Pre[Length (m)])</totalsRowFormula>
    </tableColumn>
    <tableColumn id="4" xr3:uid="{00000000-0010-0000-0600-000004000000}" name="Condition" dataDxfId="116" totalsRowDxfId="117"/>
    <tableColumn id="5" xr3:uid="{00000000-0010-0000-0600-000005000000}" name="Condition Score" totalsRowFunction="min" dataDxfId="114" totalsRowDxfId="115">
      <calculatedColumnFormula>IF(Water_Pre[[#This Row],[Condition]]="","",(VLOOKUP(Water_Pre[[#This Row],[Condition]],Lookups!$D$2:$E$4,2,FALSE)))</calculatedColumnFormula>
    </tableColumn>
    <tableColumn id="6" xr3:uid="{00000000-0010-0000-0600-000006000000}" name="Biodiversity Units" totalsRowFunction="custom" dataDxfId="112" totalsRowDxfId="113">
      <calculatedColumnFormula>IF(AND(Water_Pre[[#This Row],[Parcel Number]]&lt;&gt;"",(OR(Water_Pre[[#This Row],[Habitat Type]]="",Water_Pre[[#This Row],[Length (m)]]="",Water_Pre[[#This Row],[Condition]]=""))),Incomplete_Habitat_Details,IF(Water_Pre[[#This Row],[Parcel Number]]="",0,Water_Pre[[#This Row],[Length (m)]]*Water_Pre[[#This Row],[Condition Score]]))</calculatedColumnFormula>
      <totalsRowFormula>IF(I33&gt;0,Errors_Corrected,IF(Water_Pre[[#Totals],[Length (m)]]=0, 0, SUBTOTAL(9,Water_Pre[Biodiversity Units])))</totalsRow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Water_Enhanced" displayName="Water_Enhanced" ref="B65:E91" totalsRowCount="1" headerRowDxfId="111" dataDxfId="110" totalsRowDxfId="109" totalsRowBorderDxfId="108">
  <autoFilter ref="B65:E90" xr:uid="{00000000-0009-0000-0100-00000E000000}">
    <filterColumn colId="0" hiddenButton="1"/>
    <filterColumn colId="1" hiddenButton="1"/>
    <filterColumn colId="2" hiddenButton="1"/>
    <filterColumn colId="3" hiddenButton="1"/>
  </autoFilter>
  <tableColumns count="4">
    <tableColumn id="1" xr3:uid="{00000000-0010-0000-0700-000001000000}" name="Parcel Number" totalsRowLabel="Total" totalsRowDxfId="107"/>
    <tableColumn id="2" xr3:uid="{00000000-0010-0000-0700-000002000000}" name="Habitat Type" totalsRowDxfId="106"/>
    <tableColumn id="3" xr3:uid="{00000000-0010-0000-0700-000003000000}" name="Length (m)" totalsRowFunction="custom" totalsRowDxfId="105">
      <totalsRowFormula>SUM(Water_Enhanced[Length (m)])</totalsRowFormula>
    </tableColumn>
    <tableColumn id="4" xr3:uid="{00000000-0010-0000-0700-000004000000}" name="Biodiversity Units" totalsRowFunction="custom" dataDxfId="103" totalsRowDxfId="104">
      <calculatedColumnFormula>IF(AND(Water_Enhanced[[#This Row],[Parcel Number]]&lt;&gt;"",(OR(Water_Enhanced[[#This Row],[Parcel Number]]="",Water_Enhanced[[#This Row],[Habitat Type]]="",Water_Enhanced[[#This Row],[Length (m)]]=""))), Incomplete_Habitat_Details, IF(Water_Enhanced[[#This Row],[Parcel Number]]="",0, Water_Enhanced[Length (m)]))</calculatedColumnFormula>
      <totalsRowFormula>IF(G91&gt;0,Errors_Corrected,IF(Water_Enhanced[[#Totals],[Length (m)]]=0,0, IF(SUBTOTAL(9,Water_Enhanced[Biodiversity Units])&lt;0,NegEnhance,SUBTOTAL(9,Water_Enhanced[Biodiversity Units]))))</totalsRow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Water_Total" displayName="Water_Total" ref="B94:G95" totalsRowShown="0" headerRowDxfId="102" dataDxfId="101" headerRowBorderDxfId="100">
  <autoFilter ref="B94:G95" xr:uid="{00000000-0009-0000-0100-00000F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Pre Development Linear _x000a_(Watercourse) Biodiversity Units" dataDxfId="99">
      <calculatedColumnFormula>Water_Pre[[#Totals],[Biodiversity Units]]</calculatedColumnFormula>
    </tableColumn>
    <tableColumn id="2" xr3:uid="{00000000-0010-0000-0800-000002000000}" name="Linear (Watercourse) _x000a_Units Lost" dataDxfId="98">
      <calculatedColumnFormula>IF(Water_Loss[[#Totals],[Biodiversity Units]]&gt;Water_Total[Pre Development Linear 
(Watercourse) Biodiversity Units],Loss_Exceeds_Pre_Error,Water_Loss[[#Totals],[Biodiversity Units]])</calculatedColumnFormula>
    </tableColumn>
    <tableColumn id="3" xr3:uid="{00000000-0010-0000-0800-000003000000}" name="Linear (Watercourse) Units _x000a_Created and/or Enhanced" dataDxfId="97">
      <calculatedColumnFormula>Water_Enhanced[[#Totals],[Biodiversity Units]]</calculatedColumnFormula>
    </tableColumn>
    <tableColumn id="4" xr3:uid="{00000000-0010-0000-0800-000004000000}" name="Total Post Development Linear _x000a_(Watercourse) Biodiversity Units" dataDxfId="96">
      <calculatedColumnFormula>IF(OR(Water_Total[Pre Development Linear 
(Watercourse) Biodiversity Units]=Errors_Corrected,Water_Total[Linear (Watercourse) 
Units Lost]=Errors_Corrected,Water_Total[Linear (Watercourse) Units 
Created and/or Enhanced]=Errors_Corrected,Water_Total[Linear (Watercourse) 
Units Lost]=Loss_Exceeds_Pre_Error),Errors_Corrected,(Water_Total[Pre Development Linear 
(Watercourse) Biodiversity Units]-Water_Total[Linear (Watercourse) 
Units Lost])+Water_Total[Linear (Watercourse) Units 
Created and/or Enhanced])</calculatedColumnFormula>
    </tableColumn>
    <tableColumn id="5" xr3:uid="{9F484A3D-6959-44DA-A58A-81CBAEE52EC0}" name="Column1" dataDxfId="95"/>
    <tableColumn id="6" xr3:uid="{3287D005-36F9-4CD5-B2A1-6F219B68F15B}" name="Biodiversity Unit Score" dataDxfId="94">
      <calculatedColumnFormula>Summary!F25</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3" Type="http://schemas.openxmlformats.org/officeDocument/2006/relationships/table" Target="../tables/table25.xml"/><Relationship Id="rId18" Type="http://schemas.openxmlformats.org/officeDocument/2006/relationships/table" Target="../tables/table30.xml"/><Relationship Id="rId26" Type="http://schemas.openxmlformats.org/officeDocument/2006/relationships/table" Target="../tables/table38.xml"/><Relationship Id="rId3" Type="http://schemas.openxmlformats.org/officeDocument/2006/relationships/table" Target="../tables/table15.xml"/><Relationship Id="rId21" Type="http://schemas.openxmlformats.org/officeDocument/2006/relationships/table" Target="../tables/table33.xml"/><Relationship Id="rId34" Type="http://schemas.openxmlformats.org/officeDocument/2006/relationships/table" Target="../tables/table46.xml"/><Relationship Id="rId7" Type="http://schemas.openxmlformats.org/officeDocument/2006/relationships/table" Target="../tables/table19.xml"/><Relationship Id="rId12" Type="http://schemas.openxmlformats.org/officeDocument/2006/relationships/table" Target="../tables/table24.xml"/><Relationship Id="rId17" Type="http://schemas.openxmlformats.org/officeDocument/2006/relationships/table" Target="../tables/table29.xml"/><Relationship Id="rId25" Type="http://schemas.openxmlformats.org/officeDocument/2006/relationships/table" Target="../tables/table37.xml"/><Relationship Id="rId33" Type="http://schemas.openxmlformats.org/officeDocument/2006/relationships/table" Target="../tables/table45.xml"/><Relationship Id="rId2" Type="http://schemas.openxmlformats.org/officeDocument/2006/relationships/table" Target="../tables/table14.xml"/><Relationship Id="rId16" Type="http://schemas.openxmlformats.org/officeDocument/2006/relationships/table" Target="../tables/table28.xml"/><Relationship Id="rId20" Type="http://schemas.openxmlformats.org/officeDocument/2006/relationships/table" Target="../tables/table32.xml"/><Relationship Id="rId29" Type="http://schemas.openxmlformats.org/officeDocument/2006/relationships/table" Target="../tables/table41.xml"/><Relationship Id="rId1" Type="http://schemas.openxmlformats.org/officeDocument/2006/relationships/printerSettings" Target="../printerSettings/printerSettings6.bin"/><Relationship Id="rId6" Type="http://schemas.openxmlformats.org/officeDocument/2006/relationships/table" Target="../tables/table18.xml"/><Relationship Id="rId11" Type="http://schemas.openxmlformats.org/officeDocument/2006/relationships/table" Target="../tables/table23.xml"/><Relationship Id="rId24" Type="http://schemas.openxmlformats.org/officeDocument/2006/relationships/table" Target="../tables/table36.xml"/><Relationship Id="rId32" Type="http://schemas.openxmlformats.org/officeDocument/2006/relationships/table" Target="../tables/table44.xml"/><Relationship Id="rId5" Type="http://schemas.openxmlformats.org/officeDocument/2006/relationships/table" Target="../tables/table17.xml"/><Relationship Id="rId15" Type="http://schemas.openxmlformats.org/officeDocument/2006/relationships/table" Target="../tables/table27.xml"/><Relationship Id="rId23" Type="http://schemas.openxmlformats.org/officeDocument/2006/relationships/table" Target="../tables/table35.xml"/><Relationship Id="rId28" Type="http://schemas.openxmlformats.org/officeDocument/2006/relationships/table" Target="../tables/table40.xml"/><Relationship Id="rId36" Type="http://schemas.openxmlformats.org/officeDocument/2006/relationships/table" Target="../tables/table48.xml"/><Relationship Id="rId10" Type="http://schemas.openxmlformats.org/officeDocument/2006/relationships/table" Target="../tables/table22.xml"/><Relationship Id="rId19" Type="http://schemas.openxmlformats.org/officeDocument/2006/relationships/table" Target="../tables/table31.xml"/><Relationship Id="rId31" Type="http://schemas.openxmlformats.org/officeDocument/2006/relationships/table" Target="../tables/table43.xml"/><Relationship Id="rId4" Type="http://schemas.openxmlformats.org/officeDocument/2006/relationships/table" Target="../tables/table16.xml"/><Relationship Id="rId9" Type="http://schemas.openxmlformats.org/officeDocument/2006/relationships/table" Target="../tables/table21.xml"/><Relationship Id="rId14" Type="http://schemas.openxmlformats.org/officeDocument/2006/relationships/table" Target="../tables/table26.xml"/><Relationship Id="rId22" Type="http://schemas.openxmlformats.org/officeDocument/2006/relationships/table" Target="../tables/table34.xml"/><Relationship Id="rId27" Type="http://schemas.openxmlformats.org/officeDocument/2006/relationships/table" Target="../tables/table39.xml"/><Relationship Id="rId30" Type="http://schemas.openxmlformats.org/officeDocument/2006/relationships/table" Target="../tables/table42.xml"/><Relationship Id="rId35" Type="http://schemas.openxmlformats.org/officeDocument/2006/relationships/table" Target="../tables/table47.xml"/><Relationship Id="rId8"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8A95-69C2-4310-A5B4-59F35CD304D8}">
  <sheetPr>
    <tabColor rgb="FF3D6864"/>
  </sheetPr>
  <dimension ref="A1:P43"/>
  <sheetViews>
    <sheetView showGridLines="0" topLeftCell="A31" workbookViewId="0">
      <selection activeCell="E43" sqref="E43"/>
    </sheetView>
  </sheetViews>
  <sheetFormatPr defaultColWidth="0" defaultRowHeight="15"/>
  <cols>
    <col min="1" max="1" width="9.140625" customWidth="1"/>
    <col min="2" max="3" width="9.140625" hidden="1" customWidth="1"/>
    <col min="4" max="16" width="9.140625" customWidth="1"/>
    <col min="17" max="16384" width="9.140625" hidden="1"/>
  </cols>
  <sheetData>
    <row r="1" spans="1:15">
      <c r="A1" s="143"/>
    </row>
    <row r="5" spans="1:15">
      <c r="D5" s="204" t="s">
        <v>0</v>
      </c>
      <c r="E5" s="204"/>
      <c r="F5" s="204"/>
      <c r="G5" s="204"/>
      <c r="H5" s="204"/>
      <c r="I5" s="204"/>
      <c r="J5" s="204"/>
      <c r="K5" s="204"/>
      <c r="L5" s="204"/>
      <c r="M5" s="204"/>
      <c r="N5" s="204"/>
      <c r="O5" s="204"/>
    </row>
    <row r="43" spans="4:5">
      <c r="D43" t="s">
        <v>1</v>
      </c>
      <c r="E43" s="195">
        <f>'Version Control'!B8</f>
        <v>3.3</v>
      </c>
    </row>
  </sheetData>
  <sheetProtection algorithmName="SHA-512" hashValue="y2ctz9Vts38tAfWHnzW8VM7gSoMzxp55w+qdGP+uR1tBrSB18BNro3Myve8zA6naR4AJVKW5YOS9H2WoUseNuw==" saltValue="vIYSJo8/pDzpll6nx1gSjw==" spinCount="100000" sheet="1" objects="1" scenarios="1"/>
  <mergeCells count="1">
    <mergeCell ref="D5:O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D6864"/>
  </sheetPr>
  <dimension ref="A2:I35"/>
  <sheetViews>
    <sheetView showGridLines="0" topLeftCell="A10" zoomScale="70" zoomScaleNormal="70" workbookViewId="0">
      <selection activeCell="E31" sqref="E31"/>
    </sheetView>
  </sheetViews>
  <sheetFormatPr defaultColWidth="8.85546875" defaultRowHeight="15"/>
  <cols>
    <col min="1" max="1" width="1.28515625" style="16" customWidth="1"/>
    <col min="2" max="2" width="3.85546875" bestFit="1" customWidth="1"/>
    <col min="3" max="3" width="79" customWidth="1"/>
    <col min="4" max="4" width="27.28515625" bestFit="1" customWidth="1"/>
    <col min="5" max="5" width="32.7109375" customWidth="1"/>
    <col min="6" max="6" width="47.28515625" bestFit="1" customWidth="1"/>
    <col min="7" max="7" width="34.28515625" bestFit="1" customWidth="1"/>
  </cols>
  <sheetData>
    <row r="2" spans="1:9">
      <c r="B2" s="207" t="s">
        <v>2</v>
      </c>
      <c r="C2" s="207"/>
      <c r="D2" s="207"/>
      <c r="E2" s="161"/>
      <c r="F2" s="161"/>
      <c r="G2" s="16"/>
    </row>
    <row r="3" spans="1:9">
      <c r="B3" s="207"/>
      <c r="C3" s="207"/>
      <c r="D3" s="207"/>
      <c r="E3" s="161"/>
      <c r="F3" s="161"/>
    </row>
    <row r="4" spans="1:9">
      <c r="B4" s="207"/>
      <c r="C4" s="207"/>
      <c r="D4" s="207"/>
      <c r="E4" s="161"/>
      <c r="F4" s="161"/>
    </row>
    <row r="5" spans="1:9" ht="15.75" thickBot="1"/>
    <row r="6" spans="1:9" ht="15.75" thickBot="1">
      <c r="B6" s="208" t="s">
        <v>3</v>
      </c>
      <c r="C6" s="209"/>
      <c r="D6" s="210"/>
      <c r="E6" s="152"/>
    </row>
    <row r="7" spans="1:9">
      <c r="A7" s="16">
        <f>IF(D7&lt;&gt;"",1,0)</f>
        <v>1</v>
      </c>
      <c r="B7" s="192">
        <v>1</v>
      </c>
      <c r="C7" s="53" t="s">
        <v>4</v>
      </c>
      <c r="D7" s="153" t="s">
        <v>5</v>
      </c>
    </row>
    <row r="8" spans="1:9">
      <c r="A8" s="16">
        <f>IF(D8&lt;&gt;"",1,0)</f>
        <v>1</v>
      </c>
      <c r="B8" s="193">
        <v>2</v>
      </c>
      <c r="C8" s="50" t="s">
        <v>6</v>
      </c>
      <c r="D8" s="154">
        <f>Area_Pre_Development[[#Totals],[Area (ha or m2)]]</f>
        <v>8434.6999999999989</v>
      </c>
    </row>
    <row r="9" spans="1:9">
      <c r="A9" s="16">
        <f>IF(D9&lt;&gt;"",1,0)</f>
        <v>1</v>
      </c>
      <c r="B9" s="193">
        <v>3</v>
      </c>
      <c r="C9" s="50" t="s">
        <v>7</v>
      </c>
      <c r="D9" s="153" t="s">
        <v>8</v>
      </c>
      <c r="E9" s="211" t="s">
        <v>9</v>
      </c>
      <c r="F9" s="212"/>
    </row>
    <row r="10" spans="1:9">
      <c r="A10" s="16">
        <f>IF(D10&lt;&gt;"",1,0)</f>
        <v>1</v>
      </c>
      <c r="B10" s="193">
        <v>4</v>
      </c>
      <c r="C10" s="50" t="s">
        <v>10</v>
      </c>
      <c r="D10" s="153" t="s">
        <v>11</v>
      </c>
      <c r="E10" s="16">
        <f>IF(D10="Yes",1,0)</f>
        <v>1</v>
      </c>
    </row>
    <row r="11" spans="1:9">
      <c r="A11" s="16">
        <f>IF(Lookups!G18&lt;&gt;"",1,0)</f>
        <v>1</v>
      </c>
      <c r="B11" s="193">
        <v>5</v>
      </c>
      <c r="C11" s="50" t="s">
        <v>12</v>
      </c>
      <c r="D11" s="155" t="str">
        <f>Area0[]</f>
        <v>No</v>
      </c>
      <c r="E11" s="16">
        <f>IF(Lookups!G18="No",1,0)</f>
        <v>1</v>
      </c>
    </row>
    <row r="12" spans="1:9" ht="30">
      <c r="A12" s="16">
        <f>IF(Lookups!G21&lt;&gt;"",1,0)</f>
        <v>1</v>
      </c>
      <c r="B12" s="193">
        <v>6</v>
      </c>
      <c r="C12" s="52" t="s">
        <v>13</v>
      </c>
      <c r="D12" s="201" t="str">
        <f>LU_Area_Create</f>
        <v>Not Applicable</v>
      </c>
      <c r="E12" s="16">
        <f>IF(Lookups!G21="Not Applicable",1,0)</f>
        <v>1</v>
      </c>
    </row>
    <row r="13" spans="1:9">
      <c r="A13" s="16">
        <f>IF(D13&lt;&gt;"",1,0)</f>
        <v>1</v>
      </c>
      <c r="B13" s="193">
        <v>7</v>
      </c>
      <c r="C13" s="50" t="s">
        <v>14</v>
      </c>
      <c r="D13" s="156" t="str">
        <f>Water_Present</f>
        <v>No</v>
      </c>
    </row>
    <row r="14" spans="1:9" ht="30">
      <c r="A14" s="16">
        <f>IF(Lookups!G27&lt;&gt;"",1,0)</f>
        <v>1</v>
      </c>
      <c r="B14" s="51">
        <v>8</v>
      </c>
      <c r="C14" s="52" t="s">
        <v>15</v>
      </c>
      <c r="D14" s="156" t="str">
        <f>Water_Condition</f>
        <v>N/A</v>
      </c>
      <c r="E14" s="205" t="s">
        <v>16</v>
      </c>
      <c r="F14" s="206"/>
      <c r="G14" s="206"/>
      <c r="H14" s="206"/>
    </row>
    <row r="15" spans="1:9">
      <c r="A15" s="16">
        <f>IF(Watercourse_Filter[Watercourse Filter]&lt;&gt;"",1,0)</f>
        <v>1</v>
      </c>
      <c r="B15" s="193">
        <v>9</v>
      </c>
      <c r="C15" s="50" t="s">
        <v>17</v>
      </c>
      <c r="D15" s="156" t="str">
        <f>WaterFilter</f>
        <v>Yes</v>
      </c>
      <c r="E15" s="205" t="s">
        <v>18</v>
      </c>
      <c r="F15" s="206"/>
      <c r="G15" s="206"/>
      <c r="H15" s="206"/>
      <c r="I15" s="16">
        <f>IF(Watercourse_Filter[]="Yes",1,0)</f>
        <v>1</v>
      </c>
    </row>
    <row r="16" spans="1:9" ht="36" customHeight="1">
      <c r="A16" s="16">
        <f>IF(D16="",0,1)</f>
        <v>1</v>
      </c>
      <c r="B16" s="187">
        <v>10</v>
      </c>
      <c r="C16" s="186" t="s">
        <v>19</v>
      </c>
      <c r="D16" s="96" t="s">
        <v>11</v>
      </c>
      <c r="E16" s="205" t="s">
        <v>20</v>
      </c>
      <c r="F16" s="206"/>
      <c r="G16" s="206"/>
      <c r="H16" s="206"/>
    </row>
    <row r="17" spans="1:9">
      <c r="A17" s="16">
        <f>IF(D17&lt;&gt;"",1,0)</f>
        <v>1</v>
      </c>
      <c r="B17" s="193">
        <v>11</v>
      </c>
      <c r="C17" s="50" t="s">
        <v>21</v>
      </c>
      <c r="D17" s="156" t="str">
        <f>Foliage_Present[Foliage Present]</f>
        <v>No</v>
      </c>
    </row>
    <row r="18" spans="1:9" ht="30">
      <c r="A18" s="16">
        <f>IF(Foliage_Condition[Foliage Condition]&lt;&gt;"",1,0)</f>
        <v>1</v>
      </c>
      <c r="B18" s="51">
        <v>12</v>
      </c>
      <c r="C18" s="52" t="s">
        <v>22</v>
      </c>
      <c r="D18" s="156" t="str">
        <f>Foliage_Condition[]</f>
        <v>N/A</v>
      </c>
      <c r="E18" s="206" t="s">
        <v>23</v>
      </c>
      <c r="F18" s="206"/>
      <c r="G18" s="206"/>
      <c r="H18" s="206"/>
    </row>
    <row r="19" spans="1:9">
      <c r="A19" s="16">
        <f>IF(Foliage_Filter&lt;&gt;"",1,0)</f>
        <v>1</v>
      </c>
      <c r="B19" s="51">
        <v>13</v>
      </c>
      <c r="C19" s="52" t="s">
        <v>24</v>
      </c>
      <c r="D19" s="156" t="str">
        <f>Table42[Foliage Filter]</f>
        <v>Yes</v>
      </c>
      <c r="E19" s="205" t="s">
        <v>25</v>
      </c>
      <c r="F19" s="206"/>
      <c r="G19" s="206"/>
      <c r="H19" s="206"/>
      <c r="I19" s="16">
        <f>IF(Foliage_Filter="Yes",1,0)</f>
        <v>1</v>
      </c>
    </row>
    <row r="20" spans="1:9" s="189" customFormat="1" ht="37.5" customHeight="1" thickBot="1">
      <c r="A20" s="188">
        <f>IF(D20&lt;&gt;"",1,0)</f>
        <v>1</v>
      </c>
      <c r="B20" s="191">
        <v>14</v>
      </c>
      <c r="C20" s="190" t="s">
        <v>26</v>
      </c>
      <c r="D20" s="194" t="s">
        <v>11</v>
      </c>
      <c r="E20" s="205" t="s">
        <v>27</v>
      </c>
      <c r="F20" s="206"/>
      <c r="G20" s="206"/>
      <c r="H20" s="206"/>
      <c r="I20" s="188"/>
    </row>
    <row r="21" spans="1:9" ht="15.75" thickBot="1">
      <c r="A21" s="16">
        <f>SUM(A7:A20)</f>
        <v>14</v>
      </c>
    </row>
    <row r="22" spans="1:9" ht="15.75" thickBot="1">
      <c r="D22" s="54"/>
      <c r="E22" s="182" t="s">
        <v>28</v>
      </c>
      <c r="F22" s="183" t="s">
        <v>29</v>
      </c>
      <c r="G22" s="184" t="s">
        <v>30</v>
      </c>
    </row>
    <row r="23" spans="1:9">
      <c r="D23" s="55" t="s">
        <v>31</v>
      </c>
      <c r="E23" s="157">
        <f>AreaPreValue</f>
        <v>3291.3399999999997</v>
      </c>
      <c r="F23" s="158">
        <f>WaterPreValue</f>
        <v>0</v>
      </c>
      <c r="G23" s="159">
        <f>FoliagePreValue</f>
        <v>0</v>
      </c>
    </row>
    <row r="24" spans="1:9">
      <c r="D24" s="56" t="s">
        <v>32</v>
      </c>
      <c r="E24" s="200">
        <f>AreaPostValue</f>
        <v>3384.2011999999995</v>
      </c>
      <c r="F24" s="157">
        <f>WaterPostValue</f>
        <v>0</v>
      </c>
      <c r="G24" s="122">
        <f>FoliagePostValue</f>
        <v>90</v>
      </c>
    </row>
    <row r="25" spans="1:9" ht="30.75" thickBot="1">
      <c r="D25" s="57" t="s">
        <v>33</v>
      </c>
      <c r="E25" s="202">
        <f>AreaPercentValue</f>
        <v>1.02</v>
      </c>
      <c r="F25" s="202" t="str">
        <f>WaterPercentValue</f>
        <v>Filtered for purpose of credit award</v>
      </c>
      <c r="G25" s="203" t="str">
        <f>FoliagePercentValue</f>
        <v>Filtered for purpose of credit award</v>
      </c>
    </row>
    <row r="26" spans="1:9" ht="15.75" thickBot="1"/>
    <row r="27" spans="1:9" ht="61.5" customHeight="1" thickBot="1">
      <c r="E27" s="166" t="s">
        <v>34</v>
      </c>
      <c r="F27" s="167">
        <f>ScoreCalc[]</f>
        <v>1.02</v>
      </c>
      <c r="G27" s="168" t="str">
        <f>FinalScoreValue</f>
        <v>No Net Loss</v>
      </c>
    </row>
    <row r="35" spans="6:6">
      <c r="F35" s="160"/>
    </row>
  </sheetData>
  <sheetProtection algorithmName="SHA-512" hashValue="cBEksr6Y/qMhkZtBPxWNqv0GdGGA+sIO5Ui3XPEjYSEkItth2ZGQv0trJxtwStvllG6MnEhmwYezZf2GcGG4Bw==" saltValue="67AScZEpWHl0IyTiMPbcUQ==" spinCount="100000" sheet="1" objects="1" scenarios="1"/>
  <mergeCells count="9">
    <mergeCell ref="E20:H20"/>
    <mergeCell ref="E15:H15"/>
    <mergeCell ref="E19:H19"/>
    <mergeCell ref="B2:D4"/>
    <mergeCell ref="E18:H18"/>
    <mergeCell ref="B6:D6"/>
    <mergeCell ref="E9:F9"/>
    <mergeCell ref="E14:H14"/>
    <mergeCell ref="E16:H16"/>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Lookups!$D$8:$D$9</xm:f>
          </x14:formula1>
          <xm:sqref>D9</xm:sqref>
        </x14:dataValidation>
        <x14:dataValidation type="list" allowBlank="1" showInputMessage="1" showErrorMessage="1" xr:uid="{00000000-0002-0000-0000-000001000000}">
          <x14:formula1>
            <xm:f>Lookups!$A$8:$A$9</xm:f>
          </x14:formula1>
          <xm:sqref>D10 D16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D6864"/>
  </sheetPr>
  <dimension ref="B2:Q128"/>
  <sheetViews>
    <sheetView showGridLines="0" tabSelected="1" topLeftCell="B51" zoomScale="70" zoomScaleNormal="70" zoomScaleSheetLayoutView="40" workbookViewId="0">
      <selection activeCell="I81" sqref="I81"/>
    </sheetView>
  </sheetViews>
  <sheetFormatPr defaultColWidth="9.140625" defaultRowHeight="15"/>
  <cols>
    <col min="1" max="1" width="8.85546875" style="4" customWidth="1"/>
    <col min="2" max="4" width="28.42578125" style="4" bestFit="1" customWidth="1"/>
    <col min="5" max="5" width="22" style="4" hidden="1" customWidth="1"/>
    <col min="6" max="6" width="28.7109375" style="4" customWidth="1"/>
    <col min="7" max="7" width="16.85546875" style="4" hidden="1" customWidth="1"/>
    <col min="8" max="9" width="28.42578125" style="4" bestFit="1" customWidth="1"/>
    <col min="10" max="10" width="25" style="4" hidden="1" customWidth="1"/>
    <col min="11" max="11" width="20.42578125" style="4" bestFit="1" customWidth="1"/>
    <col min="12" max="12" width="39.140625" style="4" hidden="1" customWidth="1"/>
    <col min="13" max="13" width="49.42578125" style="4" customWidth="1"/>
    <col min="14" max="14" width="39.140625" style="4" hidden="1" customWidth="1"/>
    <col min="15" max="15" width="28.42578125" style="4" bestFit="1" customWidth="1"/>
    <col min="16" max="16384" width="9.140625" style="4"/>
  </cols>
  <sheetData>
    <row r="2" spans="2:13">
      <c r="B2" s="207" t="s">
        <v>35</v>
      </c>
      <c r="C2" s="207"/>
      <c r="D2" s="207"/>
      <c r="E2" s="207"/>
      <c r="F2" s="207"/>
      <c r="G2" s="207"/>
      <c r="H2" s="207"/>
      <c r="I2" s="134"/>
      <c r="J2" s="134"/>
      <c r="K2" s="134"/>
      <c r="L2" s="134"/>
      <c r="M2" s="134"/>
    </row>
    <row r="3" spans="2:13">
      <c r="B3" s="207"/>
      <c r="C3" s="207"/>
      <c r="D3" s="207"/>
      <c r="E3" s="207"/>
      <c r="F3" s="207"/>
      <c r="G3" s="207"/>
      <c r="H3" s="207"/>
      <c r="I3" s="134"/>
      <c r="J3" s="134"/>
      <c r="K3" s="134"/>
      <c r="L3" s="134"/>
      <c r="M3" s="134"/>
    </row>
    <row r="4" spans="2:13">
      <c r="B4" s="207"/>
      <c r="C4" s="207"/>
      <c r="D4" s="207"/>
      <c r="E4" s="207"/>
      <c r="F4" s="207"/>
      <c r="G4" s="207"/>
      <c r="H4" s="207"/>
      <c r="I4" s="134"/>
      <c r="J4" s="134"/>
      <c r="K4" s="134"/>
      <c r="L4" s="134"/>
      <c r="M4" s="134"/>
    </row>
    <row r="5" spans="2:13" ht="15.75" thickBot="1"/>
    <row r="6" spans="2:13" ht="27" thickBot="1">
      <c r="B6" s="216" t="s">
        <v>36</v>
      </c>
      <c r="C6" s="217"/>
      <c r="D6" s="217"/>
      <c r="E6" s="217"/>
      <c r="F6" s="217"/>
      <c r="G6" s="217"/>
      <c r="H6" s="217"/>
      <c r="I6" s="218"/>
    </row>
    <row r="7" spans="2:13" ht="18" thickBot="1">
      <c r="B7" s="65" t="s">
        <v>37</v>
      </c>
      <c r="C7" s="66" t="s">
        <v>38</v>
      </c>
      <c r="D7" s="66" t="s">
        <v>39</v>
      </c>
      <c r="E7" s="67" t="s">
        <v>40</v>
      </c>
      <c r="F7" s="66" t="s">
        <v>41</v>
      </c>
      <c r="G7" s="67" t="s">
        <v>42</v>
      </c>
      <c r="H7" s="66" t="s">
        <v>43</v>
      </c>
      <c r="I7" s="68" t="s">
        <v>44</v>
      </c>
    </row>
    <row r="8" spans="2:13" ht="15.75" thickBot="1">
      <c r="B8" s="69">
        <v>1</v>
      </c>
      <c r="C8" s="70" t="s">
        <v>45</v>
      </c>
      <c r="D8" s="70" t="s">
        <v>46</v>
      </c>
      <c r="E8" s="71">
        <f>VLOOKUP(D8,Distinctiveness_LU[],2,FALSE)</f>
        <v>6</v>
      </c>
      <c r="F8" s="70" t="s">
        <v>47</v>
      </c>
      <c r="G8" s="71">
        <f>VLOOKUP(F8,Lookups!$D$1:$E$5,2,FALSE)</f>
        <v>2</v>
      </c>
      <c r="H8" s="72">
        <v>15</v>
      </c>
      <c r="I8" s="107">
        <f>E8*G8*H8</f>
        <v>180</v>
      </c>
    </row>
    <row r="9" spans="2:13" ht="15.75" thickBot="1"/>
    <row r="10" spans="2:13" ht="26.25">
      <c r="B10" s="213" t="s">
        <v>48</v>
      </c>
      <c r="C10" s="214"/>
      <c r="D10" s="214"/>
      <c r="E10" s="214"/>
      <c r="F10" s="214"/>
      <c r="G10" s="214"/>
      <c r="H10" s="214"/>
      <c r="I10" s="215"/>
    </row>
    <row r="11" spans="2:13" ht="17.25">
      <c r="B11" s="73" t="s">
        <v>37</v>
      </c>
      <c r="C11" s="74" t="s">
        <v>38</v>
      </c>
      <c r="D11" s="74" t="s">
        <v>39</v>
      </c>
      <c r="E11" s="74" t="s">
        <v>40</v>
      </c>
      <c r="F11" s="74" t="s">
        <v>41</v>
      </c>
      <c r="G11" s="74" t="s">
        <v>42</v>
      </c>
      <c r="H11" s="74" t="s">
        <v>43</v>
      </c>
      <c r="I11" s="75" t="s">
        <v>44</v>
      </c>
    </row>
    <row r="12" spans="2:13">
      <c r="B12" s="76">
        <v>1</v>
      </c>
      <c r="C12" s="58" t="s">
        <v>49</v>
      </c>
      <c r="D12" s="58" t="s">
        <v>50</v>
      </c>
      <c r="E12" s="19">
        <f>VLOOKUP(Area_Pre_Development[[#This Row],[Distinctiveness]],Distinctiveness_LU[],2,FALSE)</f>
        <v>4</v>
      </c>
      <c r="F12" s="58" t="s">
        <v>51</v>
      </c>
      <c r="G12" s="19">
        <f>VLOOKUP(Area_Pre_Development[[#This Row],[Condition]],Lookups!$D$1:$E$5,2,FALSE)</f>
        <v>1</v>
      </c>
      <c r="H12" s="58">
        <v>432.83</v>
      </c>
      <c r="I12"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1731.32</v>
      </c>
      <c r="J12" s="4">
        <f>IF(Area_Pre_Development[[#This Row],[Biodiversity Units]]=Incomplete_Habitat_Details,1,0)</f>
        <v>0</v>
      </c>
    </row>
    <row r="13" spans="2:13">
      <c r="B13" s="76">
        <v>2</v>
      </c>
      <c r="C13" s="58" t="s">
        <v>52</v>
      </c>
      <c r="D13" s="58" t="s">
        <v>53</v>
      </c>
      <c r="E13" s="19">
        <f>VLOOKUP(Area_Pre_Development[[#This Row],[Distinctiveness]],Distinctiveness_LU[],2,FALSE)</f>
        <v>2</v>
      </c>
      <c r="F13" s="58" t="s">
        <v>51</v>
      </c>
      <c r="G13" s="19">
        <f>VLOOKUP(Area_Pre_Development[[#This Row],[Condition]],Lookups!$D$1:$E$5,2,FALSE)</f>
        <v>1</v>
      </c>
      <c r="H13" s="58">
        <v>682.02</v>
      </c>
      <c r="I13"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1364.04</v>
      </c>
      <c r="J13" s="4">
        <f>IF(Area_Pre_Development[[#This Row],[Biodiversity Units]]=Incomplete_Habitat_Details,1,0)</f>
        <v>0</v>
      </c>
    </row>
    <row r="14" spans="2:13">
      <c r="B14" s="76">
        <v>3</v>
      </c>
      <c r="C14" s="58" t="s">
        <v>54</v>
      </c>
      <c r="D14" s="58" t="s">
        <v>55</v>
      </c>
      <c r="E14" s="19">
        <f>VLOOKUP(Area_Pre_Development[[#This Row],[Distinctiveness]],Distinctiveness_LU[],2,FALSE)</f>
        <v>0</v>
      </c>
      <c r="F14" s="58" t="s">
        <v>55</v>
      </c>
      <c r="G14" s="19">
        <f>VLOOKUP(Area_Pre_Development[[#This Row],[Condition]],Lookups!$D$1:$E$5,2,FALSE)</f>
        <v>0</v>
      </c>
      <c r="H14" s="58">
        <v>42.54</v>
      </c>
      <c r="I14"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4" s="4">
        <f>IF(Area_Pre_Development[[#This Row],[Biodiversity Units]]=Incomplete_Habitat_Details,1,0)</f>
        <v>0</v>
      </c>
    </row>
    <row r="15" spans="2:13">
      <c r="B15" s="76">
        <v>4</v>
      </c>
      <c r="C15" s="58" t="s">
        <v>56</v>
      </c>
      <c r="D15" s="58" t="s">
        <v>55</v>
      </c>
      <c r="E15" s="19">
        <f>VLOOKUP(Area_Pre_Development[[#This Row],[Distinctiveness]],Distinctiveness_LU[],2,FALSE)</f>
        <v>0</v>
      </c>
      <c r="F15" s="58" t="s">
        <v>55</v>
      </c>
      <c r="G15" s="19">
        <f>VLOOKUP(Area_Pre_Development[[#This Row],[Condition]],Lookups!$D$1:$E$5,2,FALSE)</f>
        <v>0</v>
      </c>
      <c r="H15" s="58">
        <v>2662.81</v>
      </c>
      <c r="I15"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5" s="4">
        <f>IF(Area_Pre_Development[[#This Row],[Biodiversity Units]]=Incomplete_Habitat_Details,1,0)</f>
        <v>0</v>
      </c>
    </row>
    <row r="16" spans="2:13">
      <c r="B16" s="76">
        <v>5</v>
      </c>
      <c r="C16" s="58" t="s">
        <v>57</v>
      </c>
      <c r="D16" s="58" t="s">
        <v>55</v>
      </c>
      <c r="E16" s="19">
        <f>VLOOKUP(Area_Pre_Development[[#This Row],[Distinctiveness]],Distinctiveness_LU[],2,FALSE)</f>
        <v>0</v>
      </c>
      <c r="F16" s="58" t="s">
        <v>55</v>
      </c>
      <c r="G16" s="19">
        <f>VLOOKUP(Area_Pre_Development[[#This Row],[Condition]],Lookups!$D$1:$E$5,2,FALSE)</f>
        <v>0</v>
      </c>
      <c r="H16" s="58">
        <v>4516.51</v>
      </c>
      <c r="I16"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6" s="4">
        <f>IF(Area_Pre_Development[[#This Row],[Biodiversity Units]]=Incomplete_Habitat_Details,1,0)</f>
        <v>0</v>
      </c>
    </row>
    <row r="17" spans="2:10">
      <c r="B17" s="76">
        <v>6</v>
      </c>
      <c r="C17" s="58" t="s">
        <v>58</v>
      </c>
      <c r="D17" s="58" t="s">
        <v>53</v>
      </c>
      <c r="E17" s="19">
        <f>VLOOKUP(Area_Pre_Development[[#This Row],[Distinctiveness]],Distinctiveness_LU[],2,FALSE)</f>
        <v>2</v>
      </c>
      <c r="F17" s="58" t="s">
        <v>51</v>
      </c>
      <c r="G17" s="19">
        <f>VLOOKUP(Area_Pre_Development[[#This Row],[Condition]],Lookups!$D$1:$E$5,2,FALSE)</f>
        <v>1</v>
      </c>
      <c r="H17" s="58">
        <v>97.99</v>
      </c>
      <c r="I17"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195.98</v>
      </c>
      <c r="J17" s="4">
        <f>IF(Area_Pre_Development[[#This Row],[Biodiversity Units]]=Incomplete_Habitat_Details,1,0)</f>
        <v>0</v>
      </c>
    </row>
    <row r="18" spans="2:10">
      <c r="B18" s="76"/>
      <c r="C18" s="58"/>
      <c r="D18" s="58"/>
      <c r="E18" s="19" t="e">
        <f>VLOOKUP(Area_Pre_Development[[#This Row],[Distinctiveness]],Distinctiveness_LU[],2,FALSE)</f>
        <v>#N/A</v>
      </c>
      <c r="F18" s="58"/>
      <c r="G18" s="19" t="e">
        <f>VLOOKUP(Area_Pre_Development[[#This Row],[Condition]],Lookups!$D$1:$E$5,2,FALSE)</f>
        <v>#N/A</v>
      </c>
      <c r="H18" s="58"/>
      <c r="I18"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8" s="4">
        <f>IF(Area_Pre_Development[[#This Row],[Biodiversity Units]]=Incomplete_Habitat_Details,1,0)</f>
        <v>0</v>
      </c>
    </row>
    <row r="19" spans="2:10">
      <c r="B19" s="76"/>
      <c r="C19" s="58"/>
      <c r="D19" s="58"/>
      <c r="E19" s="19" t="e">
        <f>VLOOKUP(Area_Pre_Development[[#This Row],[Distinctiveness]],Distinctiveness_LU[],2,FALSE)</f>
        <v>#N/A</v>
      </c>
      <c r="F19" s="58"/>
      <c r="G19" s="19" t="e">
        <f>VLOOKUP(Area_Pre_Development[[#This Row],[Condition]],Lookups!$D$1:$E$5,2,FALSE)</f>
        <v>#N/A</v>
      </c>
      <c r="H19" s="58"/>
      <c r="I19"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9" s="4">
        <f>IF(Area_Pre_Development[[#This Row],[Biodiversity Units]]=Incomplete_Habitat_Details,1,0)</f>
        <v>0</v>
      </c>
    </row>
    <row r="20" spans="2:10">
      <c r="B20" s="76"/>
      <c r="C20" s="58"/>
      <c r="D20" s="58"/>
      <c r="E20" s="19" t="e">
        <f>VLOOKUP(Area_Pre_Development[[#This Row],[Distinctiveness]],Distinctiveness_LU[],2,FALSE)</f>
        <v>#N/A</v>
      </c>
      <c r="F20" s="58"/>
      <c r="G20" s="19" t="e">
        <f>VLOOKUP(Area_Pre_Development[[#This Row],[Condition]],Lookups!$D$1:$E$5,2,FALSE)</f>
        <v>#N/A</v>
      </c>
      <c r="H20" s="58"/>
      <c r="I20"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0" s="4">
        <f>IF(Area_Pre_Development[[#This Row],[Biodiversity Units]]=Incomplete_Habitat_Details,1,0)</f>
        <v>0</v>
      </c>
    </row>
    <row r="21" spans="2:10">
      <c r="B21" s="76"/>
      <c r="C21" s="58"/>
      <c r="D21" s="58"/>
      <c r="E21" s="19" t="e">
        <f>VLOOKUP(Area_Pre_Development[[#This Row],[Distinctiveness]],Distinctiveness_LU[],2,FALSE)</f>
        <v>#N/A</v>
      </c>
      <c r="F21" s="58"/>
      <c r="G21" s="19" t="e">
        <f>VLOOKUP(Area_Pre_Development[[#This Row],[Condition]],Lookups!$D$1:$E$5,2,FALSE)</f>
        <v>#N/A</v>
      </c>
      <c r="H21" s="58"/>
      <c r="I21"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1" s="4">
        <f>IF(Area_Pre_Development[[#This Row],[Biodiversity Units]]=Incomplete_Habitat_Details,1,0)</f>
        <v>0</v>
      </c>
    </row>
    <row r="22" spans="2:10">
      <c r="B22" s="76"/>
      <c r="C22" s="58"/>
      <c r="D22" s="58"/>
      <c r="E22" s="19" t="e">
        <f>VLOOKUP(Area_Pre_Development[[#This Row],[Distinctiveness]],Distinctiveness_LU[],2,FALSE)</f>
        <v>#N/A</v>
      </c>
      <c r="F22" s="58"/>
      <c r="G22" s="19" t="e">
        <f>VLOOKUP(Area_Pre_Development[[#This Row],[Condition]],Lookups!$D$1:$E$5,2,FALSE)</f>
        <v>#N/A</v>
      </c>
      <c r="H22" s="58"/>
      <c r="I22"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2" s="4">
        <f>IF(Area_Pre_Development[[#This Row],[Biodiversity Units]]=Incomplete_Habitat_Details,1,0)</f>
        <v>0</v>
      </c>
    </row>
    <row r="23" spans="2:10">
      <c r="B23" s="76"/>
      <c r="C23" s="58"/>
      <c r="D23" s="58"/>
      <c r="E23" s="19" t="e">
        <f>VLOOKUP(Area_Pre_Development[[#This Row],[Distinctiveness]],Distinctiveness_LU[],2,FALSE)</f>
        <v>#N/A</v>
      </c>
      <c r="F23" s="58"/>
      <c r="G23" s="19" t="e">
        <f>VLOOKUP(Area_Pre_Development[[#This Row],[Condition]],Lookups!$D$1:$E$5,2,FALSE)</f>
        <v>#N/A</v>
      </c>
      <c r="H23" s="58"/>
      <c r="I23"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3" s="4">
        <f>IF(Area_Pre_Development[[#This Row],[Biodiversity Units]]=Incomplete_Habitat_Details,1,0)</f>
        <v>0</v>
      </c>
    </row>
    <row r="24" spans="2:10">
      <c r="B24" s="76"/>
      <c r="C24" s="58"/>
      <c r="D24" s="58"/>
      <c r="E24" s="19" t="e">
        <f>VLOOKUP(Area_Pre_Development[[#This Row],[Distinctiveness]],Distinctiveness_LU[],2,FALSE)</f>
        <v>#N/A</v>
      </c>
      <c r="F24" s="58"/>
      <c r="G24" s="19" t="e">
        <f>VLOOKUP(Area_Pre_Development[[#This Row],[Condition]],Lookups!$D$1:$E$5,2,FALSE)</f>
        <v>#N/A</v>
      </c>
      <c r="H24" s="58"/>
      <c r="I24"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4" s="4">
        <f>IF(Area_Pre_Development[[#This Row],[Biodiversity Units]]=Incomplete_Habitat_Details,1,0)</f>
        <v>0</v>
      </c>
    </row>
    <row r="25" spans="2:10">
      <c r="B25" s="76"/>
      <c r="C25" s="58"/>
      <c r="D25" s="58"/>
      <c r="E25" s="19" t="e">
        <f>VLOOKUP(Area_Pre_Development[[#This Row],[Distinctiveness]],Distinctiveness_LU[],2,FALSE)</f>
        <v>#N/A</v>
      </c>
      <c r="F25" s="58"/>
      <c r="G25" s="19" t="e">
        <f>VLOOKUP(Area_Pre_Development[[#This Row],[Condition]],Lookups!$D$1:$E$5,2,FALSE)</f>
        <v>#N/A</v>
      </c>
      <c r="H25" s="58"/>
      <c r="I25"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5" s="4">
        <f>IF(Area_Pre_Development[[#This Row],[Biodiversity Units]]=Incomplete_Habitat_Details,1,0)</f>
        <v>0</v>
      </c>
    </row>
    <row r="26" spans="2:10">
      <c r="B26" s="76"/>
      <c r="C26" s="58"/>
      <c r="D26" s="58"/>
      <c r="E26" s="19" t="e">
        <f>VLOOKUP(Area_Pre_Development[[#This Row],[Distinctiveness]],Distinctiveness_LU[],2,FALSE)</f>
        <v>#N/A</v>
      </c>
      <c r="F26" s="58"/>
      <c r="G26" s="19" t="e">
        <f>VLOOKUP(Area_Pre_Development[[#This Row],[Condition]],Lookups!$D$1:$E$5,2,FALSE)</f>
        <v>#N/A</v>
      </c>
      <c r="H26" s="58"/>
      <c r="I26"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6" s="4">
        <f>IF(Area_Pre_Development[[#This Row],[Biodiversity Units]]=Incomplete_Habitat_Details,1,0)</f>
        <v>0</v>
      </c>
    </row>
    <row r="27" spans="2:10">
      <c r="B27" s="76"/>
      <c r="C27" s="58"/>
      <c r="D27" s="58"/>
      <c r="E27" s="19" t="e">
        <f>VLOOKUP(Area_Pre_Development[[#This Row],[Distinctiveness]],Distinctiveness_LU[],2,FALSE)</f>
        <v>#N/A</v>
      </c>
      <c r="F27" s="58"/>
      <c r="G27" s="19" t="e">
        <f>VLOOKUP(Area_Pre_Development[[#This Row],[Condition]],Lookups!$D$1:$E$5,2,FALSE)</f>
        <v>#N/A</v>
      </c>
      <c r="H27" s="58"/>
      <c r="I27"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7" s="4">
        <f>IF(Area_Pre_Development[[#This Row],[Biodiversity Units]]=Incomplete_Habitat_Details,1,0)</f>
        <v>0</v>
      </c>
    </row>
    <row r="28" spans="2:10">
      <c r="B28" s="76"/>
      <c r="C28" s="58"/>
      <c r="D28" s="58"/>
      <c r="E28" s="19" t="e">
        <f>VLOOKUP(Area_Pre_Development[[#This Row],[Distinctiveness]],Distinctiveness_LU[],2,FALSE)</f>
        <v>#N/A</v>
      </c>
      <c r="F28" s="58"/>
      <c r="G28" s="19" t="e">
        <f>VLOOKUP(Area_Pre_Development[[#This Row],[Condition]],Lookups!$D$1:$E$5,2,FALSE)</f>
        <v>#N/A</v>
      </c>
      <c r="H28" s="58"/>
      <c r="I28"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8" s="4">
        <f>IF(Area_Pre_Development[[#This Row],[Biodiversity Units]]=Incomplete_Habitat_Details,1,0)</f>
        <v>0</v>
      </c>
    </row>
    <row r="29" spans="2:10">
      <c r="B29" s="76"/>
      <c r="C29" s="58"/>
      <c r="D29" s="58"/>
      <c r="E29" s="19" t="e">
        <f>VLOOKUP(Area_Pre_Development[[#This Row],[Distinctiveness]],Distinctiveness_LU[],2,FALSE)</f>
        <v>#N/A</v>
      </c>
      <c r="F29" s="58"/>
      <c r="G29" s="19" t="e">
        <f>VLOOKUP(Area_Pre_Development[[#This Row],[Condition]],Lookups!$D$1:$E$5,2,FALSE)</f>
        <v>#N/A</v>
      </c>
      <c r="H29" s="58"/>
      <c r="I29"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9" s="4">
        <f>IF(Area_Pre_Development[[#This Row],[Biodiversity Units]]=Incomplete_Habitat_Details,1,0)</f>
        <v>0</v>
      </c>
    </row>
    <row r="30" spans="2:10">
      <c r="B30" s="76"/>
      <c r="C30" s="58"/>
      <c r="D30" s="58"/>
      <c r="E30" s="19" t="e">
        <f>VLOOKUP(Area_Pre_Development[[#This Row],[Distinctiveness]],Distinctiveness_LU[],2,FALSE)</f>
        <v>#N/A</v>
      </c>
      <c r="F30" s="58"/>
      <c r="G30" s="19" t="e">
        <f>VLOOKUP(Area_Pre_Development[[#This Row],[Condition]],Lookups!$D$1:$E$5,2,FALSE)</f>
        <v>#N/A</v>
      </c>
      <c r="H30" s="58"/>
      <c r="I30"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0" s="4">
        <f>IF(Area_Pre_Development[[#This Row],[Biodiversity Units]]=Incomplete_Habitat_Details,1,0)</f>
        <v>0</v>
      </c>
    </row>
    <row r="31" spans="2:10">
      <c r="B31" s="76"/>
      <c r="C31" s="58"/>
      <c r="D31" s="58"/>
      <c r="E31" s="19" t="e">
        <f>VLOOKUP(Area_Pre_Development[[#This Row],[Distinctiveness]],Distinctiveness_LU[],2,FALSE)</f>
        <v>#N/A</v>
      </c>
      <c r="F31" s="58"/>
      <c r="G31" s="19" t="e">
        <f>VLOOKUP(Area_Pre_Development[[#This Row],[Condition]],Lookups!$D$1:$E$5,2,FALSE)</f>
        <v>#N/A</v>
      </c>
      <c r="H31" s="58"/>
      <c r="I31"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1" s="4">
        <f>IF(Area_Pre_Development[[#This Row],[Biodiversity Units]]=Incomplete_Habitat_Details,1,0)</f>
        <v>0</v>
      </c>
    </row>
    <row r="32" spans="2:10">
      <c r="B32" s="76"/>
      <c r="C32" s="58"/>
      <c r="D32" s="58"/>
      <c r="E32" s="19" t="e">
        <f>VLOOKUP(Area_Pre_Development[[#This Row],[Distinctiveness]],Distinctiveness_LU[],2,FALSE)</f>
        <v>#N/A</v>
      </c>
      <c r="F32" s="58"/>
      <c r="G32" s="19" t="e">
        <f>VLOOKUP(Area_Pre_Development[[#This Row],[Condition]],Lookups!$D$1:$E$5,2,FALSE)</f>
        <v>#N/A</v>
      </c>
      <c r="H32" s="58"/>
      <c r="I32"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2" s="4">
        <f>IF(Area_Pre_Development[[#This Row],[Biodiversity Units]]=Incomplete_Habitat_Details,1,0)</f>
        <v>0</v>
      </c>
    </row>
    <row r="33" spans="2:14">
      <c r="B33" s="76"/>
      <c r="C33" s="58"/>
      <c r="D33" s="58"/>
      <c r="E33" s="19" t="e">
        <f>VLOOKUP(Area_Pre_Development[[#This Row],[Distinctiveness]],Distinctiveness_LU[],2,FALSE)</f>
        <v>#N/A</v>
      </c>
      <c r="F33" s="58"/>
      <c r="G33" s="19" t="e">
        <f>VLOOKUP(Area_Pre_Development[[#This Row],[Condition]],Lookups!$D$1:$E$5,2,FALSE)</f>
        <v>#N/A</v>
      </c>
      <c r="H33" s="58"/>
      <c r="I33"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3" s="4">
        <f>IF(Area_Pre_Development[[#This Row],[Biodiversity Units]]=Incomplete_Habitat_Details,1,0)</f>
        <v>0</v>
      </c>
    </row>
    <row r="34" spans="2:14">
      <c r="B34" s="76"/>
      <c r="C34" s="58"/>
      <c r="D34" s="58"/>
      <c r="E34" s="19" t="e">
        <f>VLOOKUP(Area_Pre_Development[[#This Row],[Distinctiveness]],Distinctiveness_LU[],2,FALSE)</f>
        <v>#N/A</v>
      </c>
      <c r="F34" s="58"/>
      <c r="G34" s="19" t="e">
        <f>VLOOKUP(Area_Pre_Development[[#This Row],[Condition]],Lookups!$D$1:$E$5,2,FALSE)</f>
        <v>#N/A</v>
      </c>
      <c r="H34" s="58"/>
      <c r="I34"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4" s="4">
        <f>IF(Area_Pre_Development[[#This Row],[Biodiversity Units]]=Incomplete_Habitat_Details,1,0)</f>
        <v>0</v>
      </c>
    </row>
    <row r="35" spans="2:14">
      <c r="B35" s="76"/>
      <c r="C35" s="58"/>
      <c r="D35" s="58"/>
      <c r="E35" s="19" t="e">
        <f>VLOOKUP(Area_Pre_Development[[#This Row],[Distinctiveness]],Distinctiveness_LU[],2,FALSE)</f>
        <v>#N/A</v>
      </c>
      <c r="F35" s="58"/>
      <c r="G35" s="19" t="e">
        <f>VLOOKUP(Area_Pre_Development[[#This Row],[Condition]],Lookups!$D$1:$E$5,2,FALSE)</f>
        <v>#N/A</v>
      </c>
      <c r="H35" s="58"/>
      <c r="I35"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5" s="4">
        <f>IF(Area_Pre_Development[[#This Row],[Biodiversity Units]]=Incomplete_Habitat_Details,1,0)</f>
        <v>0</v>
      </c>
    </row>
    <row r="36" spans="2:14" ht="15.75" thickBot="1">
      <c r="B36" s="77"/>
      <c r="C36" s="59"/>
      <c r="D36" s="59"/>
      <c r="E36" s="28" t="e">
        <f>VLOOKUP(Area_Pre_Development[[#This Row],[Distinctiveness]],Distinctiveness_LU[],2,FALSE)</f>
        <v>#N/A</v>
      </c>
      <c r="F36" s="59"/>
      <c r="G36" s="28" t="e">
        <f>VLOOKUP(Area_Pre_Development[[#This Row],[Condition]],Lookups!$D$1:$E$5,2,FALSE)</f>
        <v>#N/A</v>
      </c>
      <c r="H36" s="59"/>
      <c r="I36" s="108">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6" s="4">
        <f>IF(Area_Pre_Development[[#This Row],[Biodiversity Units]]=Incomplete_Habitat_Details,1,0)</f>
        <v>0</v>
      </c>
    </row>
    <row r="37" spans="2:14" ht="15.75" thickBot="1">
      <c r="B37" s="110" t="s">
        <v>59</v>
      </c>
      <c r="C37" s="111"/>
      <c r="D37" s="111"/>
      <c r="E37" s="111"/>
      <c r="F37" s="111"/>
      <c r="G37" s="111"/>
      <c r="H37" s="111">
        <f>SUBTOTAL(109,Area_Pre_Development[Area (ha or m2)])</f>
        <v>8434.6999999999989</v>
      </c>
      <c r="I37" s="109">
        <f>IF(J37&gt;0,Errors_Corrected,SUBTOTAL(9,Area_Pre_Development[[#Headers],[#Data],[Biodiversity Units]]))</f>
        <v>3291.3399999999997</v>
      </c>
      <c r="J37" s="4">
        <f>SUM(J12:J36)</f>
        <v>0</v>
      </c>
    </row>
    <row r="38" spans="2:14" ht="15.75" thickBot="1"/>
    <row r="39" spans="2:14" ht="26.25">
      <c r="B39" s="213" t="s">
        <v>60</v>
      </c>
      <c r="C39" s="214"/>
      <c r="D39" s="214"/>
      <c r="E39" s="214"/>
      <c r="F39" s="214"/>
      <c r="G39" s="214"/>
      <c r="H39" s="214"/>
      <c r="I39" s="215"/>
      <c r="J39" s="20"/>
      <c r="K39" s="20"/>
      <c r="L39" s="20"/>
      <c r="M39" s="20"/>
      <c r="N39" s="20"/>
    </row>
    <row r="40" spans="2:14" ht="17.25">
      <c r="B40" s="78" t="s">
        <v>37</v>
      </c>
      <c r="C40" s="79" t="s">
        <v>61</v>
      </c>
      <c r="D40" s="79" t="s">
        <v>39</v>
      </c>
      <c r="E40" s="79" t="s">
        <v>40</v>
      </c>
      <c r="F40" s="79" t="s">
        <v>41</v>
      </c>
      <c r="G40" s="79" t="s">
        <v>42</v>
      </c>
      <c r="H40" s="79" t="s">
        <v>43</v>
      </c>
      <c r="I40" s="80" t="s">
        <v>44</v>
      </c>
    </row>
    <row r="41" spans="2:14">
      <c r="B41" s="76">
        <v>2</v>
      </c>
      <c r="C41" s="58" t="s">
        <v>52</v>
      </c>
      <c r="D41" s="58" t="s">
        <v>53</v>
      </c>
      <c r="E41" s="62">
        <f>VLOOKUP(Area_Loss[[#This Row],[Distinctiveness]],Distinctiveness_LU[],2,FALSE)</f>
        <v>2</v>
      </c>
      <c r="F41" s="58" t="s">
        <v>51</v>
      </c>
      <c r="G41" s="62">
        <f>VLOOKUP(Area_Loss[[#This Row],[Condition]],Condition_LU[],2,FALSE)</f>
        <v>1</v>
      </c>
      <c r="H41" s="58">
        <v>682</v>
      </c>
      <c r="I41" s="112">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1364</v>
      </c>
      <c r="J41" s="4">
        <f>IF(Area_Loss[[#This Row],[Biodiversity Units]]=Incomplete_Habitat_Details,1,0)</f>
        <v>0</v>
      </c>
    </row>
    <row r="42" spans="2:14">
      <c r="B42" s="76">
        <v>3</v>
      </c>
      <c r="C42" s="58" t="s">
        <v>54</v>
      </c>
      <c r="D42" s="58" t="s">
        <v>55</v>
      </c>
      <c r="E42" s="62">
        <f>VLOOKUP(Area_Loss[[#This Row],[Distinctiveness]],Distinctiveness_LU[],2,FALSE)</f>
        <v>0</v>
      </c>
      <c r="F42" s="58" t="s">
        <v>55</v>
      </c>
      <c r="G42" s="62">
        <f>VLOOKUP(Area_Loss[[#This Row],[Condition]],Condition_LU[],2,FALSE)</f>
        <v>0</v>
      </c>
      <c r="H42" s="58">
        <v>42.54</v>
      </c>
      <c r="I42"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2" s="4">
        <f>IF(Area_Loss[[#This Row],[Biodiversity Units]]=Incomplete_Habitat_Details,1,0)</f>
        <v>0</v>
      </c>
    </row>
    <row r="43" spans="2:14">
      <c r="B43" s="76">
        <v>4</v>
      </c>
      <c r="C43" s="58" t="s">
        <v>56</v>
      </c>
      <c r="D43" s="58" t="s">
        <v>55</v>
      </c>
      <c r="E43" s="62">
        <f>VLOOKUP(Area_Loss[[#This Row],[Distinctiveness]],Distinctiveness_LU[],2,FALSE)</f>
        <v>0</v>
      </c>
      <c r="F43" s="58" t="s">
        <v>55</v>
      </c>
      <c r="G43" s="62">
        <f>VLOOKUP(Area_Loss[[#This Row],[Condition]],Condition_LU[],2,FALSE)</f>
        <v>0</v>
      </c>
      <c r="H43" s="58">
        <v>2662.81</v>
      </c>
      <c r="I43"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3" s="4">
        <f>IF(Area_Loss[[#This Row],[Biodiversity Units]]=Incomplete_Habitat_Details,1,0)</f>
        <v>0</v>
      </c>
    </row>
    <row r="44" spans="2:14">
      <c r="B44" s="76">
        <v>6</v>
      </c>
      <c r="C44" s="58" t="s">
        <v>58</v>
      </c>
      <c r="D44" s="58" t="s">
        <v>53</v>
      </c>
      <c r="E44" s="62">
        <f>VLOOKUP(Area_Loss[[#This Row],[Distinctiveness]],Distinctiveness_LU[],2,FALSE)</f>
        <v>2</v>
      </c>
      <c r="F44" s="58" t="s">
        <v>51</v>
      </c>
      <c r="G44" s="62">
        <f>VLOOKUP(Area_Loss[[#This Row],[Condition]],Condition_LU[],2,FALSE)</f>
        <v>1</v>
      </c>
      <c r="H44" s="58">
        <v>97.99</v>
      </c>
      <c r="I44"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195.98</v>
      </c>
      <c r="J44" s="4">
        <f>IF(Area_Loss[[#This Row],[Biodiversity Units]]=Incomplete_Habitat_Details,1,0)</f>
        <v>0</v>
      </c>
    </row>
    <row r="45" spans="2:14">
      <c r="B45" s="81"/>
      <c r="C45" s="61"/>
      <c r="D45" s="61"/>
      <c r="E45" s="62" t="e">
        <f>VLOOKUP(Area_Loss[[#This Row],[Distinctiveness]],Distinctiveness_LU[],2,FALSE)</f>
        <v>#N/A</v>
      </c>
      <c r="F45" s="61"/>
      <c r="G45" s="62" t="e">
        <f>VLOOKUP(Area_Loss[[#This Row],[Condition]],Condition_LU[],2,FALSE)</f>
        <v>#N/A</v>
      </c>
      <c r="H45" s="61"/>
      <c r="I45"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5" s="4">
        <f>IF(Area_Loss[[#This Row],[Biodiversity Units]]=Incomplete_Habitat_Details,1,0)</f>
        <v>0</v>
      </c>
    </row>
    <row r="46" spans="2:14">
      <c r="B46" s="81"/>
      <c r="C46" s="61"/>
      <c r="D46" s="61"/>
      <c r="E46" s="62" t="e">
        <f>VLOOKUP(Area_Loss[[#This Row],[Distinctiveness]],Distinctiveness_LU[],2,FALSE)</f>
        <v>#N/A</v>
      </c>
      <c r="F46" s="61"/>
      <c r="G46" s="62" t="e">
        <f>VLOOKUP(Area_Loss[[#This Row],[Condition]],Condition_LU[],2,FALSE)</f>
        <v>#N/A</v>
      </c>
      <c r="H46" s="61"/>
      <c r="I46"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6" s="4">
        <f>IF(Area_Loss[[#This Row],[Biodiversity Units]]=Incomplete_Habitat_Details,1,0)</f>
        <v>0</v>
      </c>
    </row>
    <row r="47" spans="2:14">
      <c r="B47" s="81"/>
      <c r="C47" s="61"/>
      <c r="D47" s="61"/>
      <c r="E47" s="62" t="e">
        <f>VLOOKUP(Area_Loss[[#This Row],[Distinctiveness]],Distinctiveness_LU[],2,FALSE)</f>
        <v>#N/A</v>
      </c>
      <c r="F47" s="61"/>
      <c r="G47" s="62" t="e">
        <f>VLOOKUP(Area_Loss[[#This Row],[Condition]],Condition_LU[],2,FALSE)</f>
        <v>#N/A</v>
      </c>
      <c r="H47" s="61"/>
      <c r="I47"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7" s="4">
        <f>IF(Area_Loss[[#This Row],[Biodiversity Units]]=Incomplete_Habitat_Details,1,0)</f>
        <v>0</v>
      </c>
    </row>
    <row r="48" spans="2:14">
      <c r="B48" s="81"/>
      <c r="C48" s="61"/>
      <c r="D48" s="61"/>
      <c r="E48" s="62" t="e">
        <f>VLOOKUP(Area_Loss[[#This Row],[Distinctiveness]],Distinctiveness_LU[],2,FALSE)</f>
        <v>#N/A</v>
      </c>
      <c r="F48" s="61"/>
      <c r="G48" s="62" t="e">
        <f>VLOOKUP(Area_Loss[[#This Row],[Condition]],Condition_LU[],2,FALSE)</f>
        <v>#N/A</v>
      </c>
      <c r="H48" s="61"/>
      <c r="I48"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8" s="4">
        <f>IF(Area_Loss[[#This Row],[Biodiversity Units]]=Incomplete_Habitat_Details,1,0)</f>
        <v>0</v>
      </c>
    </row>
    <row r="49" spans="2:10">
      <c r="B49" s="81"/>
      <c r="C49" s="61"/>
      <c r="D49" s="61"/>
      <c r="E49" s="62" t="e">
        <f>VLOOKUP(Area_Loss[[#This Row],[Distinctiveness]],Distinctiveness_LU[],2,FALSE)</f>
        <v>#N/A</v>
      </c>
      <c r="F49" s="61"/>
      <c r="G49" s="62" t="e">
        <f>VLOOKUP(Area_Loss[[#This Row],[Condition]],Condition_LU[],2,FALSE)</f>
        <v>#N/A</v>
      </c>
      <c r="H49" s="61"/>
      <c r="I49"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9" s="4">
        <f>IF(Area_Loss[[#This Row],[Biodiversity Units]]=Incomplete_Habitat_Details,1,0)</f>
        <v>0</v>
      </c>
    </row>
    <row r="50" spans="2:10">
      <c r="B50" s="81"/>
      <c r="C50" s="61"/>
      <c r="D50" s="61"/>
      <c r="E50" s="62" t="e">
        <f>VLOOKUP(Area_Loss[[#This Row],[Distinctiveness]],Distinctiveness_LU[],2,FALSE)</f>
        <v>#N/A</v>
      </c>
      <c r="F50" s="61"/>
      <c r="G50" s="62" t="e">
        <f>VLOOKUP(Area_Loss[[#This Row],[Condition]],Condition_LU[],2,FALSE)</f>
        <v>#N/A</v>
      </c>
      <c r="H50" s="61"/>
      <c r="I50"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0" s="4">
        <f>IF(Area_Loss[[#This Row],[Biodiversity Units]]=Incomplete_Habitat_Details,1,0)</f>
        <v>0</v>
      </c>
    </row>
    <row r="51" spans="2:10">
      <c r="B51" s="81"/>
      <c r="C51" s="61"/>
      <c r="D51" s="61"/>
      <c r="E51" s="62" t="e">
        <f>VLOOKUP(Area_Loss[[#This Row],[Distinctiveness]],Distinctiveness_LU[],2,FALSE)</f>
        <v>#N/A</v>
      </c>
      <c r="F51" s="61"/>
      <c r="G51" s="62" t="e">
        <f>VLOOKUP(Area_Loss[[#This Row],[Condition]],Condition_LU[],2,FALSE)</f>
        <v>#N/A</v>
      </c>
      <c r="H51" s="61"/>
      <c r="I51"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1" s="4">
        <f>IF(Area_Loss[[#This Row],[Biodiversity Units]]=Incomplete_Habitat_Details,1,0)</f>
        <v>0</v>
      </c>
    </row>
    <row r="52" spans="2:10">
      <c r="B52" s="81"/>
      <c r="C52" s="61"/>
      <c r="D52" s="61"/>
      <c r="E52" s="62" t="e">
        <f>VLOOKUP(Area_Loss[[#This Row],[Distinctiveness]],Distinctiveness_LU[],2,FALSE)</f>
        <v>#N/A</v>
      </c>
      <c r="F52" s="61"/>
      <c r="G52" s="62" t="e">
        <f>VLOOKUP(Area_Loss[[#This Row],[Condition]],Condition_LU[],2,FALSE)</f>
        <v>#N/A</v>
      </c>
      <c r="H52" s="61"/>
      <c r="I52"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2" s="4">
        <f>IF(Area_Loss[[#This Row],[Biodiversity Units]]=Incomplete_Habitat_Details,1,0)</f>
        <v>0</v>
      </c>
    </row>
    <row r="53" spans="2:10">
      <c r="B53" s="81"/>
      <c r="C53" s="61"/>
      <c r="D53" s="61"/>
      <c r="E53" s="62" t="e">
        <f>VLOOKUP(Area_Loss[[#This Row],[Distinctiveness]],Distinctiveness_LU[],2,FALSE)</f>
        <v>#N/A</v>
      </c>
      <c r="F53" s="61"/>
      <c r="G53" s="62" t="e">
        <f>VLOOKUP(Area_Loss[[#This Row],[Condition]],Condition_LU[],2,FALSE)</f>
        <v>#N/A</v>
      </c>
      <c r="H53" s="61"/>
      <c r="I53"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3" s="4">
        <f>IF(Area_Loss[[#This Row],[Biodiversity Units]]=Incomplete_Habitat_Details,1,0)</f>
        <v>0</v>
      </c>
    </row>
    <row r="54" spans="2:10">
      <c r="B54" s="81"/>
      <c r="C54" s="61"/>
      <c r="D54" s="61"/>
      <c r="E54" s="62" t="e">
        <f>VLOOKUP(Area_Loss[[#This Row],[Distinctiveness]],Distinctiveness_LU[],2,FALSE)</f>
        <v>#N/A</v>
      </c>
      <c r="F54" s="61"/>
      <c r="G54" s="62" t="e">
        <f>VLOOKUP(Area_Loss[[#This Row],[Condition]],Condition_LU[],2,FALSE)</f>
        <v>#N/A</v>
      </c>
      <c r="H54" s="61"/>
      <c r="I54"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4" s="4">
        <f>IF(Area_Loss[[#This Row],[Biodiversity Units]]=Incomplete_Habitat_Details,1,0)</f>
        <v>0</v>
      </c>
    </row>
    <row r="55" spans="2:10">
      <c r="B55" s="81"/>
      <c r="C55" s="61"/>
      <c r="D55" s="61"/>
      <c r="E55" s="62" t="e">
        <f>VLOOKUP(Area_Loss[[#This Row],[Distinctiveness]],Distinctiveness_LU[],2,FALSE)</f>
        <v>#N/A</v>
      </c>
      <c r="F55" s="61"/>
      <c r="G55" s="62" t="e">
        <f>VLOOKUP(Area_Loss[[#This Row],[Condition]],Condition_LU[],2,FALSE)</f>
        <v>#N/A</v>
      </c>
      <c r="H55" s="61"/>
      <c r="I55"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5" s="4">
        <f>IF(Area_Loss[[#This Row],[Biodiversity Units]]=Incomplete_Habitat_Details,1,0)</f>
        <v>0</v>
      </c>
    </row>
    <row r="56" spans="2:10">
      <c r="B56" s="81"/>
      <c r="C56" s="61"/>
      <c r="D56" s="61"/>
      <c r="E56" s="62" t="e">
        <f>VLOOKUP(Area_Loss[[#This Row],[Distinctiveness]],Distinctiveness_LU[],2,FALSE)</f>
        <v>#N/A</v>
      </c>
      <c r="F56" s="61"/>
      <c r="G56" s="62" t="e">
        <f>VLOOKUP(Area_Loss[[#This Row],[Condition]],Condition_LU[],2,FALSE)</f>
        <v>#N/A</v>
      </c>
      <c r="H56" s="61"/>
      <c r="I56"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6" s="4">
        <f>IF(Area_Loss[[#This Row],[Biodiversity Units]]=Incomplete_Habitat_Details,1,0)</f>
        <v>0</v>
      </c>
    </row>
    <row r="57" spans="2:10">
      <c r="B57" s="81"/>
      <c r="C57" s="61"/>
      <c r="D57" s="61"/>
      <c r="E57" s="62" t="e">
        <f>VLOOKUP(Area_Loss[[#This Row],[Distinctiveness]],Distinctiveness_LU[],2,FALSE)</f>
        <v>#N/A</v>
      </c>
      <c r="F57" s="61"/>
      <c r="G57" s="62" t="e">
        <f>VLOOKUP(Area_Loss[[#This Row],[Condition]],Condition_LU[],2,FALSE)</f>
        <v>#N/A</v>
      </c>
      <c r="H57" s="61"/>
      <c r="I57"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7" s="4">
        <f>IF(Area_Loss[[#This Row],[Biodiversity Units]]=Incomplete_Habitat_Details,1,0)</f>
        <v>0</v>
      </c>
    </row>
    <row r="58" spans="2:10">
      <c r="B58" s="81"/>
      <c r="C58" s="61"/>
      <c r="D58" s="61"/>
      <c r="E58" s="62" t="e">
        <f>VLOOKUP(Area_Loss[[#This Row],[Distinctiveness]],Distinctiveness_LU[],2,FALSE)</f>
        <v>#N/A</v>
      </c>
      <c r="F58" s="61"/>
      <c r="G58" s="62" t="e">
        <f>VLOOKUP(Area_Loss[[#This Row],[Condition]],Condition_LU[],2,FALSE)</f>
        <v>#N/A</v>
      </c>
      <c r="H58" s="61"/>
      <c r="I58"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8" s="4">
        <f>IF(Area_Loss[[#This Row],[Biodiversity Units]]=Incomplete_Habitat_Details,1,0)</f>
        <v>0</v>
      </c>
    </row>
    <row r="59" spans="2:10">
      <c r="B59" s="81"/>
      <c r="C59" s="61"/>
      <c r="D59" s="61"/>
      <c r="E59" s="62" t="e">
        <f>VLOOKUP(Area_Loss[[#This Row],[Distinctiveness]],Distinctiveness_LU[],2,FALSE)</f>
        <v>#N/A</v>
      </c>
      <c r="F59" s="61"/>
      <c r="G59" s="62" t="e">
        <f>VLOOKUP(Area_Loss[[#This Row],[Condition]],Condition_LU[],2,FALSE)</f>
        <v>#N/A</v>
      </c>
      <c r="H59" s="61"/>
      <c r="I59"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9" s="4">
        <f>IF(Area_Loss[[#This Row],[Biodiversity Units]]=Incomplete_Habitat_Details,1,0)</f>
        <v>0</v>
      </c>
    </row>
    <row r="60" spans="2:10">
      <c r="B60" s="81"/>
      <c r="C60" s="61"/>
      <c r="D60" s="61"/>
      <c r="E60" s="62" t="e">
        <f>VLOOKUP(Area_Loss[[#This Row],[Distinctiveness]],Distinctiveness_LU[],2,FALSE)</f>
        <v>#N/A</v>
      </c>
      <c r="F60" s="61"/>
      <c r="G60" s="62" t="e">
        <f>VLOOKUP(Area_Loss[[#This Row],[Condition]],Condition_LU[],2,FALSE)</f>
        <v>#N/A</v>
      </c>
      <c r="H60" s="61"/>
      <c r="I60"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0" s="4">
        <f>IF(Area_Loss[[#This Row],[Biodiversity Units]]=Incomplete_Habitat_Details,1,0)</f>
        <v>0</v>
      </c>
    </row>
    <row r="61" spans="2:10">
      <c r="B61" s="81"/>
      <c r="C61" s="61"/>
      <c r="D61" s="61"/>
      <c r="E61" s="62" t="e">
        <f>VLOOKUP(Area_Loss[[#This Row],[Distinctiveness]],Distinctiveness_LU[],2,FALSE)</f>
        <v>#N/A</v>
      </c>
      <c r="F61" s="61"/>
      <c r="G61" s="62" t="e">
        <f>VLOOKUP(Area_Loss[[#This Row],[Condition]],Condition_LU[],2,FALSE)</f>
        <v>#N/A</v>
      </c>
      <c r="H61" s="61"/>
      <c r="I61"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1" s="4">
        <f>IF(Area_Loss[[#This Row],[Biodiversity Units]]=Incomplete_Habitat_Details,1,0)</f>
        <v>0</v>
      </c>
    </row>
    <row r="62" spans="2:10">
      <c r="B62" s="81"/>
      <c r="C62" s="61"/>
      <c r="D62" s="61"/>
      <c r="E62" s="62" t="e">
        <f>VLOOKUP(Area_Loss[[#This Row],[Distinctiveness]],Distinctiveness_LU[],2,FALSE)</f>
        <v>#N/A</v>
      </c>
      <c r="F62" s="61"/>
      <c r="G62" s="62" t="e">
        <f>VLOOKUP(Area_Loss[[#This Row],[Condition]],Condition_LU[],2,FALSE)</f>
        <v>#N/A</v>
      </c>
      <c r="H62" s="61"/>
      <c r="I62"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2" s="4">
        <f>IF(Area_Loss[[#This Row],[Biodiversity Units]]=Incomplete_Habitat_Details,1,0)</f>
        <v>0</v>
      </c>
    </row>
    <row r="63" spans="2:10">
      <c r="B63" s="81"/>
      <c r="C63" s="61"/>
      <c r="D63" s="61"/>
      <c r="E63" s="62" t="e">
        <f>VLOOKUP(Area_Loss[[#This Row],[Distinctiveness]],Distinctiveness_LU[],2,FALSE)</f>
        <v>#N/A</v>
      </c>
      <c r="F63" s="61"/>
      <c r="G63" s="62" t="e">
        <f>VLOOKUP(Area_Loss[[#This Row],[Condition]],Condition_LU[],2,FALSE)</f>
        <v>#N/A</v>
      </c>
      <c r="H63" s="61"/>
      <c r="I63"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3" s="4">
        <f>IF(Area_Loss[[#This Row],[Biodiversity Units]]=Incomplete_Habitat_Details,1,0)</f>
        <v>0</v>
      </c>
    </row>
    <row r="64" spans="2:10">
      <c r="B64" s="81"/>
      <c r="C64" s="61"/>
      <c r="D64" s="61"/>
      <c r="E64" s="62" t="e">
        <f>VLOOKUP(Area_Loss[[#This Row],[Distinctiveness]],Distinctiveness_LU[],2,FALSE)</f>
        <v>#N/A</v>
      </c>
      <c r="F64" s="61"/>
      <c r="G64" s="62" t="e">
        <f>VLOOKUP(Area_Loss[[#This Row],[Condition]],Condition_LU[],2,FALSE)</f>
        <v>#N/A</v>
      </c>
      <c r="H64" s="61"/>
      <c r="I64"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4" s="4">
        <f>IF(Area_Loss[[#This Row],[Biodiversity Units]]=Incomplete_Habitat_Details,1,0)</f>
        <v>0</v>
      </c>
    </row>
    <row r="65" spans="2:16" ht="15.75" thickBot="1">
      <c r="B65" s="82"/>
      <c r="C65" s="63"/>
      <c r="D65" s="63"/>
      <c r="E65" s="64" t="e">
        <f>VLOOKUP(Area_Loss[[#This Row],[Distinctiveness]],Distinctiveness_LU[],2,FALSE)</f>
        <v>#N/A</v>
      </c>
      <c r="F65" s="63"/>
      <c r="G65" s="64" t="e">
        <f>VLOOKUP(Area_Loss[[#This Row],[Condition]],Condition_LU[],2,FALSE)</f>
        <v>#N/A</v>
      </c>
      <c r="H65" s="63"/>
      <c r="I65" s="113">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5" s="4">
        <f>IF(Area_Loss[[#This Row],[Biodiversity Units]]=Incomplete_Habitat_Details,1,0)</f>
        <v>0</v>
      </c>
    </row>
    <row r="66" spans="2:16" ht="15.75" thickBot="1">
      <c r="B66" s="115" t="s">
        <v>59</v>
      </c>
      <c r="C66" s="116"/>
      <c r="D66" s="116"/>
      <c r="E66" s="116"/>
      <c r="F66" s="116"/>
      <c r="G66" s="116"/>
      <c r="H66" s="116">
        <f>SUBTOTAL(109,Area_Loss[Area (ha or m2)])</f>
        <v>3485.3399999999997</v>
      </c>
      <c r="I66" s="114">
        <f>IF(J66&gt;0,Errors_Corrected,IF(SUM(Area_Loss[Biodiversity Units])&gt;Area_Pre_Development[[#Totals],[Biodiversity Units]],Loss_Exceeds_Pre_Error,(SUBTOTAL(9,Area_Loss[Biodiversity Units]))))</f>
        <v>1559.98</v>
      </c>
      <c r="J66" s="4">
        <f>SUM(J41:J65)</f>
        <v>0</v>
      </c>
    </row>
    <row r="67" spans="2:16" ht="15.75" thickBot="1"/>
    <row r="68" spans="2:16" ht="26.25">
      <c r="B68" s="213" t="s">
        <v>62</v>
      </c>
      <c r="C68" s="214"/>
      <c r="D68" s="214"/>
      <c r="E68" s="214"/>
      <c r="F68" s="214"/>
      <c r="G68" s="214"/>
      <c r="H68" s="214"/>
      <c r="I68" s="214"/>
      <c r="J68" s="214"/>
      <c r="K68" s="214"/>
      <c r="L68" s="214"/>
      <c r="M68" s="214"/>
      <c r="N68" s="214"/>
      <c r="O68" s="215"/>
    </row>
    <row r="69" spans="2:16" ht="17.25">
      <c r="B69" s="78" t="s">
        <v>37</v>
      </c>
      <c r="C69" s="79" t="s">
        <v>61</v>
      </c>
      <c r="D69" s="79" t="s">
        <v>39</v>
      </c>
      <c r="E69" s="79" t="s">
        <v>40</v>
      </c>
      <c r="F69" s="79" t="s">
        <v>41</v>
      </c>
      <c r="G69" s="79" t="s">
        <v>42</v>
      </c>
      <c r="H69" s="79" t="s">
        <v>43</v>
      </c>
      <c r="I69" s="79" t="s">
        <v>63</v>
      </c>
      <c r="J69" s="79" t="s">
        <v>64</v>
      </c>
      <c r="K69" s="79" t="s">
        <v>65</v>
      </c>
      <c r="L69" s="79" t="s">
        <v>66</v>
      </c>
      <c r="M69" s="79" t="s">
        <v>67</v>
      </c>
      <c r="N69" s="79" t="s">
        <v>68</v>
      </c>
      <c r="O69" s="80" t="s">
        <v>44</v>
      </c>
    </row>
    <row r="70" spans="2:16">
      <c r="B70" s="83">
        <v>1</v>
      </c>
      <c r="C70" s="84" t="s">
        <v>69</v>
      </c>
      <c r="D70" s="84" t="s">
        <v>50</v>
      </c>
      <c r="E70" s="85">
        <f>VLOOKUP(Area_Created[[#This Row],[Distinctiveness]],Lookups!$A$2:$B$5,2,FALSE)</f>
        <v>4</v>
      </c>
      <c r="F70" s="84" t="s">
        <v>47</v>
      </c>
      <c r="G70" s="85">
        <f>VLOOKUP(Area_Created[[#This Row],[Condition]],Condition_LU[#All],2,FALSE)</f>
        <v>2</v>
      </c>
      <c r="H70" s="84">
        <v>268</v>
      </c>
      <c r="I70" s="84" t="s">
        <v>53</v>
      </c>
      <c r="J70" s="85">
        <f>VLOOKUP(Area_Created[[#This Row],[Delivery Risk]],DeliveryRisk_LU[],2,FALSE)</f>
        <v>1</v>
      </c>
      <c r="K70" s="84">
        <v>1</v>
      </c>
      <c r="L70" s="85">
        <f>VLOOKUP(Area_Created[[#This Row],[Temporal Risk ]],TemporalRisk_LU[],2,FALSE)</f>
        <v>0.97</v>
      </c>
      <c r="M70" s="86" t="s">
        <v>70</v>
      </c>
      <c r="N70" s="4">
        <f>VLOOKUP(Area_Created[[#This Row],[Spatial Risk]],SpatialRisk_LU[#All],2,FALSE)</f>
        <v>0.5</v>
      </c>
      <c r="O70"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1039.8399999999999</v>
      </c>
      <c r="P70" s="139">
        <f>IF(Area_Created[[#This Row],[Biodiversity Units]]=Incomplete_Habitat_Details,1,0)</f>
        <v>0</v>
      </c>
    </row>
    <row r="71" spans="2:16">
      <c r="B71" s="81">
        <v>2</v>
      </c>
      <c r="C71" s="61" t="s">
        <v>57</v>
      </c>
      <c r="D71" s="61" t="s">
        <v>55</v>
      </c>
      <c r="E71" s="62">
        <f>VLOOKUP(Area_Created[[#This Row],[Distinctiveness]],Lookups!$A$2:$B$5,2,FALSE)</f>
        <v>0</v>
      </c>
      <c r="F71" s="61" t="s">
        <v>55</v>
      </c>
      <c r="G71" s="62">
        <f>VLOOKUP(Area_Created[[#This Row],[Condition]],Condition_LU[#All],2,FALSE)</f>
        <v>0</v>
      </c>
      <c r="H71" s="61">
        <v>3059.35</v>
      </c>
      <c r="I71" s="61" t="s">
        <v>53</v>
      </c>
      <c r="J71" s="62">
        <f>VLOOKUP(Area_Created[[#This Row],[Delivery Risk]],DeliveryRisk_LU[],2,FALSE)</f>
        <v>1</v>
      </c>
      <c r="K71" s="61">
        <v>0</v>
      </c>
      <c r="L71" s="62">
        <f>VLOOKUP(Area_Created[[#This Row],[Temporal Risk ]],TemporalRisk_LU[],2,FALSE)</f>
        <v>1</v>
      </c>
      <c r="M71" s="87" t="s">
        <v>70</v>
      </c>
      <c r="N71" s="4">
        <f>VLOOKUP(Area_Created[[#This Row],[Spatial Risk]],SpatialRisk_LU[#All],2,FALSE)</f>
        <v>0.5</v>
      </c>
      <c r="O71"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1" s="139">
        <f>IF(Area_Created[[#This Row],[Biodiversity Units]]=Incomplete_Habitat_Details,1,0)</f>
        <v>0</v>
      </c>
    </row>
    <row r="72" spans="2:16">
      <c r="B72" s="81">
        <v>3</v>
      </c>
      <c r="C72" s="61" t="s">
        <v>58</v>
      </c>
      <c r="D72" s="61" t="s">
        <v>50</v>
      </c>
      <c r="E72" s="62">
        <f>VLOOKUP(Area_Created[[#This Row],[Distinctiveness]],Lookups!$A$2:$B$5,2,FALSE)</f>
        <v>4</v>
      </c>
      <c r="F72" s="61" t="s">
        <v>47</v>
      </c>
      <c r="G72" s="62">
        <f>VLOOKUP(Area_Created[[#This Row],[Condition]],Condition_LU[#All],2,FALSE)</f>
        <v>2</v>
      </c>
      <c r="H72" s="61">
        <v>97.99</v>
      </c>
      <c r="I72" s="61" t="s">
        <v>53</v>
      </c>
      <c r="J72" s="62">
        <f>VLOOKUP(Area_Created[[#This Row],[Delivery Risk]],DeliveryRisk_LU[],2,FALSE)</f>
        <v>1</v>
      </c>
      <c r="K72" s="61">
        <v>1</v>
      </c>
      <c r="L72" s="62">
        <f>VLOOKUP(Area_Created[[#This Row],[Temporal Risk ]],TemporalRisk_LU[],2,FALSE)</f>
        <v>0.97</v>
      </c>
      <c r="M72" s="87" t="s">
        <v>70</v>
      </c>
      <c r="N72" s="4">
        <f>VLOOKUP(Area_Created[[#This Row],[Spatial Risk]],SpatialRisk_LU[#All],2,FALSE)</f>
        <v>0.5</v>
      </c>
      <c r="O72"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380.20119999999997</v>
      </c>
      <c r="P72" s="139">
        <f>IF(Area_Created[[#This Row],[Biodiversity Units]]=Incomplete_Habitat_Details,1,0)</f>
        <v>0</v>
      </c>
    </row>
    <row r="73" spans="2:16">
      <c r="B73" s="81">
        <v>4</v>
      </c>
      <c r="C73" s="61" t="s">
        <v>69</v>
      </c>
      <c r="D73" s="61" t="s">
        <v>50</v>
      </c>
      <c r="E73" s="62">
        <f>VLOOKUP(Area_Created[[#This Row],[Distinctiveness]],Lookups!$A$2:$B$5,2,FALSE)</f>
        <v>4</v>
      </c>
      <c r="F73" s="61" t="s">
        <v>47</v>
      </c>
      <c r="G73" s="62">
        <f>VLOOKUP(Area_Created[[#This Row],[Condition]],Condition_LU[#All],2,FALSE)</f>
        <v>2</v>
      </c>
      <c r="H73" s="61">
        <v>60</v>
      </c>
      <c r="I73" s="61" t="s">
        <v>53</v>
      </c>
      <c r="J73" s="62">
        <f>VLOOKUP(Area_Created[[#This Row],[Delivery Risk]],DeliveryRisk_LU[],2,FALSE)</f>
        <v>1</v>
      </c>
      <c r="K73" s="61">
        <v>1</v>
      </c>
      <c r="L73" s="62">
        <f>VLOOKUP(Area_Created[[#This Row],[Temporal Risk ]],TemporalRisk_LU[],2,FALSE)</f>
        <v>0.97</v>
      </c>
      <c r="M73" s="61" t="s">
        <v>70</v>
      </c>
      <c r="N73" s="4">
        <f>VLOOKUP(Area_Created[[#This Row],[Spatial Risk]],SpatialRisk_LU[#All],2,FALSE)</f>
        <v>0.5</v>
      </c>
      <c r="O73"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232.79999999999998</v>
      </c>
      <c r="P73" s="139">
        <f>IF(Area_Created[[#This Row],[Biodiversity Units]]=Incomplete_Habitat_Details,1,0)</f>
        <v>0</v>
      </c>
    </row>
    <row r="74" spans="2:16">
      <c r="B74" s="81"/>
      <c r="C74" s="61"/>
      <c r="D74" s="61"/>
      <c r="E74" s="62" t="e">
        <f>VLOOKUP(Area_Created[[#This Row],[Distinctiveness]],Lookups!$A$2:$B$5,2,FALSE)</f>
        <v>#N/A</v>
      </c>
      <c r="F74" s="61"/>
      <c r="G74" s="62" t="e">
        <f>VLOOKUP(Area_Created[[#This Row],[Condition]],Condition_LU[#All],2,FALSE)</f>
        <v>#N/A</v>
      </c>
      <c r="H74" s="61"/>
      <c r="I74" s="61"/>
      <c r="J74" s="62" t="e">
        <f>VLOOKUP(Area_Created[[#This Row],[Delivery Risk]],DeliveryRisk_LU[],2,FALSE)</f>
        <v>#N/A</v>
      </c>
      <c r="K74" s="61"/>
      <c r="L74" s="62">
        <f>VLOOKUP(Area_Created[[#This Row],[Temporal Risk ]],TemporalRisk_LU[],2,FALSE)</f>
        <v>1</v>
      </c>
      <c r="M74" s="61"/>
      <c r="N74" s="4" t="e">
        <f>VLOOKUP(Area_Created[[#This Row],[Spatial Risk]],SpatialRisk_LU[#All],2,FALSE)</f>
        <v>#N/A</v>
      </c>
      <c r="O74"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4" s="139">
        <f>IF(Area_Created[[#This Row],[Biodiversity Units]]=Incomplete_Habitat_Details,1,0)</f>
        <v>0</v>
      </c>
    </row>
    <row r="75" spans="2:16">
      <c r="B75" s="81"/>
      <c r="C75" s="61"/>
      <c r="D75" s="61"/>
      <c r="E75" s="62" t="e">
        <f>VLOOKUP(Area_Created[[#This Row],[Distinctiveness]],Lookups!$A$2:$B$5,2,FALSE)</f>
        <v>#N/A</v>
      </c>
      <c r="F75" s="61"/>
      <c r="G75" s="62" t="e">
        <f>VLOOKUP(Area_Created[[#This Row],[Condition]],Condition_LU[#All],2,FALSE)</f>
        <v>#N/A</v>
      </c>
      <c r="H75" s="61"/>
      <c r="I75" s="61"/>
      <c r="J75" s="62" t="e">
        <f>VLOOKUP(Area_Created[[#This Row],[Delivery Risk]],DeliveryRisk_LU[],2,FALSE)</f>
        <v>#N/A</v>
      </c>
      <c r="K75" s="61"/>
      <c r="L75" s="62">
        <f>VLOOKUP(Area_Created[[#This Row],[Temporal Risk ]],TemporalRisk_LU[],2,FALSE)</f>
        <v>1</v>
      </c>
      <c r="M75" s="61"/>
      <c r="N75" s="4" t="e">
        <f>VLOOKUP(Area_Created[[#This Row],[Spatial Risk]],SpatialRisk_LU[#All],2,FALSE)</f>
        <v>#N/A</v>
      </c>
      <c r="O75"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5" s="139">
        <f>IF(Area_Created[[#This Row],[Biodiversity Units]]=Incomplete_Habitat_Details,1,0)</f>
        <v>0</v>
      </c>
    </row>
    <row r="76" spans="2:16">
      <c r="B76" s="81"/>
      <c r="C76" s="61"/>
      <c r="D76" s="61"/>
      <c r="E76" s="62" t="e">
        <f>VLOOKUP(Area_Created[[#This Row],[Distinctiveness]],Lookups!$A$2:$B$5,2,FALSE)</f>
        <v>#N/A</v>
      </c>
      <c r="F76" s="61"/>
      <c r="G76" s="62" t="e">
        <f>VLOOKUP(Area_Created[[#This Row],[Condition]],Condition_LU[#All],2,FALSE)</f>
        <v>#N/A</v>
      </c>
      <c r="H76" s="61"/>
      <c r="I76" s="61"/>
      <c r="J76" s="62" t="e">
        <f>VLOOKUP(Area_Created[[#This Row],[Delivery Risk]],DeliveryRisk_LU[],2,FALSE)</f>
        <v>#N/A</v>
      </c>
      <c r="K76" s="61"/>
      <c r="L76" s="62">
        <f>VLOOKUP(Area_Created[[#This Row],[Temporal Risk ]],TemporalRisk_LU[],2,FALSE)</f>
        <v>1</v>
      </c>
      <c r="M76" s="61"/>
      <c r="N76" s="4" t="e">
        <f>VLOOKUP(Area_Created[[#This Row],[Spatial Risk]],SpatialRisk_LU[#All],2,FALSE)</f>
        <v>#N/A</v>
      </c>
      <c r="O76"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6" s="139">
        <f>IF(Area_Created[[#This Row],[Biodiversity Units]]=Incomplete_Habitat_Details,1,0)</f>
        <v>0</v>
      </c>
    </row>
    <row r="77" spans="2:16">
      <c r="B77" s="81"/>
      <c r="C77" s="61"/>
      <c r="D77" s="61"/>
      <c r="E77" s="62" t="e">
        <f>VLOOKUP(Area_Created[[#This Row],[Distinctiveness]],Lookups!$A$2:$B$5,2,FALSE)</f>
        <v>#N/A</v>
      </c>
      <c r="F77" s="61"/>
      <c r="G77" s="62" t="e">
        <f>VLOOKUP(Area_Created[[#This Row],[Condition]],Condition_LU[#All],2,FALSE)</f>
        <v>#N/A</v>
      </c>
      <c r="H77" s="61"/>
      <c r="I77" s="61"/>
      <c r="J77" s="62" t="e">
        <f>VLOOKUP(Area_Created[[#This Row],[Delivery Risk]],DeliveryRisk_LU[],2,FALSE)</f>
        <v>#N/A</v>
      </c>
      <c r="K77" s="61"/>
      <c r="L77" s="62">
        <f>VLOOKUP(Area_Created[[#This Row],[Temporal Risk ]],TemporalRisk_LU[],2,FALSE)</f>
        <v>1</v>
      </c>
      <c r="M77" s="61"/>
      <c r="N77" s="4" t="e">
        <f>VLOOKUP(Area_Created[[#This Row],[Spatial Risk]],SpatialRisk_LU[#All],2,FALSE)</f>
        <v>#N/A</v>
      </c>
      <c r="O77"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7" s="139">
        <f>IF(Area_Created[[#This Row],[Biodiversity Units]]=Incomplete_Habitat_Details,1,0)</f>
        <v>0</v>
      </c>
    </row>
    <row r="78" spans="2:16">
      <c r="B78" s="81"/>
      <c r="C78" s="61"/>
      <c r="D78" s="61"/>
      <c r="E78" s="62" t="e">
        <f>VLOOKUP(Area_Created[[#This Row],[Distinctiveness]],Lookups!$A$2:$B$5,2,FALSE)</f>
        <v>#N/A</v>
      </c>
      <c r="F78" s="61"/>
      <c r="G78" s="62" t="e">
        <f>VLOOKUP(Area_Created[[#This Row],[Condition]],Condition_LU[#All],2,FALSE)</f>
        <v>#N/A</v>
      </c>
      <c r="H78" s="61"/>
      <c r="I78" s="61"/>
      <c r="J78" s="62" t="e">
        <f>VLOOKUP(Area_Created[[#This Row],[Delivery Risk]],DeliveryRisk_LU[],2,FALSE)</f>
        <v>#N/A</v>
      </c>
      <c r="K78" s="61"/>
      <c r="L78" s="62">
        <f>VLOOKUP(Area_Created[[#This Row],[Temporal Risk ]],TemporalRisk_LU[],2,FALSE)</f>
        <v>1</v>
      </c>
      <c r="M78" s="61"/>
      <c r="N78" s="4" t="e">
        <f>VLOOKUP(Area_Created[[#This Row],[Spatial Risk]],SpatialRisk_LU[#All],2,FALSE)</f>
        <v>#N/A</v>
      </c>
      <c r="O78"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8" s="139">
        <f>IF(Area_Created[[#This Row],[Biodiversity Units]]=Incomplete_Habitat_Details,1,0)</f>
        <v>0</v>
      </c>
    </row>
    <row r="79" spans="2:16">
      <c r="B79" s="81"/>
      <c r="C79" s="61"/>
      <c r="D79" s="61"/>
      <c r="E79" s="62" t="e">
        <f>VLOOKUP(Area_Created[[#This Row],[Distinctiveness]],Lookups!$A$2:$B$5,2,FALSE)</f>
        <v>#N/A</v>
      </c>
      <c r="F79" s="61"/>
      <c r="G79" s="62" t="e">
        <f>VLOOKUP(Area_Created[[#This Row],[Condition]],Condition_LU[#All],2,FALSE)</f>
        <v>#N/A</v>
      </c>
      <c r="H79" s="61"/>
      <c r="I79" s="61"/>
      <c r="J79" s="62" t="e">
        <f>VLOOKUP(Area_Created[[#This Row],[Delivery Risk]],DeliveryRisk_LU[],2,FALSE)</f>
        <v>#N/A</v>
      </c>
      <c r="K79" s="61"/>
      <c r="L79" s="62">
        <f>VLOOKUP(Area_Created[[#This Row],[Temporal Risk ]],TemporalRisk_LU[],2,FALSE)</f>
        <v>1</v>
      </c>
      <c r="M79" s="61"/>
      <c r="N79" s="4" t="e">
        <f>VLOOKUP(Area_Created[[#This Row],[Spatial Risk]],SpatialRisk_LU[#All],2,FALSE)</f>
        <v>#N/A</v>
      </c>
      <c r="O79"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9" s="139">
        <f>IF(Area_Created[[#This Row],[Biodiversity Units]]=Incomplete_Habitat_Details,1,0)</f>
        <v>0</v>
      </c>
    </row>
    <row r="80" spans="2:16">
      <c r="B80" s="81"/>
      <c r="C80" s="61"/>
      <c r="D80" s="61"/>
      <c r="E80" s="62" t="e">
        <f>VLOOKUP(Area_Created[[#This Row],[Distinctiveness]],Lookups!$A$2:$B$5,2,FALSE)</f>
        <v>#N/A</v>
      </c>
      <c r="F80" s="61"/>
      <c r="G80" s="62" t="e">
        <f>VLOOKUP(Area_Created[[#This Row],[Condition]],Condition_LU[#All],2,FALSE)</f>
        <v>#N/A</v>
      </c>
      <c r="H80" s="61"/>
      <c r="I80" s="61"/>
      <c r="J80" s="62" t="e">
        <f>VLOOKUP(Area_Created[[#This Row],[Delivery Risk]],DeliveryRisk_LU[],2,FALSE)</f>
        <v>#N/A</v>
      </c>
      <c r="K80" s="61"/>
      <c r="L80" s="62">
        <f>VLOOKUP(Area_Created[[#This Row],[Temporal Risk ]],TemporalRisk_LU[],2,FALSE)</f>
        <v>1</v>
      </c>
      <c r="M80" s="61"/>
      <c r="N80" s="4" t="e">
        <f>VLOOKUP(Area_Created[[#This Row],[Spatial Risk]],SpatialRisk_LU[#All],2,FALSE)</f>
        <v>#N/A</v>
      </c>
      <c r="O80"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0" s="139">
        <f>IF(Area_Created[[#This Row],[Biodiversity Units]]=Incomplete_Habitat_Details,1,0)</f>
        <v>0</v>
      </c>
    </row>
    <row r="81" spans="2:16">
      <c r="B81" s="81"/>
      <c r="C81" s="61"/>
      <c r="D81" s="61"/>
      <c r="E81" s="62" t="e">
        <f>VLOOKUP(Area_Created[[#This Row],[Distinctiveness]],Lookups!$A$2:$B$5,2,FALSE)</f>
        <v>#N/A</v>
      </c>
      <c r="F81" s="61"/>
      <c r="G81" s="62" t="e">
        <f>VLOOKUP(Area_Created[[#This Row],[Condition]],Condition_LU[#All],2,FALSE)</f>
        <v>#N/A</v>
      </c>
      <c r="H81" s="61"/>
      <c r="I81" s="61"/>
      <c r="J81" s="62" t="e">
        <f>VLOOKUP(Area_Created[[#This Row],[Delivery Risk]],DeliveryRisk_LU[],2,FALSE)</f>
        <v>#N/A</v>
      </c>
      <c r="K81" s="61"/>
      <c r="L81" s="62">
        <f>VLOOKUP(Area_Created[[#This Row],[Temporal Risk ]],TemporalRisk_LU[],2,FALSE)</f>
        <v>1</v>
      </c>
      <c r="M81" s="61"/>
      <c r="N81" s="4" t="e">
        <f>VLOOKUP(Area_Created[[#This Row],[Spatial Risk]],SpatialRisk_LU[#All],2,FALSE)</f>
        <v>#N/A</v>
      </c>
      <c r="O81"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1" s="139">
        <f>IF(Area_Created[[#This Row],[Biodiversity Units]]=Incomplete_Habitat_Details,1,0)</f>
        <v>0</v>
      </c>
    </row>
    <row r="82" spans="2:16">
      <c r="B82" s="81"/>
      <c r="C82" s="61"/>
      <c r="D82" s="61"/>
      <c r="E82" s="62" t="e">
        <f>VLOOKUP(Area_Created[[#This Row],[Distinctiveness]],Lookups!$A$2:$B$5,2,FALSE)</f>
        <v>#N/A</v>
      </c>
      <c r="F82" s="61"/>
      <c r="G82" s="62" t="e">
        <f>VLOOKUP(Area_Created[[#This Row],[Condition]],Condition_LU[#All],2,FALSE)</f>
        <v>#N/A</v>
      </c>
      <c r="H82" s="61"/>
      <c r="I82" s="61"/>
      <c r="J82" s="62" t="e">
        <f>VLOOKUP(Area_Created[[#This Row],[Delivery Risk]],DeliveryRisk_LU[],2,FALSE)</f>
        <v>#N/A</v>
      </c>
      <c r="K82" s="61"/>
      <c r="L82" s="62">
        <f>VLOOKUP(Area_Created[[#This Row],[Temporal Risk ]],TemporalRisk_LU[],2,FALSE)</f>
        <v>1</v>
      </c>
      <c r="M82" s="61"/>
      <c r="N82" s="4" t="e">
        <f>VLOOKUP(Area_Created[[#This Row],[Spatial Risk]],SpatialRisk_LU[#All],2,FALSE)</f>
        <v>#N/A</v>
      </c>
      <c r="O82"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2" s="139">
        <f>IF(Area_Created[[#This Row],[Biodiversity Units]]=Incomplete_Habitat_Details,1,0)</f>
        <v>0</v>
      </c>
    </row>
    <row r="83" spans="2:16">
      <c r="B83" s="81"/>
      <c r="C83" s="61"/>
      <c r="D83" s="61"/>
      <c r="E83" s="62" t="e">
        <f>VLOOKUP(Area_Created[[#This Row],[Distinctiveness]],Lookups!$A$2:$B$5,2,FALSE)</f>
        <v>#N/A</v>
      </c>
      <c r="F83" s="61"/>
      <c r="G83" s="62" t="e">
        <f>VLOOKUP(Area_Created[[#This Row],[Condition]],Condition_LU[#All],2,FALSE)</f>
        <v>#N/A</v>
      </c>
      <c r="H83" s="61"/>
      <c r="I83" s="61"/>
      <c r="J83" s="62" t="e">
        <f>VLOOKUP(Area_Created[[#This Row],[Delivery Risk]],DeliveryRisk_LU[],2,FALSE)</f>
        <v>#N/A</v>
      </c>
      <c r="K83" s="61"/>
      <c r="L83" s="62">
        <f>VLOOKUP(Area_Created[[#This Row],[Temporal Risk ]],TemporalRisk_LU[],2,FALSE)</f>
        <v>1</v>
      </c>
      <c r="M83" s="61"/>
      <c r="N83" s="4" t="e">
        <f>VLOOKUP(Area_Created[[#This Row],[Spatial Risk]],SpatialRisk_LU[#All],2,FALSE)</f>
        <v>#N/A</v>
      </c>
      <c r="O83"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3" s="139">
        <f>IF(Area_Created[[#This Row],[Biodiversity Units]]=Incomplete_Habitat_Details,1,0)</f>
        <v>0</v>
      </c>
    </row>
    <row r="84" spans="2:16">
      <c r="B84" s="81"/>
      <c r="C84" s="61"/>
      <c r="D84" s="61"/>
      <c r="E84" s="62" t="e">
        <f>VLOOKUP(Area_Created[[#This Row],[Distinctiveness]],Lookups!$A$2:$B$5,2,FALSE)</f>
        <v>#N/A</v>
      </c>
      <c r="F84" s="61"/>
      <c r="G84" s="62" t="e">
        <f>VLOOKUP(Area_Created[[#This Row],[Condition]],Condition_LU[#All],2,FALSE)</f>
        <v>#N/A</v>
      </c>
      <c r="H84" s="61"/>
      <c r="I84" s="61"/>
      <c r="J84" s="62" t="e">
        <f>VLOOKUP(Area_Created[[#This Row],[Delivery Risk]],DeliveryRisk_LU[],2,FALSE)</f>
        <v>#N/A</v>
      </c>
      <c r="K84" s="61"/>
      <c r="L84" s="62">
        <f>VLOOKUP(Area_Created[[#This Row],[Temporal Risk ]],TemporalRisk_LU[],2,FALSE)</f>
        <v>1</v>
      </c>
      <c r="M84" s="61"/>
      <c r="N84" s="4" t="e">
        <f>VLOOKUP(Area_Created[[#This Row],[Spatial Risk]],SpatialRisk_LU[#All],2,FALSE)</f>
        <v>#N/A</v>
      </c>
      <c r="O84"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4" s="139">
        <f>IF(Area_Created[[#This Row],[Biodiversity Units]]=Incomplete_Habitat_Details,1,0)</f>
        <v>0</v>
      </c>
    </row>
    <row r="85" spans="2:16">
      <c r="B85" s="81"/>
      <c r="C85" s="61"/>
      <c r="D85" s="61"/>
      <c r="E85" s="62" t="e">
        <f>VLOOKUP(Area_Created[[#This Row],[Distinctiveness]],Lookups!$A$2:$B$5,2,FALSE)</f>
        <v>#N/A</v>
      </c>
      <c r="F85" s="61"/>
      <c r="G85" s="62" t="e">
        <f>VLOOKUP(Area_Created[[#This Row],[Condition]],Condition_LU[#All],2,FALSE)</f>
        <v>#N/A</v>
      </c>
      <c r="H85" s="61"/>
      <c r="I85" s="61"/>
      <c r="J85" s="62" t="e">
        <f>VLOOKUP(Area_Created[[#This Row],[Delivery Risk]],DeliveryRisk_LU[],2,FALSE)</f>
        <v>#N/A</v>
      </c>
      <c r="K85" s="61"/>
      <c r="L85" s="62">
        <f>VLOOKUP(Area_Created[[#This Row],[Temporal Risk ]],TemporalRisk_LU[],2,FALSE)</f>
        <v>1</v>
      </c>
      <c r="M85" s="61"/>
      <c r="N85" s="4" t="e">
        <f>VLOOKUP(Area_Created[[#This Row],[Spatial Risk]],SpatialRisk_LU[#All],2,FALSE)</f>
        <v>#N/A</v>
      </c>
      <c r="O85"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5" s="139">
        <f>IF(Area_Created[[#This Row],[Biodiversity Units]]=Incomplete_Habitat_Details,1,0)</f>
        <v>0</v>
      </c>
    </row>
    <row r="86" spans="2:16">
      <c r="B86" s="81"/>
      <c r="C86" s="61"/>
      <c r="D86" s="61"/>
      <c r="E86" s="62" t="e">
        <f>VLOOKUP(Area_Created[[#This Row],[Distinctiveness]],Lookups!$A$2:$B$5,2,FALSE)</f>
        <v>#N/A</v>
      </c>
      <c r="F86" s="61"/>
      <c r="G86" s="62" t="e">
        <f>VLOOKUP(Area_Created[[#This Row],[Condition]],Condition_LU[#All],2,FALSE)</f>
        <v>#N/A</v>
      </c>
      <c r="H86" s="61"/>
      <c r="I86" s="61"/>
      <c r="J86" s="62" t="e">
        <f>VLOOKUP(Area_Created[[#This Row],[Delivery Risk]],DeliveryRisk_LU[],2,FALSE)</f>
        <v>#N/A</v>
      </c>
      <c r="K86" s="61"/>
      <c r="L86" s="62">
        <f>VLOOKUP(Area_Created[[#This Row],[Temporal Risk ]],TemporalRisk_LU[],2,FALSE)</f>
        <v>1</v>
      </c>
      <c r="M86" s="61"/>
      <c r="N86" s="4" t="e">
        <f>VLOOKUP(Area_Created[[#This Row],[Spatial Risk]],SpatialRisk_LU[#All],2,FALSE)</f>
        <v>#N/A</v>
      </c>
      <c r="O86"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6" s="139">
        <f>IF(Area_Created[[#This Row],[Biodiversity Units]]=Incomplete_Habitat_Details,1,0)</f>
        <v>0</v>
      </c>
    </row>
    <row r="87" spans="2:16">
      <c r="B87" s="81"/>
      <c r="C87" s="61"/>
      <c r="D87" s="61"/>
      <c r="E87" s="62" t="e">
        <f>VLOOKUP(Area_Created[[#This Row],[Distinctiveness]],Lookups!$A$2:$B$5,2,FALSE)</f>
        <v>#N/A</v>
      </c>
      <c r="F87" s="61"/>
      <c r="G87" s="62" t="e">
        <f>VLOOKUP(Area_Created[[#This Row],[Condition]],Condition_LU[#All],2,FALSE)</f>
        <v>#N/A</v>
      </c>
      <c r="H87" s="61"/>
      <c r="I87" s="61"/>
      <c r="J87" s="62" t="e">
        <f>VLOOKUP(Area_Created[[#This Row],[Delivery Risk]],DeliveryRisk_LU[],2,FALSE)</f>
        <v>#N/A</v>
      </c>
      <c r="K87" s="61"/>
      <c r="L87" s="62">
        <f>VLOOKUP(Area_Created[[#This Row],[Temporal Risk ]],TemporalRisk_LU[],2,FALSE)</f>
        <v>1</v>
      </c>
      <c r="M87" s="61"/>
      <c r="N87" s="4" t="e">
        <f>VLOOKUP(Area_Created[[#This Row],[Spatial Risk]],SpatialRisk_LU[#All],2,FALSE)</f>
        <v>#N/A</v>
      </c>
      <c r="O87"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7" s="139">
        <f>IF(Area_Created[[#This Row],[Biodiversity Units]]=Incomplete_Habitat_Details,1,0)</f>
        <v>0</v>
      </c>
    </row>
    <row r="88" spans="2:16">
      <c r="B88" s="81"/>
      <c r="C88" s="61"/>
      <c r="D88" s="61"/>
      <c r="E88" s="62" t="e">
        <f>VLOOKUP(Area_Created[[#This Row],[Distinctiveness]],Lookups!$A$2:$B$5,2,FALSE)</f>
        <v>#N/A</v>
      </c>
      <c r="F88" s="61"/>
      <c r="G88" s="62" t="e">
        <f>VLOOKUP(Area_Created[[#This Row],[Condition]],Condition_LU[#All],2,FALSE)</f>
        <v>#N/A</v>
      </c>
      <c r="H88" s="61"/>
      <c r="I88" s="61"/>
      <c r="J88" s="62" t="e">
        <f>VLOOKUP(Area_Created[[#This Row],[Delivery Risk]],DeliveryRisk_LU[],2,FALSE)</f>
        <v>#N/A</v>
      </c>
      <c r="K88" s="61"/>
      <c r="L88" s="62">
        <f>VLOOKUP(Area_Created[[#This Row],[Temporal Risk ]],TemporalRisk_LU[],2,FALSE)</f>
        <v>1</v>
      </c>
      <c r="M88" s="61"/>
      <c r="N88" s="4" t="e">
        <f>VLOOKUP(Area_Created[[#This Row],[Spatial Risk]],SpatialRisk_LU[#All],2,FALSE)</f>
        <v>#N/A</v>
      </c>
      <c r="O88"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8" s="139">
        <f>IF(Area_Created[[#This Row],[Biodiversity Units]]=Incomplete_Habitat_Details,1,0)</f>
        <v>0</v>
      </c>
    </row>
    <row r="89" spans="2:16">
      <c r="B89" s="81"/>
      <c r="C89" s="61"/>
      <c r="D89" s="61"/>
      <c r="E89" s="62" t="e">
        <f>VLOOKUP(Area_Created[[#This Row],[Distinctiveness]],Lookups!$A$2:$B$5,2,FALSE)</f>
        <v>#N/A</v>
      </c>
      <c r="F89" s="61"/>
      <c r="G89" s="62" t="e">
        <f>VLOOKUP(Area_Created[[#This Row],[Condition]],Condition_LU[#All],2,FALSE)</f>
        <v>#N/A</v>
      </c>
      <c r="H89" s="61"/>
      <c r="I89" s="61"/>
      <c r="J89" s="62" t="e">
        <f>VLOOKUP(Area_Created[[#This Row],[Delivery Risk]],DeliveryRisk_LU[],2,FALSE)</f>
        <v>#N/A</v>
      </c>
      <c r="K89" s="61"/>
      <c r="L89" s="62">
        <f>VLOOKUP(Area_Created[[#This Row],[Temporal Risk ]],TemporalRisk_LU[],2,FALSE)</f>
        <v>1</v>
      </c>
      <c r="M89" s="61"/>
      <c r="N89" s="4" t="e">
        <f>VLOOKUP(Area_Created[[#This Row],[Spatial Risk]],SpatialRisk_LU[#All],2,FALSE)</f>
        <v>#N/A</v>
      </c>
      <c r="O89"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9" s="139">
        <f>IF(Area_Created[[#This Row],[Biodiversity Units]]=Incomplete_Habitat_Details,1,0)</f>
        <v>0</v>
      </c>
    </row>
    <row r="90" spans="2:16">
      <c r="B90" s="81"/>
      <c r="C90" s="61"/>
      <c r="D90" s="61"/>
      <c r="E90" s="62" t="e">
        <f>VLOOKUP(Area_Created[[#This Row],[Distinctiveness]],Lookups!$A$2:$B$5,2,FALSE)</f>
        <v>#N/A</v>
      </c>
      <c r="F90" s="61"/>
      <c r="G90" s="62" t="e">
        <f>VLOOKUP(Area_Created[[#This Row],[Condition]],Condition_LU[#All],2,FALSE)</f>
        <v>#N/A</v>
      </c>
      <c r="H90" s="61"/>
      <c r="I90" s="61"/>
      <c r="J90" s="62" t="e">
        <f>VLOOKUP(Area_Created[[#This Row],[Delivery Risk]],DeliveryRisk_LU[],2,FALSE)</f>
        <v>#N/A</v>
      </c>
      <c r="K90" s="61"/>
      <c r="L90" s="62">
        <f>VLOOKUP(Area_Created[[#This Row],[Temporal Risk ]],TemporalRisk_LU[],2,FALSE)</f>
        <v>1</v>
      </c>
      <c r="M90" s="61"/>
      <c r="N90" s="4" t="e">
        <f>VLOOKUP(Area_Created[[#This Row],[Spatial Risk]],SpatialRisk_LU[#All],2,FALSE)</f>
        <v>#N/A</v>
      </c>
      <c r="O90"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0" s="139">
        <f>IF(Area_Created[[#This Row],[Biodiversity Units]]=Incomplete_Habitat_Details,1,0)</f>
        <v>0</v>
      </c>
    </row>
    <row r="91" spans="2:16">
      <c r="B91" s="81"/>
      <c r="C91" s="61"/>
      <c r="D91" s="61"/>
      <c r="E91" s="62" t="e">
        <f>VLOOKUP(Area_Created[[#This Row],[Distinctiveness]],Lookups!$A$2:$B$5,2,FALSE)</f>
        <v>#N/A</v>
      </c>
      <c r="F91" s="61"/>
      <c r="G91" s="62" t="e">
        <f>VLOOKUP(Area_Created[[#This Row],[Condition]],Condition_LU[#All],2,FALSE)</f>
        <v>#N/A</v>
      </c>
      <c r="H91" s="61"/>
      <c r="I91" s="61"/>
      <c r="J91" s="62" t="e">
        <f>VLOOKUP(Area_Created[[#This Row],[Delivery Risk]],DeliveryRisk_LU[],2,FALSE)</f>
        <v>#N/A</v>
      </c>
      <c r="K91" s="61"/>
      <c r="L91" s="62">
        <f>VLOOKUP(Area_Created[[#This Row],[Temporal Risk ]],TemporalRisk_LU[],2,FALSE)</f>
        <v>1</v>
      </c>
      <c r="M91" s="61"/>
      <c r="N91" s="4" t="e">
        <f>VLOOKUP(Area_Created[[#This Row],[Spatial Risk]],SpatialRisk_LU[#All],2,FALSE)</f>
        <v>#N/A</v>
      </c>
      <c r="O91"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1" s="139">
        <f>IF(Area_Created[[#This Row],[Biodiversity Units]]=Incomplete_Habitat_Details,1,0)</f>
        <v>0</v>
      </c>
    </row>
    <row r="92" spans="2:16">
      <c r="B92" s="81"/>
      <c r="C92" s="61"/>
      <c r="D92" s="61"/>
      <c r="E92" s="62" t="e">
        <f>VLOOKUP(Area_Created[[#This Row],[Distinctiveness]],Lookups!$A$2:$B$5,2,FALSE)</f>
        <v>#N/A</v>
      </c>
      <c r="F92" s="61"/>
      <c r="G92" s="62" t="e">
        <f>VLOOKUP(Area_Created[[#This Row],[Condition]],Condition_LU[#All],2,FALSE)</f>
        <v>#N/A</v>
      </c>
      <c r="H92" s="61"/>
      <c r="I92" s="61"/>
      <c r="J92" s="62" t="e">
        <f>VLOOKUP(Area_Created[[#This Row],[Delivery Risk]],DeliveryRisk_LU[],2,FALSE)</f>
        <v>#N/A</v>
      </c>
      <c r="K92" s="61"/>
      <c r="L92" s="62">
        <f>VLOOKUP(Area_Created[[#This Row],[Temporal Risk ]],TemporalRisk_LU[],2,FALSE)</f>
        <v>1</v>
      </c>
      <c r="M92" s="61"/>
      <c r="N92" s="4" t="e">
        <f>VLOOKUP(Area_Created[[#This Row],[Spatial Risk]],SpatialRisk_LU[#All],2,FALSE)</f>
        <v>#N/A</v>
      </c>
      <c r="O92"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2" s="139">
        <f>IF(Area_Created[[#This Row],[Biodiversity Units]]=Incomplete_Habitat_Details,1,0)</f>
        <v>0</v>
      </c>
    </row>
    <row r="93" spans="2:16">
      <c r="B93" s="81"/>
      <c r="C93" s="61"/>
      <c r="D93" s="61"/>
      <c r="E93" s="62" t="e">
        <f>VLOOKUP(Area_Created[[#This Row],[Distinctiveness]],Lookups!$A$2:$B$5,2,FALSE)</f>
        <v>#N/A</v>
      </c>
      <c r="F93" s="61"/>
      <c r="G93" s="62" t="e">
        <f>VLOOKUP(Area_Created[[#This Row],[Condition]],Condition_LU[#All],2,FALSE)</f>
        <v>#N/A</v>
      </c>
      <c r="H93" s="61"/>
      <c r="I93" s="61"/>
      <c r="J93" s="62" t="e">
        <f>VLOOKUP(Area_Created[[#This Row],[Delivery Risk]],DeliveryRisk_LU[],2,FALSE)</f>
        <v>#N/A</v>
      </c>
      <c r="K93" s="61"/>
      <c r="L93" s="62">
        <f>VLOOKUP(Area_Created[[#This Row],[Temporal Risk ]],TemporalRisk_LU[],2,FALSE)</f>
        <v>1</v>
      </c>
      <c r="M93" s="61"/>
      <c r="N93" s="4" t="e">
        <f>VLOOKUP(Area_Created[[#This Row],[Spatial Risk]],SpatialRisk_LU[#All],2,FALSE)</f>
        <v>#N/A</v>
      </c>
      <c r="O93"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3" s="139">
        <f>IF(Area_Created[[#This Row],[Biodiversity Units]]=Incomplete_Habitat_Details,1,0)</f>
        <v>0</v>
      </c>
    </row>
    <row r="94" spans="2:16" ht="15.75" thickBot="1">
      <c r="B94" s="82"/>
      <c r="C94" s="63"/>
      <c r="D94" s="63"/>
      <c r="E94" s="64" t="e">
        <f>VLOOKUP(Area_Created[[#This Row],[Distinctiveness]],Lookups!$A$2:$B$5,2,FALSE)</f>
        <v>#N/A</v>
      </c>
      <c r="F94" s="63"/>
      <c r="G94" s="64" t="e">
        <f>VLOOKUP(Area_Created[[#This Row],[Condition]],Condition_LU[#All],2,FALSE)</f>
        <v>#N/A</v>
      </c>
      <c r="H94" s="63"/>
      <c r="I94" s="63"/>
      <c r="J94" s="64" t="e">
        <f>VLOOKUP(Area_Created[[#This Row],[Delivery Risk]],DeliveryRisk_LU[],2,FALSE)</f>
        <v>#N/A</v>
      </c>
      <c r="K94" s="63"/>
      <c r="L94" s="64">
        <f>VLOOKUP(Area_Created[[#This Row],[Temporal Risk ]],TemporalRisk_LU[],2,FALSE)</f>
        <v>1</v>
      </c>
      <c r="M94" s="63"/>
      <c r="N94" s="4" t="e">
        <f>VLOOKUP(Area_Created[[#This Row],[Spatial Risk]],SpatialRisk_LU[#All],2,FALSE)</f>
        <v>#N/A</v>
      </c>
      <c r="O94"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4" s="139">
        <f>IF(Area_Created[[#This Row],[Biodiversity Units]]=Incomplete_Habitat_Details,1,0)</f>
        <v>0</v>
      </c>
    </row>
    <row r="95" spans="2:16" ht="15.75" thickBot="1">
      <c r="B95" s="115" t="s">
        <v>59</v>
      </c>
      <c r="C95" s="116"/>
      <c r="D95" s="116"/>
      <c r="E95" s="116"/>
      <c r="F95" s="116"/>
      <c r="G95" s="116"/>
      <c r="H95" s="116">
        <f>SUBTOTAL(109,Area_Created[Area (ha or m2)])</f>
        <v>3485.3399999999997</v>
      </c>
      <c r="I95" s="116"/>
      <c r="J95" s="116"/>
      <c r="K95" s="116"/>
      <c r="L95" s="116"/>
      <c r="M95" s="117"/>
      <c r="N95" s="88"/>
      <c r="O95" s="197">
        <f>IF(P95&gt;0,Errors_Corrected,SUBTOTAL(9,Area_Created[[#Headers],[#Data],[Biodiversity Units]]))</f>
        <v>1652.8411999999998</v>
      </c>
      <c r="P95" s="139">
        <f>SUM(P70:P94)</f>
        <v>0</v>
      </c>
    </row>
    <row r="96" spans="2:16" ht="15.75" thickBot="1"/>
    <row r="97" spans="2:17" ht="26.25">
      <c r="B97" s="213" t="s">
        <v>71</v>
      </c>
      <c r="C97" s="214"/>
      <c r="D97" s="214"/>
      <c r="E97" s="214"/>
      <c r="F97" s="214"/>
      <c r="G97" s="214"/>
      <c r="H97" s="214"/>
      <c r="I97" s="214"/>
      <c r="J97" s="214"/>
      <c r="K97" s="214"/>
      <c r="L97" s="214"/>
      <c r="M97" s="214"/>
      <c r="N97" s="214"/>
      <c r="O97" s="215"/>
    </row>
    <row r="98" spans="2:17" ht="30">
      <c r="B98" s="98" t="s">
        <v>72</v>
      </c>
      <c r="C98" s="99" t="s">
        <v>73</v>
      </c>
      <c r="D98" s="100" t="s">
        <v>39</v>
      </c>
      <c r="E98" s="100" t="s">
        <v>40</v>
      </c>
      <c r="F98" s="100" t="s">
        <v>41</v>
      </c>
      <c r="G98" s="100" t="s">
        <v>42</v>
      </c>
      <c r="H98" s="100" t="s">
        <v>74</v>
      </c>
      <c r="I98" s="100" t="s">
        <v>63</v>
      </c>
      <c r="J98" s="100" t="s">
        <v>64</v>
      </c>
      <c r="K98" s="100" t="s">
        <v>65</v>
      </c>
      <c r="L98" s="100" t="s">
        <v>66</v>
      </c>
      <c r="M98" s="100" t="s">
        <v>67</v>
      </c>
      <c r="N98" s="100" t="s">
        <v>68</v>
      </c>
      <c r="O98" s="101" t="s">
        <v>75</v>
      </c>
    </row>
    <row r="99" spans="2:17" ht="30">
      <c r="B99" s="96"/>
      <c r="C99" s="118" t="str">
        <f>IF(Area_Enhanced[[#This Row],[Pre Dev Parcel Number]]="","Insert Pre Dev Parcel 
Number in Column B",VLOOKUP(Area_Enhanced[[#This Row],[Pre Dev Parcel Number]],Area_Pre_Development[],8,FALSE))</f>
        <v>Insert Pre Dev Parcel 
Number in Column B</v>
      </c>
      <c r="D99" s="61"/>
      <c r="E99" s="62" t="e">
        <f>VLOOKUP(Area_Enhanced[[#This Row],[Distinctiveness]],Distinctiveness_LU[],2,FALSE)</f>
        <v>#N/A</v>
      </c>
      <c r="F99" s="61"/>
      <c r="G99" s="62" t="e">
        <f>VLOOKUP(Area_Enhanced[[#This Row],[Condition]],Condition_LU[],2,FALSE)</f>
        <v>#N/A</v>
      </c>
      <c r="H99" s="118" t="str">
        <f>IF(ISBLANK(Area_Enhanced[[#This Row],[Pre Dev Parcel Number]]),"",VLOOKUP(Area_Enhanced[[#This Row],[Pre Dev Parcel Number]],Area_Pre_Development[[#Data],[#Totals]],7,FALSE))</f>
        <v/>
      </c>
      <c r="I99" s="61"/>
      <c r="J99" s="62" t="e">
        <f>VLOOKUP(Area_Enhanced[[#This Row],[Delivery Risk]],DeliveryRisk_LU[],2,FALSE)</f>
        <v>#N/A</v>
      </c>
      <c r="K99" s="61"/>
      <c r="L99" s="62">
        <f>VLOOKUP(Area_Enhanced[[#This Row],[Temporal Risk ]],TemporalRisk_LU[],2,FALSE)</f>
        <v>1</v>
      </c>
      <c r="M99" s="87"/>
      <c r="N99" s="62" t="e">
        <f>VLOOKUP(Area_Enhanced[[#This Row],[Spatial Risk]],SpatialRisk_LU[],2,FALSE)</f>
        <v>#N/A</v>
      </c>
      <c r="O99" s="120">
        <f>IF(Q99=1,NegEnhance,IF(Area_Enhanced[[#This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99" s="139">
        <f>IF(Area_Enhanced[[#This Row],[Biodiversity Units due to Enhancement]]=Incomplete_Habitat_Details,1,0)</f>
        <v>0</v>
      </c>
      <c r="Q99" s="164">
        <f>IF(Area_Enhanced[[#This Row],[Pre Dev Parcel Number]]=0,0,IF(((Area_Enhanced[[#This Row],[Distinctiveness Score]]*Area_Enhanced[[#This Row],[Condition Score]]*Area_Enhanced[[#This Row],[Area Enhanced (ha or m2)]])-Area_Enhanced[[#This Row],[Pre Dev 
Biodiversity Units]])&lt;0,1,0))</f>
        <v>0</v>
      </c>
    </row>
    <row r="100" spans="2:17" s="21" customFormat="1" ht="30">
      <c r="B100" s="97"/>
      <c r="C100" s="118" t="str">
        <f>IF(Area_Enhanced[[#This Row],[Pre Dev Parcel Number]]="","Insert Pre Dev Parcel 
Number in Column B",VLOOKUP(Area_Enhanced[[#This Row],[Pre Dev Parcel Number]],Area_Pre_Development[],8,FALSE))</f>
        <v>Insert Pre Dev Parcel 
Number in Column B</v>
      </c>
      <c r="D100" s="87"/>
      <c r="E100" s="89" t="e">
        <f>VLOOKUP(Area_Enhanced[[#This Row],[Distinctiveness]],Distinctiveness_LU[],2,FALSE)</f>
        <v>#N/A</v>
      </c>
      <c r="F100" s="87"/>
      <c r="G100" s="89" t="e">
        <f>VLOOKUP(Area_Enhanced[[#This Row],[Condition]],Condition_LU[],2,FALSE)</f>
        <v>#N/A</v>
      </c>
      <c r="H100" s="165" t="str">
        <f>IF(ISBLANK(Area_Enhanced[[#This Row],[Pre Dev Parcel Number]]),"",VLOOKUP(Area_Enhanced[[#This Row],[Pre Dev Parcel Number]],Area_Pre_Development[[#Data],[#Totals]],7,FALSE))</f>
        <v/>
      </c>
      <c r="I100" s="87"/>
      <c r="J100" s="89" t="e">
        <f>VLOOKUP(Area_Enhanced[[#This Row],[Delivery Risk]],DeliveryRisk_LU[],2,FALSE)</f>
        <v>#N/A</v>
      </c>
      <c r="K100" s="87"/>
      <c r="L100" s="89">
        <f>VLOOKUP(Area_Enhanced[[#This Row],[Temporal Risk ]],TemporalRisk_LU[],2,FALSE)</f>
        <v>1</v>
      </c>
      <c r="M100" s="87"/>
      <c r="N100" s="89" t="e">
        <f>VLOOKUP(Area_Enhanced[[#This Row],[Spatial Risk]],SpatialRisk_LU[],2,FALSE)</f>
        <v>#N/A</v>
      </c>
      <c r="O100" s="120">
        <f>IF(Q100=1,NegEnhance,IF(Area_Enhanced[[#This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0" s="139">
        <f>IF(Area_Enhanced[[#This Row],[Biodiversity Units due to Enhancement]]=Incomplete_Habitat_Details,1,0)</f>
        <v>0</v>
      </c>
      <c r="Q100" s="164">
        <f>IF(Area_Enhanced[[#This Row],[Pre Dev Parcel Number]]=0,0,IF(((Area_Enhanced[[#This Row],[Distinctiveness Score]]*Area_Enhanced[[#This Row],[Condition Score]]*Area_Enhanced[[#This Row],[Area Enhanced (ha or m2)]])-Area_Enhanced[[#This Row],[Pre Dev 
Biodiversity Units]])&lt;0,1,0))</f>
        <v>0</v>
      </c>
    </row>
    <row r="101" spans="2:17" s="21" customFormat="1" ht="30">
      <c r="B101" s="97"/>
      <c r="C101" s="118" t="str">
        <f>IF(Area_Enhanced[[#This Row],[Pre Dev Parcel Number]]="","Insert Pre Dev Parcel 
Number in Column B",VLOOKUP(Area_Enhanced[[#This Row],[Pre Dev Parcel Number]],Area_Pre_Development[],8,FALSE))</f>
        <v>Insert Pre Dev Parcel 
Number in Column B</v>
      </c>
      <c r="D101" s="87"/>
      <c r="E101" s="89" t="e">
        <f>VLOOKUP(Area_Enhanced[[#This Row],[Distinctiveness]],Distinctiveness_LU[],2,FALSE)</f>
        <v>#N/A</v>
      </c>
      <c r="F101" s="87"/>
      <c r="G101" s="89" t="e">
        <f>VLOOKUP(Area_Enhanced[[#This Row],[Condition]],Condition_LU[],2,FALSE)</f>
        <v>#N/A</v>
      </c>
      <c r="H101" s="165" t="str">
        <f>IF(ISBLANK(Area_Enhanced[[#This Row],[Pre Dev Parcel Number]]),"",VLOOKUP(Area_Enhanced[[#This Row],[Pre Dev Parcel Number]],Area_Pre_Development[[#Data],[#Totals]],7,FALSE))</f>
        <v/>
      </c>
      <c r="I101" s="87"/>
      <c r="J101" s="89" t="e">
        <f>VLOOKUP(Area_Enhanced[[#This Row],[Delivery Risk]],DeliveryRisk_LU[],2,FALSE)</f>
        <v>#N/A</v>
      </c>
      <c r="K101" s="87"/>
      <c r="L101" s="89">
        <f>VLOOKUP(Area_Enhanced[[#This Row],[Temporal Risk ]],TemporalRisk_LU[],2,FALSE)</f>
        <v>1</v>
      </c>
      <c r="M101" s="87"/>
      <c r="N101" s="89" t="e">
        <f>VLOOKUP(Area_Enhanced[[#This Row],[Spatial Risk]],SpatialRisk_LU[],2,FALSE)</f>
        <v>#N/A</v>
      </c>
      <c r="O101" s="120">
        <f>IF(Q101=1,NegEnhance,IF(Area_Enhanced[[#This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1" s="139">
        <f>IF(Area_Enhanced[[#This Row],[Biodiversity Units due to Enhancement]]=Incomplete_Habitat_Details,1,0)</f>
        <v>0</v>
      </c>
      <c r="Q101" s="164">
        <f>IF(Area_Enhanced[[#This Row],[Pre Dev Parcel Number]]=0,0,IF(((Area_Enhanced[[#This Row],[Distinctiveness Score]]*Area_Enhanced[[#This Row],[Condition Score]]*Area_Enhanced[[#This Row],[Area Enhanced (ha or m2)]])-Area_Enhanced[[#This Row],[Pre Dev 
Biodiversity Units]])&lt;0,1,0))</f>
        <v>0</v>
      </c>
    </row>
    <row r="102" spans="2:17" s="21" customFormat="1" ht="30">
      <c r="B102" s="97"/>
      <c r="C102" s="118" t="str">
        <f>IF(Area_Enhanced[[#This Row],[Pre Dev Parcel Number]]="","Insert Pre Dev Parcel 
Number in Column B",VLOOKUP(Area_Enhanced[[#This Row],[Pre Dev Parcel Number]],Area_Pre_Development[],8,FALSE))</f>
        <v>Insert Pre Dev Parcel 
Number in Column B</v>
      </c>
      <c r="D102" s="87"/>
      <c r="E102" s="89" t="e">
        <f>VLOOKUP(Area_Enhanced[[#This Row],[Distinctiveness]],Distinctiveness_LU[],2,FALSE)</f>
        <v>#N/A</v>
      </c>
      <c r="F102" s="87"/>
      <c r="G102" s="89" t="e">
        <f>VLOOKUP(Area_Enhanced[[#This Row],[Condition]],Condition_LU[],2,FALSE)</f>
        <v>#N/A</v>
      </c>
      <c r="H102" s="165" t="str">
        <f>IF(ISBLANK(Area_Enhanced[[#This Row],[Pre Dev Parcel Number]]),"",VLOOKUP(Area_Enhanced[[#This Row],[Pre Dev Parcel Number]],Area_Pre_Development[[#Data],[#Totals]],7,FALSE))</f>
        <v/>
      </c>
      <c r="I102" s="87"/>
      <c r="J102" s="89" t="e">
        <f>VLOOKUP(Area_Enhanced[[#This Row],[Delivery Risk]],DeliveryRisk_LU[],2,FALSE)</f>
        <v>#N/A</v>
      </c>
      <c r="K102" s="87"/>
      <c r="L102" s="89">
        <f>VLOOKUP(Area_Enhanced[[#This Row],[Temporal Risk ]],TemporalRisk_LU[],2,FALSE)</f>
        <v>1</v>
      </c>
      <c r="M102" s="87"/>
      <c r="N102" s="89" t="e">
        <f>VLOOKUP(Area_Enhanced[[#This Row],[Spatial Risk]],SpatialRisk_LU[],2,FALSE)</f>
        <v>#N/A</v>
      </c>
      <c r="O102" s="120">
        <f>IF(Q102=1,NegEnhance,IF(Area_Enhanced[[#This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2" s="139">
        <f>IF(Area_Enhanced[[#This Row],[Biodiversity Units due to Enhancement]]=Incomplete_Habitat_Details,1,0)</f>
        <v>0</v>
      </c>
      <c r="Q102" s="164">
        <f>IF(Area_Enhanced[[#This Row],[Pre Dev Parcel Number]]=0,0,IF(((Area_Enhanced[[#This Row],[Distinctiveness Score]]*Area_Enhanced[[#This Row],[Condition Score]]*Area_Enhanced[[#This Row],[Area Enhanced (ha or m2)]])-Area_Enhanced[[#This Row],[Pre Dev 
Biodiversity Units]])&lt;0,1,0))</f>
        <v>0</v>
      </c>
    </row>
    <row r="103" spans="2:17" s="21" customFormat="1" ht="30">
      <c r="B103" s="97"/>
      <c r="C103" s="118" t="str">
        <f>IF(Area_Enhanced[[#This Row],[Pre Dev Parcel Number]]="","Insert Pre Dev Parcel 
Number in Column B",VLOOKUP(Area_Enhanced[[#This Row],[Pre Dev Parcel Number]],Area_Pre_Development[],8,FALSE))</f>
        <v>Insert Pre Dev Parcel 
Number in Column B</v>
      </c>
      <c r="D103" s="87"/>
      <c r="E103" s="89" t="e">
        <f>VLOOKUP(Area_Enhanced[[#This Row],[Distinctiveness]],Distinctiveness_LU[],2,FALSE)</f>
        <v>#N/A</v>
      </c>
      <c r="F103" s="87"/>
      <c r="G103" s="89" t="e">
        <f>VLOOKUP(Area_Enhanced[[#This Row],[Condition]],Condition_LU[],2,FALSE)</f>
        <v>#N/A</v>
      </c>
      <c r="H103" s="165" t="str">
        <f>IF(ISBLANK(Area_Enhanced[[#This Row],[Pre Dev Parcel Number]]),"",VLOOKUP(Area_Enhanced[[#This Row],[Pre Dev Parcel Number]],Area_Pre_Development[[#Data],[#Totals]],7,FALSE))</f>
        <v/>
      </c>
      <c r="I103" s="87"/>
      <c r="J103" s="89" t="e">
        <f>VLOOKUP(Area_Enhanced[[#This Row],[Delivery Risk]],DeliveryRisk_LU[],2,FALSE)</f>
        <v>#N/A</v>
      </c>
      <c r="K103" s="87"/>
      <c r="L103" s="89">
        <f>VLOOKUP(Area_Enhanced[[#This Row],[Temporal Risk ]],TemporalRisk_LU[],2,FALSE)</f>
        <v>1</v>
      </c>
      <c r="M103" s="87"/>
      <c r="N103" s="89" t="e">
        <f>VLOOKUP(Area_Enhanced[[#This Row],[Spatial Risk]],SpatialRisk_LU[],2,FALSE)</f>
        <v>#N/A</v>
      </c>
      <c r="O103" s="120">
        <f>IF(Q103=1,NegEnhance,IF(Area_Enhanced[[#This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3" s="139">
        <f>IF(Area_Enhanced[[#This Row],[Biodiversity Units due to Enhancement]]=Incomplete_Habitat_Details,1,0)</f>
        <v>0</v>
      </c>
      <c r="Q103" s="164">
        <f>IF(Area_Enhanced[[#This Row],[Pre Dev Parcel Number]]=0,0,IF(((Area_Enhanced[[#This Row],[Distinctiveness Score]]*Area_Enhanced[[#This Row],[Condition Score]]*Area_Enhanced[[#This Row],[Area Enhanced (ha or m2)]])-Area_Enhanced[[#This Row],[Pre Dev 
Biodiversity Units]])&lt;0,1,0))</f>
        <v>0</v>
      </c>
    </row>
    <row r="104" spans="2:17" s="21" customFormat="1" ht="30">
      <c r="B104" s="97"/>
      <c r="C104" s="118" t="str">
        <f>IF(Area_Enhanced[[#This Row],[Pre Dev Parcel Number]]="","Insert Pre Dev Parcel 
Number in Column B",VLOOKUP(Area_Enhanced[[#This Row],[Pre Dev Parcel Number]],Area_Pre_Development[],8,FALSE))</f>
        <v>Insert Pre Dev Parcel 
Number in Column B</v>
      </c>
      <c r="D104" s="87"/>
      <c r="E104" s="89" t="e">
        <f>VLOOKUP(Area_Enhanced[[#This Row],[Distinctiveness]],Distinctiveness_LU[],2,FALSE)</f>
        <v>#N/A</v>
      </c>
      <c r="F104" s="87"/>
      <c r="G104" s="89" t="e">
        <f>VLOOKUP(Area_Enhanced[[#This Row],[Condition]],Condition_LU[],2,FALSE)</f>
        <v>#N/A</v>
      </c>
      <c r="H104" s="165" t="str">
        <f>IF(ISBLANK(Area_Enhanced[[#This Row],[Pre Dev Parcel Number]]),"",VLOOKUP(Area_Enhanced[[#This Row],[Pre Dev Parcel Number]],Area_Pre_Development[[#Data],[#Totals]],7,FALSE))</f>
        <v/>
      </c>
      <c r="I104" s="87"/>
      <c r="J104" s="89" t="e">
        <f>VLOOKUP(Area_Enhanced[[#This Row],[Delivery Risk]],DeliveryRisk_LU[],2,FALSE)</f>
        <v>#N/A</v>
      </c>
      <c r="K104" s="87"/>
      <c r="L104" s="89">
        <f>VLOOKUP(Area_Enhanced[[#This Row],[Temporal Risk ]],TemporalRisk_LU[],2,FALSE)</f>
        <v>1</v>
      </c>
      <c r="M104" s="87"/>
      <c r="N104" s="89" t="e">
        <f>VLOOKUP(Area_Enhanced[[#This Row],[Spatial Risk]],SpatialRisk_LU[],2,FALSE)</f>
        <v>#N/A</v>
      </c>
      <c r="O104" s="120">
        <f>IF(Q104=1,NegEnhance,IF(Area_Enhanced[[#This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4" s="139">
        <f>IF(Area_Enhanced[[#This Row],[Biodiversity Units due to Enhancement]]=Incomplete_Habitat_Details,1,0)</f>
        <v>0</v>
      </c>
      <c r="Q104" s="164">
        <f>IF(Area_Enhanced[[#This Row],[Pre Dev Parcel Number]]=0,0,IF(((Area_Enhanced[[#This Row],[Distinctiveness Score]]*Area_Enhanced[[#This Row],[Condition Score]]*Area_Enhanced[[#This Row],[Area Enhanced (ha or m2)]])-Area_Enhanced[[#This Row],[Pre Dev 
Biodiversity Units]])&lt;0,1,0))</f>
        <v>0</v>
      </c>
    </row>
    <row r="105" spans="2:17" s="21" customFormat="1" ht="30">
      <c r="B105" s="97"/>
      <c r="C105" s="118" t="str">
        <f>IF(Area_Enhanced[[#This Row],[Pre Dev Parcel Number]]="","Insert Pre Dev Parcel 
Number in Column B",VLOOKUP(Area_Enhanced[[#This Row],[Pre Dev Parcel Number]],Area_Pre_Development[],8,FALSE))</f>
        <v>Insert Pre Dev Parcel 
Number in Column B</v>
      </c>
      <c r="D105" s="87"/>
      <c r="E105" s="89" t="e">
        <f>VLOOKUP(Area_Enhanced[[#This Row],[Distinctiveness]],Distinctiveness_LU[],2,FALSE)</f>
        <v>#N/A</v>
      </c>
      <c r="F105" s="87"/>
      <c r="G105" s="89" t="e">
        <f>VLOOKUP(Area_Enhanced[[#This Row],[Condition]],Condition_LU[],2,FALSE)</f>
        <v>#N/A</v>
      </c>
      <c r="H105" s="165" t="str">
        <f>IF(ISBLANK(Area_Enhanced[[#This Row],[Pre Dev Parcel Number]]),"",VLOOKUP(Area_Enhanced[[#This Row],[Pre Dev Parcel Number]],Area_Pre_Development[[#Data],[#Totals]],7,FALSE))</f>
        <v/>
      </c>
      <c r="I105" s="87"/>
      <c r="J105" s="89" t="e">
        <f>VLOOKUP(Area_Enhanced[[#This Row],[Delivery Risk]],DeliveryRisk_LU[],2,FALSE)</f>
        <v>#N/A</v>
      </c>
      <c r="K105" s="87"/>
      <c r="L105" s="89">
        <f>VLOOKUP(Area_Enhanced[[#This Row],[Temporal Risk ]],TemporalRisk_LU[],2,FALSE)</f>
        <v>1</v>
      </c>
      <c r="M105" s="87"/>
      <c r="N105" s="89" t="e">
        <f>VLOOKUP(Area_Enhanced[[#This Row],[Spatial Risk]],SpatialRisk_LU[],2,FALSE)</f>
        <v>#N/A</v>
      </c>
      <c r="O105" s="120">
        <f>IF(Q105=1,NegEnhance,IF(Area_Enhanced[[#This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5" s="139">
        <f>IF(Area_Enhanced[[#This Row],[Biodiversity Units due to Enhancement]]=Incomplete_Habitat_Details,1,0)</f>
        <v>0</v>
      </c>
      <c r="Q105" s="164">
        <f>IF(Area_Enhanced[[#This Row],[Pre Dev Parcel Number]]=0,0,IF(((Area_Enhanced[[#This Row],[Distinctiveness Score]]*Area_Enhanced[[#This Row],[Condition Score]]*Area_Enhanced[[#This Row],[Area Enhanced (ha or m2)]])-Area_Enhanced[[#This Row],[Pre Dev 
Biodiversity Units]])&lt;0,1,0))</f>
        <v>0</v>
      </c>
    </row>
    <row r="106" spans="2:17" s="21" customFormat="1" ht="30">
      <c r="B106" s="97"/>
      <c r="C106" s="118" t="str">
        <f>IF(Area_Enhanced[[#This Row],[Pre Dev Parcel Number]]="","Insert Pre Dev Parcel 
Number in Column B",VLOOKUP(Area_Enhanced[[#This Row],[Pre Dev Parcel Number]],Area_Pre_Development[],8,FALSE))</f>
        <v>Insert Pre Dev Parcel 
Number in Column B</v>
      </c>
      <c r="D106" s="87"/>
      <c r="E106" s="89" t="e">
        <f>VLOOKUP(Area_Enhanced[[#This Row],[Distinctiveness]],Distinctiveness_LU[],2,FALSE)</f>
        <v>#N/A</v>
      </c>
      <c r="F106" s="87"/>
      <c r="G106" s="89" t="e">
        <f>VLOOKUP(Area_Enhanced[[#This Row],[Condition]],Condition_LU[],2,FALSE)</f>
        <v>#N/A</v>
      </c>
      <c r="H106" s="165" t="str">
        <f>IF(ISBLANK(Area_Enhanced[[#This Row],[Pre Dev Parcel Number]]),"",VLOOKUP(Area_Enhanced[[#This Row],[Pre Dev Parcel Number]],Area_Pre_Development[[#Data],[#Totals]],7,FALSE))</f>
        <v/>
      </c>
      <c r="I106" s="87"/>
      <c r="J106" s="89" t="e">
        <f>VLOOKUP(Area_Enhanced[[#This Row],[Delivery Risk]],DeliveryRisk_LU[],2,FALSE)</f>
        <v>#N/A</v>
      </c>
      <c r="K106" s="87"/>
      <c r="L106" s="89">
        <f>VLOOKUP(Area_Enhanced[[#This Row],[Temporal Risk ]],TemporalRisk_LU[],2,FALSE)</f>
        <v>1</v>
      </c>
      <c r="M106" s="87"/>
      <c r="N106" s="89" t="e">
        <f>VLOOKUP(Area_Enhanced[[#This Row],[Spatial Risk]],SpatialRisk_LU[],2,FALSE)</f>
        <v>#N/A</v>
      </c>
      <c r="O106" s="120">
        <f>IF(Q106=1,NegEnhance,IF(Area_Enhanced[[#This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6" s="139">
        <f>IF(Area_Enhanced[[#This Row],[Biodiversity Units due to Enhancement]]=Incomplete_Habitat_Details,1,0)</f>
        <v>0</v>
      </c>
      <c r="Q106" s="164">
        <f>IF(Area_Enhanced[[#This Row],[Pre Dev Parcel Number]]=0,0,IF(((Area_Enhanced[[#This Row],[Distinctiveness Score]]*Area_Enhanced[[#This Row],[Condition Score]]*Area_Enhanced[[#This Row],[Area Enhanced (ha or m2)]])-Area_Enhanced[[#This Row],[Pre Dev 
Biodiversity Units]])&lt;0,1,0))</f>
        <v>0</v>
      </c>
    </row>
    <row r="107" spans="2:17" s="21" customFormat="1" ht="30">
      <c r="B107" s="97"/>
      <c r="C107" s="118" t="str">
        <f>IF(Area_Enhanced[[#This Row],[Pre Dev Parcel Number]]="","Insert Pre Dev Parcel 
Number in Column B",VLOOKUP(Area_Enhanced[[#This Row],[Pre Dev Parcel Number]],Area_Pre_Development[],8,FALSE))</f>
        <v>Insert Pre Dev Parcel 
Number in Column B</v>
      </c>
      <c r="D107" s="87"/>
      <c r="E107" s="89" t="e">
        <f>VLOOKUP(Area_Enhanced[[#This Row],[Distinctiveness]],Distinctiveness_LU[],2,FALSE)</f>
        <v>#N/A</v>
      </c>
      <c r="F107" s="87"/>
      <c r="G107" s="89" t="e">
        <f>VLOOKUP(Area_Enhanced[[#This Row],[Condition]],Condition_LU[],2,FALSE)</f>
        <v>#N/A</v>
      </c>
      <c r="H107" s="165" t="str">
        <f>IF(ISBLANK(Area_Enhanced[[#This Row],[Pre Dev Parcel Number]]),"",VLOOKUP(Area_Enhanced[[#This Row],[Pre Dev Parcel Number]],Area_Pre_Development[[#Data],[#Totals]],7,FALSE))</f>
        <v/>
      </c>
      <c r="I107" s="87"/>
      <c r="J107" s="89" t="e">
        <f>VLOOKUP(Area_Enhanced[[#This Row],[Delivery Risk]],DeliveryRisk_LU[],2,FALSE)</f>
        <v>#N/A</v>
      </c>
      <c r="K107" s="87"/>
      <c r="L107" s="89">
        <f>VLOOKUP(Area_Enhanced[[#This Row],[Temporal Risk ]],TemporalRisk_LU[],2,FALSE)</f>
        <v>1</v>
      </c>
      <c r="M107" s="87"/>
      <c r="N107" s="89" t="e">
        <f>VLOOKUP(Area_Enhanced[[#This Row],[Spatial Risk]],SpatialRisk_LU[],2,FALSE)</f>
        <v>#N/A</v>
      </c>
      <c r="O107" s="120">
        <f>IF(Q107=1,NegEnhance,IF(Area_Enhanced[[#This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7" s="139">
        <f>IF(Area_Enhanced[[#This Row],[Biodiversity Units due to Enhancement]]=Incomplete_Habitat_Details,1,0)</f>
        <v>0</v>
      </c>
      <c r="Q107" s="164">
        <f>IF(Area_Enhanced[[#This Row],[Pre Dev Parcel Number]]=0,0,IF(((Area_Enhanced[[#This Row],[Distinctiveness Score]]*Area_Enhanced[[#This Row],[Condition Score]]*Area_Enhanced[[#This Row],[Area Enhanced (ha or m2)]])-Area_Enhanced[[#This Row],[Pre Dev 
Biodiversity Units]])&lt;0,1,0))</f>
        <v>0</v>
      </c>
    </row>
    <row r="108" spans="2:17" s="21" customFormat="1" ht="30">
      <c r="B108" s="97"/>
      <c r="C108" s="118" t="str">
        <f>IF(Area_Enhanced[[#This Row],[Pre Dev Parcel Number]]="","Insert Pre Dev Parcel 
Number in Column B",VLOOKUP(Area_Enhanced[[#This Row],[Pre Dev Parcel Number]],Area_Pre_Development[],8,FALSE))</f>
        <v>Insert Pre Dev Parcel 
Number in Column B</v>
      </c>
      <c r="D108" s="87"/>
      <c r="E108" s="89" t="e">
        <f>VLOOKUP(Area_Enhanced[[#This Row],[Distinctiveness]],Distinctiveness_LU[],2,FALSE)</f>
        <v>#N/A</v>
      </c>
      <c r="F108" s="87"/>
      <c r="G108" s="89" t="e">
        <f>VLOOKUP(Area_Enhanced[[#This Row],[Condition]],Condition_LU[],2,FALSE)</f>
        <v>#N/A</v>
      </c>
      <c r="H108" s="165" t="str">
        <f>IF(ISBLANK(Area_Enhanced[[#This Row],[Pre Dev Parcel Number]]),"",VLOOKUP(Area_Enhanced[[#This Row],[Pre Dev Parcel Number]],Area_Pre_Development[[#Data],[#Totals]],7,FALSE))</f>
        <v/>
      </c>
      <c r="I108" s="87"/>
      <c r="J108" s="89" t="e">
        <f>VLOOKUP(Area_Enhanced[[#This Row],[Delivery Risk]],DeliveryRisk_LU[],2,FALSE)</f>
        <v>#N/A</v>
      </c>
      <c r="K108" s="87"/>
      <c r="L108" s="89">
        <f>VLOOKUP(Area_Enhanced[[#This Row],[Temporal Risk ]],TemporalRisk_LU[],2,FALSE)</f>
        <v>1</v>
      </c>
      <c r="M108" s="87"/>
      <c r="N108" s="89" t="e">
        <f>VLOOKUP(Area_Enhanced[[#This Row],[Spatial Risk]],SpatialRisk_LU[],2,FALSE)</f>
        <v>#N/A</v>
      </c>
      <c r="O108" s="120">
        <f>IF(Q108=1,NegEnhance,IF(Area_Enhanced[[#This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8" s="139">
        <f>IF(Area_Enhanced[[#This Row],[Biodiversity Units due to Enhancement]]=Incomplete_Habitat_Details,1,0)</f>
        <v>0</v>
      </c>
      <c r="Q108" s="164">
        <f>IF(Area_Enhanced[[#This Row],[Pre Dev Parcel Number]]=0,0,IF(((Area_Enhanced[[#This Row],[Distinctiveness Score]]*Area_Enhanced[[#This Row],[Condition Score]]*Area_Enhanced[[#This Row],[Area Enhanced (ha or m2)]])-Area_Enhanced[[#This Row],[Pre Dev 
Biodiversity Units]])&lt;0,1,0))</f>
        <v>0</v>
      </c>
    </row>
    <row r="109" spans="2:17" s="21" customFormat="1" ht="30">
      <c r="B109" s="97"/>
      <c r="C109" s="118" t="str">
        <f>IF(Area_Enhanced[[#This Row],[Pre Dev Parcel Number]]="","Insert Pre Dev Parcel 
Number in Column B",VLOOKUP(Area_Enhanced[[#This Row],[Pre Dev Parcel Number]],Area_Pre_Development[],8,FALSE))</f>
        <v>Insert Pre Dev Parcel 
Number in Column B</v>
      </c>
      <c r="D109" s="87"/>
      <c r="E109" s="89" t="e">
        <f>VLOOKUP(Area_Enhanced[[#This Row],[Distinctiveness]],Distinctiveness_LU[],2,FALSE)</f>
        <v>#N/A</v>
      </c>
      <c r="F109" s="87"/>
      <c r="G109" s="89" t="e">
        <f>VLOOKUP(Area_Enhanced[[#This Row],[Condition]],Condition_LU[],2,FALSE)</f>
        <v>#N/A</v>
      </c>
      <c r="H109" s="165" t="str">
        <f>IF(ISBLANK(Area_Enhanced[[#This Row],[Pre Dev Parcel Number]]),"",VLOOKUP(Area_Enhanced[[#This Row],[Pre Dev Parcel Number]],Area_Pre_Development[[#Data],[#Totals]],7,FALSE))</f>
        <v/>
      </c>
      <c r="I109" s="87"/>
      <c r="J109" s="89" t="e">
        <f>VLOOKUP(Area_Enhanced[[#This Row],[Delivery Risk]],DeliveryRisk_LU[],2,FALSE)</f>
        <v>#N/A</v>
      </c>
      <c r="K109" s="87"/>
      <c r="L109" s="89">
        <f>VLOOKUP(Area_Enhanced[[#This Row],[Temporal Risk ]],TemporalRisk_LU[],2,FALSE)</f>
        <v>1</v>
      </c>
      <c r="M109" s="87"/>
      <c r="N109" s="89" t="e">
        <f>VLOOKUP(Area_Enhanced[[#This Row],[Spatial Risk]],SpatialRisk_LU[],2,FALSE)</f>
        <v>#N/A</v>
      </c>
      <c r="O109" s="120">
        <f>IF(Q109=1,NegEnhance,IF(Area_Enhanced[[#This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9" s="139">
        <f>IF(Area_Enhanced[[#This Row],[Biodiversity Units due to Enhancement]]=Incomplete_Habitat_Details,1,0)</f>
        <v>0</v>
      </c>
      <c r="Q109" s="164">
        <f>IF(Area_Enhanced[[#This Row],[Pre Dev Parcel Number]]=0,0,IF(((Area_Enhanced[[#This Row],[Distinctiveness Score]]*Area_Enhanced[[#This Row],[Condition Score]]*Area_Enhanced[[#This Row],[Area Enhanced (ha or m2)]])-Area_Enhanced[[#This Row],[Pre Dev 
Biodiversity Units]])&lt;0,1,0))</f>
        <v>0</v>
      </c>
    </row>
    <row r="110" spans="2:17" s="21" customFormat="1" ht="30">
      <c r="B110" s="97"/>
      <c r="C110" s="118" t="str">
        <f>IF(Area_Enhanced[[#This Row],[Pre Dev Parcel Number]]="","Insert Pre Dev Parcel 
Number in Column B",VLOOKUP(Area_Enhanced[[#This Row],[Pre Dev Parcel Number]],Area_Pre_Development[],8,FALSE))</f>
        <v>Insert Pre Dev Parcel 
Number in Column B</v>
      </c>
      <c r="D110" s="87"/>
      <c r="E110" s="89" t="e">
        <f>VLOOKUP(Area_Enhanced[[#This Row],[Distinctiveness]],Distinctiveness_LU[],2,FALSE)</f>
        <v>#N/A</v>
      </c>
      <c r="F110" s="87"/>
      <c r="G110" s="89" t="e">
        <f>VLOOKUP(Area_Enhanced[[#This Row],[Condition]],Condition_LU[],2,FALSE)</f>
        <v>#N/A</v>
      </c>
      <c r="H110" s="165" t="str">
        <f>IF(ISBLANK(Area_Enhanced[[#This Row],[Pre Dev Parcel Number]]),"",VLOOKUP(Area_Enhanced[[#This Row],[Pre Dev Parcel Number]],Area_Pre_Development[[#Data],[#Totals]],7,FALSE))</f>
        <v/>
      </c>
      <c r="I110" s="87"/>
      <c r="J110" s="89" t="e">
        <f>VLOOKUP(Area_Enhanced[[#This Row],[Delivery Risk]],DeliveryRisk_LU[],2,FALSE)</f>
        <v>#N/A</v>
      </c>
      <c r="K110" s="87"/>
      <c r="L110" s="89">
        <f>VLOOKUP(Area_Enhanced[[#This Row],[Temporal Risk ]],TemporalRisk_LU[],2,FALSE)</f>
        <v>1</v>
      </c>
      <c r="M110" s="87"/>
      <c r="N110" s="89" t="e">
        <f>VLOOKUP(Area_Enhanced[[#This Row],[Spatial Risk]],SpatialRisk_LU[],2,FALSE)</f>
        <v>#N/A</v>
      </c>
      <c r="O110" s="120">
        <f>IF(Q110=1,NegEnhance,IF(Area_Enhanced[[#This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0" s="139">
        <f>IF(Area_Enhanced[[#This Row],[Biodiversity Units due to Enhancement]]=Incomplete_Habitat_Details,1,0)</f>
        <v>0</v>
      </c>
      <c r="Q110" s="164">
        <f>IF(Area_Enhanced[[#This Row],[Pre Dev Parcel Number]]=0,0,IF(((Area_Enhanced[[#This Row],[Distinctiveness Score]]*Area_Enhanced[[#This Row],[Condition Score]]*Area_Enhanced[[#This Row],[Area Enhanced (ha or m2)]])-Area_Enhanced[[#This Row],[Pre Dev 
Biodiversity Units]])&lt;0,1,0))</f>
        <v>0</v>
      </c>
    </row>
    <row r="111" spans="2:17" s="21" customFormat="1" ht="30">
      <c r="B111" s="97"/>
      <c r="C111" s="118" t="str">
        <f>IF(Area_Enhanced[[#This Row],[Pre Dev Parcel Number]]="","Insert Pre Dev Parcel 
Number in Column B",VLOOKUP(Area_Enhanced[[#This Row],[Pre Dev Parcel Number]],Area_Pre_Development[],8,FALSE))</f>
        <v>Insert Pre Dev Parcel 
Number in Column B</v>
      </c>
      <c r="D111" s="87"/>
      <c r="E111" s="89" t="e">
        <f>VLOOKUP(Area_Enhanced[[#This Row],[Distinctiveness]],Distinctiveness_LU[],2,FALSE)</f>
        <v>#N/A</v>
      </c>
      <c r="F111" s="87"/>
      <c r="G111" s="89" t="e">
        <f>VLOOKUP(Area_Enhanced[[#This Row],[Condition]],Condition_LU[],2,FALSE)</f>
        <v>#N/A</v>
      </c>
      <c r="H111" s="165" t="str">
        <f>IF(ISBLANK(Area_Enhanced[[#This Row],[Pre Dev Parcel Number]]),"",VLOOKUP(Area_Enhanced[[#This Row],[Pre Dev Parcel Number]],Area_Pre_Development[[#Data],[#Totals]],7,FALSE))</f>
        <v/>
      </c>
      <c r="I111" s="87"/>
      <c r="J111" s="89" t="e">
        <f>VLOOKUP(Area_Enhanced[[#This Row],[Delivery Risk]],DeliveryRisk_LU[],2,FALSE)</f>
        <v>#N/A</v>
      </c>
      <c r="K111" s="87"/>
      <c r="L111" s="89">
        <f>VLOOKUP(Area_Enhanced[[#This Row],[Temporal Risk ]],TemporalRisk_LU[],2,FALSE)</f>
        <v>1</v>
      </c>
      <c r="M111" s="87"/>
      <c r="N111" s="89" t="e">
        <f>VLOOKUP(Area_Enhanced[[#This Row],[Spatial Risk]],SpatialRisk_LU[],2,FALSE)</f>
        <v>#N/A</v>
      </c>
      <c r="O111" s="120">
        <f>IF(Q111=1,NegEnhance,IF(Area_Enhanced[[#This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1" s="139">
        <f>IF(Area_Enhanced[[#This Row],[Biodiversity Units due to Enhancement]]=Incomplete_Habitat_Details,1,0)</f>
        <v>0</v>
      </c>
      <c r="Q111" s="164">
        <f>IF(Area_Enhanced[[#This Row],[Pre Dev Parcel Number]]=0,0,IF(((Area_Enhanced[[#This Row],[Distinctiveness Score]]*Area_Enhanced[[#This Row],[Condition Score]]*Area_Enhanced[[#This Row],[Area Enhanced (ha or m2)]])-Area_Enhanced[[#This Row],[Pre Dev 
Biodiversity Units]])&lt;0,1,0))</f>
        <v>0</v>
      </c>
    </row>
    <row r="112" spans="2:17" s="21" customFormat="1" ht="30">
      <c r="B112" s="97"/>
      <c r="C112" s="118" t="str">
        <f>IF(Area_Enhanced[[#This Row],[Pre Dev Parcel Number]]="","Insert Pre Dev Parcel 
Number in Column B",VLOOKUP(Area_Enhanced[[#This Row],[Pre Dev Parcel Number]],Area_Pre_Development[],8,FALSE))</f>
        <v>Insert Pre Dev Parcel 
Number in Column B</v>
      </c>
      <c r="D112" s="87"/>
      <c r="E112" s="89" t="e">
        <f>VLOOKUP(Area_Enhanced[[#This Row],[Distinctiveness]],Distinctiveness_LU[],2,FALSE)</f>
        <v>#N/A</v>
      </c>
      <c r="F112" s="87"/>
      <c r="G112" s="89" t="e">
        <f>VLOOKUP(Area_Enhanced[[#This Row],[Condition]],Condition_LU[],2,FALSE)</f>
        <v>#N/A</v>
      </c>
      <c r="H112" s="165" t="str">
        <f>IF(ISBLANK(Area_Enhanced[[#This Row],[Pre Dev Parcel Number]]),"",VLOOKUP(Area_Enhanced[[#This Row],[Pre Dev Parcel Number]],Area_Pre_Development[[#Data],[#Totals]],7,FALSE))</f>
        <v/>
      </c>
      <c r="I112" s="87"/>
      <c r="J112" s="89" t="e">
        <f>VLOOKUP(Area_Enhanced[[#This Row],[Delivery Risk]],DeliveryRisk_LU[],2,FALSE)</f>
        <v>#N/A</v>
      </c>
      <c r="K112" s="87"/>
      <c r="L112" s="89">
        <f>VLOOKUP(Area_Enhanced[[#This Row],[Temporal Risk ]],TemporalRisk_LU[],2,FALSE)</f>
        <v>1</v>
      </c>
      <c r="M112" s="87"/>
      <c r="N112" s="89" t="e">
        <f>VLOOKUP(Area_Enhanced[[#This Row],[Spatial Risk]],SpatialRisk_LU[],2,FALSE)</f>
        <v>#N/A</v>
      </c>
      <c r="O112" s="120">
        <f>IF(Q112=1,NegEnhance,IF(Area_Enhanced[[#This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2" s="139">
        <f>IF(Area_Enhanced[[#This Row],[Biodiversity Units due to Enhancement]]=Incomplete_Habitat_Details,1,0)</f>
        <v>0</v>
      </c>
      <c r="Q112" s="164">
        <f>IF(Area_Enhanced[[#This Row],[Pre Dev Parcel Number]]=0,0,IF(((Area_Enhanced[[#This Row],[Distinctiveness Score]]*Area_Enhanced[[#This Row],[Condition Score]]*Area_Enhanced[[#This Row],[Area Enhanced (ha or m2)]])-Area_Enhanced[[#This Row],[Pre Dev 
Biodiversity Units]])&lt;0,1,0))</f>
        <v>0</v>
      </c>
    </row>
    <row r="113" spans="2:17" s="21" customFormat="1" ht="30">
      <c r="B113" s="97"/>
      <c r="C113" s="118" t="str">
        <f>IF(Area_Enhanced[[#This Row],[Pre Dev Parcel Number]]="","Insert Pre Dev Parcel 
Number in Column B",VLOOKUP(Area_Enhanced[[#This Row],[Pre Dev Parcel Number]],Area_Pre_Development[],8,FALSE))</f>
        <v>Insert Pre Dev Parcel 
Number in Column B</v>
      </c>
      <c r="D113" s="87"/>
      <c r="E113" s="89" t="e">
        <f>VLOOKUP(Area_Enhanced[[#This Row],[Distinctiveness]],Distinctiveness_LU[],2,FALSE)</f>
        <v>#N/A</v>
      </c>
      <c r="F113" s="87"/>
      <c r="G113" s="89" t="e">
        <f>VLOOKUP(Area_Enhanced[[#This Row],[Condition]],Condition_LU[],2,FALSE)</f>
        <v>#N/A</v>
      </c>
      <c r="H113" s="165" t="str">
        <f>IF(ISBLANK(Area_Enhanced[[#This Row],[Pre Dev Parcel Number]]),"",VLOOKUP(Area_Enhanced[[#This Row],[Pre Dev Parcel Number]],Area_Pre_Development[[#Data],[#Totals]],7,FALSE))</f>
        <v/>
      </c>
      <c r="I113" s="87"/>
      <c r="J113" s="89" t="e">
        <f>VLOOKUP(Area_Enhanced[[#This Row],[Delivery Risk]],DeliveryRisk_LU[],2,FALSE)</f>
        <v>#N/A</v>
      </c>
      <c r="K113" s="87"/>
      <c r="L113" s="89">
        <f>VLOOKUP(Area_Enhanced[[#This Row],[Temporal Risk ]],TemporalRisk_LU[],2,FALSE)</f>
        <v>1</v>
      </c>
      <c r="M113" s="87"/>
      <c r="N113" s="89" t="e">
        <f>VLOOKUP(Area_Enhanced[[#This Row],[Spatial Risk]],SpatialRisk_LU[],2,FALSE)</f>
        <v>#N/A</v>
      </c>
      <c r="O113" s="120">
        <f>IF(Q113=1,NegEnhance,IF(Area_Enhanced[[#This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3" s="139">
        <f>IF(Area_Enhanced[[#This Row],[Biodiversity Units due to Enhancement]]=Incomplete_Habitat_Details,1,0)</f>
        <v>0</v>
      </c>
      <c r="Q113" s="164">
        <f>IF(Area_Enhanced[[#This Row],[Pre Dev Parcel Number]]=0,0,IF(((Area_Enhanced[[#This Row],[Distinctiveness Score]]*Area_Enhanced[[#This Row],[Condition Score]]*Area_Enhanced[[#This Row],[Area Enhanced (ha or m2)]])-Area_Enhanced[[#This Row],[Pre Dev 
Biodiversity Units]])&lt;0,1,0))</f>
        <v>0</v>
      </c>
    </row>
    <row r="114" spans="2:17" s="21" customFormat="1" ht="30">
      <c r="B114" s="97"/>
      <c r="C114" s="118" t="str">
        <f>IF(Area_Enhanced[[#This Row],[Pre Dev Parcel Number]]="","Insert Pre Dev Parcel 
Number in Column B",VLOOKUP(Area_Enhanced[[#This Row],[Pre Dev Parcel Number]],Area_Pre_Development[],8,FALSE))</f>
        <v>Insert Pre Dev Parcel 
Number in Column B</v>
      </c>
      <c r="D114" s="87"/>
      <c r="E114" s="89" t="e">
        <f>VLOOKUP(Area_Enhanced[[#This Row],[Distinctiveness]],Distinctiveness_LU[],2,FALSE)</f>
        <v>#N/A</v>
      </c>
      <c r="F114" s="87"/>
      <c r="G114" s="89" t="e">
        <f>VLOOKUP(Area_Enhanced[[#This Row],[Condition]],Condition_LU[],2,FALSE)</f>
        <v>#N/A</v>
      </c>
      <c r="H114" s="165" t="str">
        <f>IF(ISBLANK(Area_Enhanced[[#This Row],[Pre Dev Parcel Number]]),"",VLOOKUP(Area_Enhanced[[#This Row],[Pre Dev Parcel Number]],Area_Pre_Development[[#Data],[#Totals]],7,FALSE))</f>
        <v/>
      </c>
      <c r="I114" s="87"/>
      <c r="J114" s="89" t="e">
        <f>VLOOKUP(Area_Enhanced[[#This Row],[Delivery Risk]],DeliveryRisk_LU[],2,FALSE)</f>
        <v>#N/A</v>
      </c>
      <c r="K114" s="87"/>
      <c r="L114" s="89">
        <f>VLOOKUP(Area_Enhanced[[#This Row],[Temporal Risk ]],TemporalRisk_LU[],2,FALSE)</f>
        <v>1</v>
      </c>
      <c r="M114" s="87"/>
      <c r="N114" s="89" t="e">
        <f>VLOOKUP(Area_Enhanced[[#This Row],[Spatial Risk]],SpatialRisk_LU[],2,FALSE)</f>
        <v>#N/A</v>
      </c>
      <c r="O114" s="120">
        <f>IF(Q114=1,NegEnhance,IF(Area_Enhanced[[#This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4" s="139">
        <f>IF(Area_Enhanced[[#This Row],[Biodiversity Units due to Enhancement]]=Incomplete_Habitat_Details,1,0)</f>
        <v>0</v>
      </c>
      <c r="Q114" s="164">
        <f>IF(Area_Enhanced[[#This Row],[Pre Dev Parcel Number]]=0,0,IF(((Area_Enhanced[[#This Row],[Distinctiveness Score]]*Area_Enhanced[[#This Row],[Condition Score]]*Area_Enhanced[[#This Row],[Area Enhanced (ha or m2)]])-Area_Enhanced[[#This Row],[Pre Dev 
Biodiversity Units]])&lt;0,1,0))</f>
        <v>0</v>
      </c>
    </row>
    <row r="115" spans="2:17" s="21" customFormat="1" ht="30">
      <c r="B115" s="97"/>
      <c r="C115" s="118" t="str">
        <f>IF(Area_Enhanced[[#This Row],[Pre Dev Parcel Number]]="","Insert Pre Dev Parcel 
Number in Column B",VLOOKUP(Area_Enhanced[[#This Row],[Pre Dev Parcel Number]],Area_Pre_Development[],8,FALSE))</f>
        <v>Insert Pre Dev Parcel 
Number in Column B</v>
      </c>
      <c r="D115" s="87"/>
      <c r="E115" s="89" t="e">
        <f>VLOOKUP(Area_Enhanced[[#This Row],[Distinctiveness]],Distinctiveness_LU[],2,FALSE)</f>
        <v>#N/A</v>
      </c>
      <c r="F115" s="87"/>
      <c r="G115" s="89" t="e">
        <f>VLOOKUP(Area_Enhanced[[#This Row],[Condition]],Condition_LU[],2,FALSE)</f>
        <v>#N/A</v>
      </c>
      <c r="H115" s="165" t="str">
        <f>IF(ISBLANK(Area_Enhanced[[#This Row],[Pre Dev Parcel Number]]),"",VLOOKUP(Area_Enhanced[[#This Row],[Pre Dev Parcel Number]],Area_Pre_Development[[#Data],[#Totals]],7,FALSE))</f>
        <v/>
      </c>
      <c r="I115" s="87"/>
      <c r="J115" s="89" t="e">
        <f>VLOOKUP(Area_Enhanced[[#This Row],[Delivery Risk]],DeliveryRisk_LU[],2,FALSE)</f>
        <v>#N/A</v>
      </c>
      <c r="K115" s="87"/>
      <c r="L115" s="89">
        <f>VLOOKUP(Area_Enhanced[[#This Row],[Temporal Risk ]],TemporalRisk_LU[],2,FALSE)</f>
        <v>1</v>
      </c>
      <c r="M115" s="87"/>
      <c r="N115" s="89" t="e">
        <f>VLOOKUP(Area_Enhanced[[#This Row],[Spatial Risk]],SpatialRisk_LU[],2,FALSE)</f>
        <v>#N/A</v>
      </c>
      <c r="O115" s="120">
        <f>IF(Q115=1,NegEnhance,IF(Area_Enhanced[[#This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5" s="139">
        <f>IF(Area_Enhanced[[#This Row],[Biodiversity Units due to Enhancement]]=Incomplete_Habitat_Details,1,0)</f>
        <v>0</v>
      </c>
      <c r="Q115" s="164">
        <f>IF(Area_Enhanced[[#This Row],[Pre Dev Parcel Number]]=0,0,IF(((Area_Enhanced[[#This Row],[Distinctiveness Score]]*Area_Enhanced[[#This Row],[Condition Score]]*Area_Enhanced[[#This Row],[Area Enhanced (ha or m2)]])-Area_Enhanced[[#This Row],[Pre Dev 
Biodiversity Units]])&lt;0,1,0))</f>
        <v>0</v>
      </c>
    </row>
    <row r="116" spans="2:17" s="21" customFormat="1" ht="30">
      <c r="B116" s="97"/>
      <c r="C116" s="118" t="str">
        <f>IF(Area_Enhanced[[#This Row],[Pre Dev Parcel Number]]="","Insert Pre Dev Parcel 
Number in Column B",VLOOKUP(Area_Enhanced[[#This Row],[Pre Dev Parcel Number]],Area_Pre_Development[],8,FALSE))</f>
        <v>Insert Pre Dev Parcel 
Number in Column B</v>
      </c>
      <c r="D116" s="87"/>
      <c r="E116" s="89" t="e">
        <f>VLOOKUP(Area_Enhanced[[#This Row],[Distinctiveness]],Distinctiveness_LU[],2,FALSE)</f>
        <v>#N/A</v>
      </c>
      <c r="F116" s="87"/>
      <c r="G116" s="89" t="e">
        <f>VLOOKUP(Area_Enhanced[[#This Row],[Condition]],Condition_LU[],2,FALSE)</f>
        <v>#N/A</v>
      </c>
      <c r="H116" s="165" t="str">
        <f>IF(ISBLANK(Area_Enhanced[[#This Row],[Pre Dev Parcel Number]]),"",VLOOKUP(Area_Enhanced[[#This Row],[Pre Dev Parcel Number]],Area_Pre_Development[[#Data],[#Totals]],7,FALSE))</f>
        <v/>
      </c>
      <c r="I116" s="87"/>
      <c r="J116" s="89" t="e">
        <f>VLOOKUP(Area_Enhanced[[#This Row],[Delivery Risk]],DeliveryRisk_LU[],2,FALSE)</f>
        <v>#N/A</v>
      </c>
      <c r="K116" s="87"/>
      <c r="L116" s="89">
        <f>VLOOKUP(Area_Enhanced[[#This Row],[Temporal Risk ]],TemporalRisk_LU[],2,FALSE)</f>
        <v>1</v>
      </c>
      <c r="M116" s="87"/>
      <c r="N116" s="89" t="e">
        <f>VLOOKUP(Area_Enhanced[[#This Row],[Spatial Risk]],SpatialRisk_LU[],2,FALSE)</f>
        <v>#N/A</v>
      </c>
      <c r="O116" s="120">
        <f>IF(Q116=1,NegEnhance,IF(Area_Enhanced[[#This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6" s="139">
        <f>IF(Area_Enhanced[[#This Row],[Biodiversity Units due to Enhancement]]=Incomplete_Habitat_Details,1,0)</f>
        <v>0</v>
      </c>
      <c r="Q116" s="164">
        <f>IF(Area_Enhanced[[#This Row],[Pre Dev Parcel Number]]=0,0,IF(((Area_Enhanced[[#This Row],[Distinctiveness Score]]*Area_Enhanced[[#This Row],[Condition Score]]*Area_Enhanced[[#This Row],[Area Enhanced (ha or m2)]])-Area_Enhanced[[#This Row],[Pre Dev 
Biodiversity Units]])&lt;0,1,0))</f>
        <v>0</v>
      </c>
    </row>
    <row r="117" spans="2:17" s="21" customFormat="1" ht="30">
      <c r="B117" s="97"/>
      <c r="C117" s="118" t="str">
        <f>IF(Area_Enhanced[[#This Row],[Pre Dev Parcel Number]]="","Insert Pre Dev Parcel 
Number in Column B",VLOOKUP(Area_Enhanced[[#This Row],[Pre Dev Parcel Number]],Area_Pre_Development[],8,FALSE))</f>
        <v>Insert Pre Dev Parcel 
Number in Column B</v>
      </c>
      <c r="D117" s="87"/>
      <c r="E117" s="89" t="e">
        <f>VLOOKUP(Area_Enhanced[[#This Row],[Distinctiveness]],Distinctiveness_LU[],2,FALSE)</f>
        <v>#N/A</v>
      </c>
      <c r="F117" s="87"/>
      <c r="G117" s="89" t="e">
        <f>VLOOKUP(Area_Enhanced[[#This Row],[Condition]],Condition_LU[],2,FALSE)</f>
        <v>#N/A</v>
      </c>
      <c r="H117" s="165" t="str">
        <f>IF(ISBLANK(Area_Enhanced[[#This Row],[Pre Dev Parcel Number]]),"",VLOOKUP(Area_Enhanced[[#This Row],[Pre Dev Parcel Number]],Area_Pre_Development[[#Data],[#Totals]],7,FALSE))</f>
        <v/>
      </c>
      <c r="I117" s="87"/>
      <c r="J117" s="89" t="e">
        <f>VLOOKUP(Area_Enhanced[[#This Row],[Delivery Risk]],DeliveryRisk_LU[],2,FALSE)</f>
        <v>#N/A</v>
      </c>
      <c r="K117" s="87"/>
      <c r="L117" s="89">
        <f>VLOOKUP(Area_Enhanced[[#This Row],[Temporal Risk ]],TemporalRisk_LU[],2,FALSE)</f>
        <v>1</v>
      </c>
      <c r="M117" s="87"/>
      <c r="N117" s="89" t="e">
        <f>VLOOKUP(Area_Enhanced[[#This Row],[Spatial Risk]],SpatialRisk_LU[],2,FALSE)</f>
        <v>#N/A</v>
      </c>
      <c r="O117" s="120">
        <f>IF(Q117=1,NegEnhance,IF(Area_Enhanced[[#This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7" s="139">
        <f>IF(Area_Enhanced[[#This Row],[Biodiversity Units due to Enhancement]]=Incomplete_Habitat_Details,1,0)</f>
        <v>0</v>
      </c>
      <c r="Q117" s="164">
        <f>IF(Area_Enhanced[[#This Row],[Pre Dev Parcel Number]]=0,0,IF(((Area_Enhanced[[#This Row],[Distinctiveness Score]]*Area_Enhanced[[#This Row],[Condition Score]]*Area_Enhanced[[#This Row],[Area Enhanced (ha or m2)]])-Area_Enhanced[[#This Row],[Pre Dev 
Biodiversity Units]])&lt;0,1,0))</f>
        <v>0</v>
      </c>
    </row>
    <row r="118" spans="2:17" s="21" customFormat="1" ht="30">
      <c r="B118" s="97"/>
      <c r="C118" s="118" t="str">
        <f>IF(Area_Enhanced[[#This Row],[Pre Dev Parcel Number]]="","Insert Pre Dev Parcel 
Number in Column B",VLOOKUP(Area_Enhanced[[#This Row],[Pre Dev Parcel Number]],Area_Pre_Development[],8,FALSE))</f>
        <v>Insert Pre Dev Parcel 
Number in Column B</v>
      </c>
      <c r="D118" s="87"/>
      <c r="E118" s="89" t="e">
        <f>VLOOKUP(Area_Enhanced[[#This Row],[Distinctiveness]],Distinctiveness_LU[],2,FALSE)</f>
        <v>#N/A</v>
      </c>
      <c r="F118" s="87"/>
      <c r="G118" s="89" t="e">
        <f>VLOOKUP(Area_Enhanced[[#This Row],[Condition]],Condition_LU[],2,FALSE)</f>
        <v>#N/A</v>
      </c>
      <c r="H118" s="165" t="str">
        <f>IF(ISBLANK(Area_Enhanced[[#This Row],[Pre Dev Parcel Number]]),"",VLOOKUP(Area_Enhanced[[#This Row],[Pre Dev Parcel Number]],Area_Pre_Development[[#Data],[#Totals]],7,FALSE))</f>
        <v/>
      </c>
      <c r="I118" s="87"/>
      <c r="J118" s="89" t="e">
        <f>VLOOKUP(Area_Enhanced[[#This Row],[Delivery Risk]],DeliveryRisk_LU[],2,FALSE)</f>
        <v>#N/A</v>
      </c>
      <c r="K118" s="87"/>
      <c r="L118" s="89">
        <f>VLOOKUP(Area_Enhanced[[#This Row],[Temporal Risk ]],TemporalRisk_LU[],2,FALSE)</f>
        <v>1</v>
      </c>
      <c r="M118" s="87"/>
      <c r="N118" s="89" t="e">
        <f>VLOOKUP(Area_Enhanced[[#This Row],[Spatial Risk]],SpatialRisk_LU[],2,FALSE)</f>
        <v>#N/A</v>
      </c>
      <c r="O118" s="120">
        <f>IF(Q118=1,NegEnhance,IF(Area_Enhanced[[#This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8" s="139">
        <f>IF(Area_Enhanced[[#This Row],[Biodiversity Units due to Enhancement]]=Incomplete_Habitat_Details,1,0)</f>
        <v>0</v>
      </c>
      <c r="Q118" s="164">
        <f>IF(Area_Enhanced[[#This Row],[Pre Dev Parcel Number]]=0,0,IF(((Area_Enhanced[[#This Row],[Distinctiveness Score]]*Area_Enhanced[[#This Row],[Condition Score]]*Area_Enhanced[[#This Row],[Area Enhanced (ha or m2)]])-Area_Enhanced[[#This Row],[Pre Dev 
Biodiversity Units]])&lt;0,1,0))</f>
        <v>0</v>
      </c>
    </row>
    <row r="119" spans="2:17" s="21" customFormat="1" ht="30">
      <c r="B119" s="97"/>
      <c r="C119" s="118" t="str">
        <f>IF(Area_Enhanced[[#This Row],[Pre Dev Parcel Number]]="","Insert Pre Dev Parcel 
Number in Column B",VLOOKUP(Area_Enhanced[[#This Row],[Pre Dev Parcel Number]],Area_Pre_Development[],8,FALSE))</f>
        <v>Insert Pre Dev Parcel 
Number in Column B</v>
      </c>
      <c r="D119" s="87"/>
      <c r="E119" s="89" t="e">
        <f>VLOOKUP(Area_Enhanced[[#This Row],[Distinctiveness]],Distinctiveness_LU[],2,FALSE)</f>
        <v>#N/A</v>
      </c>
      <c r="F119" s="87"/>
      <c r="G119" s="89" t="e">
        <f>VLOOKUP(Area_Enhanced[[#This Row],[Condition]],Condition_LU[],2,FALSE)</f>
        <v>#N/A</v>
      </c>
      <c r="H119" s="165" t="str">
        <f>IF(ISBLANK(Area_Enhanced[[#This Row],[Pre Dev Parcel Number]]),"",VLOOKUP(Area_Enhanced[[#This Row],[Pre Dev Parcel Number]],Area_Pre_Development[[#Data],[#Totals]],7,FALSE))</f>
        <v/>
      </c>
      <c r="I119" s="87"/>
      <c r="J119" s="89" t="e">
        <f>VLOOKUP(Area_Enhanced[[#This Row],[Delivery Risk]],DeliveryRisk_LU[],2,FALSE)</f>
        <v>#N/A</v>
      </c>
      <c r="K119" s="87"/>
      <c r="L119" s="89">
        <f>VLOOKUP(Area_Enhanced[[#This Row],[Temporal Risk ]],TemporalRisk_LU[],2,FALSE)</f>
        <v>1</v>
      </c>
      <c r="M119" s="87"/>
      <c r="N119" s="89" t="e">
        <f>VLOOKUP(Area_Enhanced[[#This Row],[Spatial Risk]],SpatialRisk_LU[],2,FALSE)</f>
        <v>#N/A</v>
      </c>
      <c r="O119" s="120">
        <f>IF(Q119=1,NegEnhance,IF(Area_Enhanced[[#This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9" s="139">
        <f>IF(Area_Enhanced[[#This Row],[Biodiversity Units due to Enhancement]]=Incomplete_Habitat_Details,1,0)</f>
        <v>0</v>
      </c>
      <c r="Q119" s="164">
        <f>IF(Area_Enhanced[[#This Row],[Pre Dev Parcel Number]]=0,0,IF(((Area_Enhanced[[#This Row],[Distinctiveness Score]]*Area_Enhanced[[#This Row],[Condition Score]]*Area_Enhanced[[#This Row],[Area Enhanced (ha or m2)]])-Area_Enhanced[[#This Row],[Pre Dev 
Biodiversity Units]])&lt;0,1,0))</f>
        <v>0</v>
      </c>
    </row>
    <row r="120" spans="2:17" s="21" customFormat="1" ht="30">
      <c r="B120" s="97"/>
      <c r="C120" s="118" t="str">
        <f>IF(Area_Enhanced[[#This Row],[Pre Dev Parcel Number]]="","Insert Pre Dev Parcel 
Number in Column B",VLOOKUP(Area_Enhanced[[#This Row],[Pre Dev Parcel Number]],Area_Pre_Development[],8,FALSE))</f>
        <v>Insert Pre Dev Parcel 
Number in Column B</v>
      </c>
      <c r="D120" s="87"/>
      <c r="E120" s="89" t="e">
        <f>VLOOKUP(Area_Enhanced[[#This Row],[Distinctiveness]],Distinctiveness_LU[],2,FALSE)</f>
        <v>#N/A</v>
      </c>
      <c r="F120" s="87"/>
      <c r="G120" s="89" t="e">
        <f>VLOOKUP(Area_Enhanced[[#This Row],[Condition]],Condition_LU[],2,FALSE)</f>
        <v>#N/A</v>
      </c>
      <c r="H120" s="165" t="str">
        <f>IF(ISBLANK(Area_Enhanced[[#This Row],[Pre Dev Parcel Number]]),"",VLOOKUP(Area_Enhanced[[#This Row],[Pre Dev Parcel Number]],Area_Pre_Development[[#Data],[#Totals]],7,FALSE))</f>
        <v/>
      </c>
      <c r="I120" s="87"/>
      <c r="J120" s="89" t="e">
        <f>VLOOKUP(Area_Enhanced[[#This Row],[Delivery Risk]],DeliveryRisk_LU[],2,FALSE)</f>
        <v>#N/A</v>
      </c>
      <c r="K120" s="87"/>
      <c r="L120" s="89">
        <f>VLOOKUP(Area_Enhanced[[#This Row],[Temporal Risk ]],TemporalRisk_LU[],2,FALSE)</f>
        <v>1</v>
      </c>
      <c r="M120" s="87"/>
      <c r="N120" s="89" t="e">
        <f>VLOOKUP(Area_Enhanced[[#This Row],[Spatial Risk]],SpatialRisk_LU[],2,FALSE)</f>
        <v>#N/A</v>
      </c>
      <c r="O120" s="120">
        <f>IF(Q120=1,NegEnhance,IF(Area_Enhanced[[#This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20" s="139">
        <f>IF(Area_Enhanced[[#This Row],[Biodiversity Units due to Enhancement]]=Incomplete_Habitat_Details,1,0)</f>
        <v>0</v>
      </c>
      <c r="Q120" s="164">
        <f>IF(Area_Enhanced[[#This Row],[Pre Dev Parcel Number]]=0,0,IF(((Area_Enhanced[[#This Row],[Distinctiveness Score]]*Area_Enhanced[[#This Row],[Condition Score]]*Area_Enhanced[[#This Row],[Area Enhanced (ha or m2)]])-Area_Enhanced[[#This Row],[Pre Dev 
Biodiversity Units]])&lt;0,1,0))</f>
        <v>0</v>
      </c>
    </row>
    <row r="121" spans="2:17" s="21" customFormat="1" ht="30">
      <c r="B121" s="97"/>
      <c r="C121" s="118" t="str">
        <f>IF(Area_Enhanced[[#This Row],[Pre Dev Parcel Number]]="","Insert Pre Dev Parcel 
Number in Column B",VLOOKUP(Area_Enhanced[[#This Row],[Pre Dev Parcel Number]],Area_Pre_Development[],8,FALSE))</f>
        <v>Insert Pre Dev Parcel 
Number in Column B</v>
      </c>
      <c r="D121" s="87"/>
      <c r="E121" s="89" t="e">
        <f>VLOOKUP(Area_Enhanced[[#This Row],[Distinctiveness]],Distinctiveness_LU[],2,FALSE)</f>
        <v>#N/A</v>
      </c>
      <c r="F121" s="87"/>
      <c r="G121" s="89" t="e">
        <f>VLOOKUP(Area_Enhanced[[#This Row],[Condition]],Condition_LU[],2,FALSE)</f>
        <v>#N/A</v>
      </c>
      <c r="H121" s="165" t="str">
        <f>IF(ISBLANK(Area_Enhanced[[#This Row],[Pre Dev Parcel Number]]),"",VLOOKUP(Area_Enhanced[[#This Row],[Pre Dev Parcel Number]],Area_Pre_Development[[#Data],[#Totals]],7,FALSE))</f>
        <v/>
      </c>
      <c r="I121" s="87"/>
      <c r="J121" s="89" t="e">
        <f>VLOOKUP(Area_Enhanced[[#This Row],[Delivery Risk]],DeliveryRisk_LU[],2,FALSE)</f>
        <v>#N/A</v>
      </c>
      <c r="K121" s="87"/>
      <c r="L121" s="89">
        <f>VLOOKUP(Area_Enhanced[[#This Row],[Temporal Risk ]],TemporalRisk_LU[],2,FALSE)</f>
        <v>1</v>
      </c>
      <c r="M121" s="87"/>
      <c r="N121" s="89" t="e">
        <f>VLOOKUP(Area_Enhanced[[#This Row],[Spatial Risk]],SpatialRisk_LU[],2,FALSE)</f>
        <v>#N/A</v>
      </c>
      <c r="O121" s="120">
        <f>IF(Q121=1,NegEnhance,IF(Area_Enhanced[[#This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21" s="139">
        <f>IF(Area_Enhanced[[#This Row],[Biodiversity Units due to Enhancement]]=Incomplete_Habitat_Details,1,0)</f>
        <v>0</v>
      </c>
      <c r="Q121" s="164">
        <f>IF(Area_Enhanced[[#This Row],[Pre Dev Parcel Number]]=0,0,IF(((Area_Enhanced[[#This Row],[Distinctiveness Score]]*Area_Enhanced[[#This Row],[Condition Score]]*Area_Enhanced[[#This Row],[Area Enhanced (ha or m2)]])-Area_Enhanced[[#This Row],[Pre Dev 
Biodiversity Units]])&lt;0,1,0))</f>
        <v>0</v>
      </c>
    </row>
    <row r="122" spans="2:17" s="21" customFormat="1" ht="30">
      <c r="B122" s="97"/>
      <c r="C122" s="118" t="str">
        <f>IF(Area_Enhanced[[#This Row],[Pre Dev Parcel Number]]="","Insert Pre Dev Parcel 
Number in Column B",VLOOKUP(Area_Enhanced[[#This Row],[Pre Dev Parcel Number]],Area_Pre_Development[],8,FALSE))</f>
        <v>Insert Pre Dev Parcel 
Number in Column B</v>
      </c>
      <c r="D122" s="87"/>
      <c r="E122" s="89" t="e">
        <f>VLOOKUP(Area_Enhanced[[#This Row],[Distinctiveness]],Distinctiveness_LU[],2,FALSE)</f>
        <v>#N/A</v>
      </c>
      <c r="F122" s="87"/>
      <c r="G122" s="89" t="e">
        <f>VLOOKUP(Area_Enhanced[[#This Row],[Condition]],Condition_LU[],2,FALSE)</f>
        <v>#N/A</v>
      </c>
      <c r="H122" s="165" t="str">
        <f>IF(ISBLANK(Area_Enhanced[[#This Row],[Pre Dev Parcel Number]]),"",VLOOKUP(Area_Enhanced[[#This Row],[Pre Dev Parcel Number]],Area_Pre_Development[[#Data],[#Totals]],7,FALSE))</f>
        <v/>
      </c>
      <c r="I122" s="87"/>
      <c r="J122" s="89" t="e">
        <f>VLOOKUP(Area_Enhanced[[#This Row],[Delivery Risk]],DeliveryRisk_LU[],2,FALSE)</f>
        <v>#N/A</v>
      </c>
      <c r="K122" s="87"/>
      <c r="L122" s="89">
        <f>VLOOKUP(Area_Enhanced[[#This Row],[Temporal Risk ]],TemporalRisk_LU[],2,FALSE)</f>
        <v>1</v>
      </c>
      <c r="M122" s="87"/>
      <c r="N122" s="89" t="e">
        <f>VLOOKUP(Area_Enhanced[[#This Row],[Spatial Risk]],SpatialRisk_LU[],2,FALSE)</f>
        <v>#N/A</v>
      </c>
      <c r="O122" s="120">
        <f>IF(Q122=1,NegEnhance,IF(Area_Enhanced[[#This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22" s="139">
        <f>IF(Area_Enhanced[[#This Row],[Biodiversity Units due to Enhancement]]=Incomplete_Habitat_Details,1,0)</f>
        <v>0</v>
      </c>
      <c r="Q122" s="164">
        <f>IF(Area_Enhanced[[#This Row],[Pre Dev Parcel Number]]=0,0,IF(((Area_Enhanced[[#This Row],[Distinctiveness Score]]*Area_Enhanced[[#This Row],[Condition Score]]*Area_Enhanced[[#This Row],[Area Enhanced (ha or m2)]])-Area_Enhanced[[#This Row],[Pre Dev 
Biodiversity Units]])&lt;0,1,0))</f>
        <v>0</v>
      </c>
    </row>
    <row r="123" spans="2:17" s="21" customFormat="1" ht="30.75" thickBot="1">
      <c r="B123" s="102"/>
      <c r="C123" s="119" t="str">
        <f>IF(Area_Enhanced[[#This Row],[Pre Dev Parcel Number]]="","Insert Pre Dev Parcel 
Number in Column B",VLOOKUP(Area_Enhanced[[#This Row],[Pre Dev Parcel Number]],Area_Pre_Development[],8,FALSE))</f>
        <v>Insert Pre Dev Parcel 
Number in Column B</v>
      </c>
      <c r="D123" s="104"/>
      <c r="E123" s="103" t="e">
        <f>VLOOKUP(Area_Enhanced[[#This Row],[Distinctiveness]],Distinctiveness_LU[],2,FALSE)</f>
        <v>#N/A</v>
      </c>
      <c r="F123" s="104"/>
      <c r="G123" s="103" t="e">
        <f>VLOOKUP(Area_Enhanced[[#This Row],[Condition]],Condition_LU[],2,FALSE)</f>
        <v>#N/A</v>
      </c>
      <c r="H123" s="165" t="str">
        <f>IF(ISBLANK(Area_Enhanced[[#This Row],[Pre Dev Parcel Number]]),"",VLOOKUP(Area_Enhanced[[#This Row],[Pre Dev Parcel Number]],Area_Pre_Development[[#Data],[#Totals]],7,FALSE))</f>
        <v/>
      </c>
      <c r="I123" s="104"/>
      <c r="J123" s="105" t="e">
        <f>VLOOKUP(Area_Enhanced[[#This Row],[Delivery Risk]],DeliveryRisk_LU[],2,FALSE)</f>
        <v>#N/A</v>
      </c>
      <c r="K123" s="104"/>
      <c r="L123" s="106">
        <f>VLOOKUP(Area_Enhanced[[#This Row],[Temporal Risk ]],TemporalRisk_LU[],2,FALSE)</f>
        <v>1</v>
      </c>
      <c r="M123" s="104"/>
      <c r="N123" s="105" t="e">
        <f>VLOOKUP(Area_Enhanced[[#This Row],[Spatial Risk]],SpatialRisk_LU[],2,FALSE)</f>
        <v>#N/A</v>
      </c>
      <c r="O123" s="120">
        <f>IF(Q123=1,NegEnhance,IF(Area_Enhanced[[#This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23" s="139">
        <f>IF(Area_Enhanced[[#This Row],[Biodiversity Units due to Enhancement]]=Incomplete_Habitat_Details,1,0)</f>
        <v>0</v>
      </c>
      <c r="Q123" s="164">
        <f>IF(Area_Enhanced[[#This Row],[Pre Dev Parcel Number]]=0,0,IF(((Area_Enhanced[[#This Row],[Distinctiveness Score]]*Area_Enhanced[[#This Row],[Condition Score]]*Area_Enhanced[[#This Row],[Area Enhanced (ha or m2)]])-Area_Enhanced[[#This Row],[Pre Dev 
Biodiversity Units]])&lt;0,1,0))</f>
        <v>0</v>
      </c>
    </row>
    <row r="124" spans="2:17" ht="15.75" thickBot="1">
      <c r="B124" s="115" t="s">
        <v>59</v>
      </c>
      <c r="C124" s="116">
        <f>SUBTOTAL(109,Area_Enhanced[Pre Dev 
Biodiversity Units])</f>
        <v>0</v>
      </c>
      <c r="D124" s="116"/>
      <c r="E124" s="116"/>
      <c r="F124" s="116"/>
      <c r="G124" s="116"/>
      <c r="H124" s="116"/>
      <c r="I124" s="116"/>
      <c r="J124" s="116"/>
      <c r="K124" s="116"/>
      <c r="L124" s="116"/>
      <c r="M124" s="116"/>
      <c r="N124" s="116"/>
      <c r="O124" s="163">
        <f>IF($P$124&gt;0,Errors_Corrected,IF(Q124&gt;0,NegEnhance, SUBTOTAL(9,Area_Enhanced[Biodiversity Units due to Enhancement])))</f>
        <v>0</v>
      </c>
      <c r="P124" s="139">
        <f>SUM(P99:P123)</f>
        <v>0</v>
      </c>
      <c r="Q124" s="164">
        <f>SUM(Q99:Q123)</f>
        <v>0</v>
      </c>
    </row>
    <row r="125" spans="2:17" ht="15.75" thickBot="1"/>
    <row r="126" spans="2:17" ht="26.25">
      <c r="B126" s="213" t="s">
        <v>76</v>
      </c>
      <c r="C126" s="214"/>
      <c r="D126" s="214"/>
      <c r="E126" s="214"/>
      <c r="F126" s="214"/>
      <c r="G126" s="214"/>
      <c r="H126" s="214"/>
      <c r="I126" s="215"/>
    </row>
    <row r="127" spans="2:17" ht="30.75" thickBot="1">
      <c r="B127" s="148" t="s">
        <v>77</v>
      </c>
      <c r="C127" s="148" t="s">
        <v>78</v>
      </c>
      <c r="D127" s="148" t="s">
        <v>79</v>
      </c>
      <c r="E127" s="149" t="s">
        <v>80</v>
      </c>
      <c r="F127" s="148" t="s">
        <v>81</v>
      </c>
      <c r="G127" s="149" t="s">
        <v>82</v>
      </c>
      <c r="H127" s="148" t="s">
        <v>83</v>
      </c>
      <c r="I127" s="148" t="s">
        <v>84</v>
      </c>
    </row>
    <row r="128" spans="2:17" ht="31.5" customHeight="1">
      <c r="B128" s="135">
        <f>Area_Pre_Development[[#Totals],[Biodiversity Units]]</f>
        <v>3291.3399999999997</v>
      </c>
      <c r="C128" s="136">
        <f>IF(Area_Loss[[#Totals],[Biodiversity Units]]&gt;Biodiversity_Units_Total[Pre Development Area 
Biodiversity Units],Loss_Exceeds_Pre_Error,Area_Loss[[#Totals],[Biodiversity Units]])</f>
        <v>1559.98</v>
      </c>
      <c r="D128" s="198">
        <f>Area_Created[[#Totals],[Biodiversity Units]]</f>
        <v>1652.8411999999998</v>
      </c>
      <c r="E128" s="137"/>
      <c r="F128" s="199">
        <f>Area_Enhanced[[#Totals],[Biodiversity Units due to Enhancement]]</f>
        <v>0</v>
      </c>
      <c r="G128" s="137"/>
      <c r="H128" s="198">
        <f>IF(OR(Biodiversity_Units_Total[Pre Development Area 
Biodiversity Units]=Errors_Corrected,Biodiversity_Units_Total[Area Based 
Units Lost]=Errors_Corrected,Biodiversity_Units_Total[Area Based Units
(Creation)]=Errors_Corrected,Biodiversity_Units_Total[Area Based Units 
(Enhancement)]=Errors_Corrected,Biodiversity_Units_Total[Area Based 
Units Lost]=Loss_Exceeds_Pre_Error,Biodiversity_Units_Total[Area Based Units 
(Enhancement)]=NegEnhance),Errors_Corrected,(Biodiversity_Units_Total[Pre Development Area 
Biodiversity Units]-Biodiversity_Units_Total[Area Based 
Units Lost])+Biodiversity_Units_Total[Area Based Units
(Creation)]+Biodiversity_Units_Total[Area Based Units 
(Enhancement)])</f>
        <v>3384.2011999999995</v>
      </c>
      <c r="I128" s="145">
        <f>Summary!E25</f>
        <v>1.02</v>
      </c>
    </row>
  </sheetData>
  <sheetProtection algorithmName="SHA-512" hashValue="ERNxOPLDK99vy6wI065j+/PK4oGIGB82QRDuqTmprqph4NJNp9OzMV6jXxF/YNQCN95N44ifl2GPo6NE/xK1cQ==" saltValue="465PsuhHAxql3YTFWZ0mrg==" spinCount="100000" sheet="1" objects="1" scenarios="1"/>
  <mergeCells count="7">
    <mergeCell ref="B126:I126"/>
    <mergeCell ref="B2:H4"/>
    <mergeCell ref="B6:I6"/>
    <mergeCell ref="B39:I39"/>
    <mergeCell ref="B68:O68"/>
    <mergeCell ref="B97:O97"/>
    <mergeCell ref="B10:I10"/>
  </mergeCells>
  <pageMargins left="0.7" right="0.7" top="0.75" bottom="0.75" header="0.3" footer="0.3"/>
  <pageSetup paperSize="9" orientation="portrait" r:id="rId1"/>
  <drawing r:id="rId2"/>
  <legacyDrawing r:id="rId3"/>
  <tableParts count="5">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Lookups!$G$2:$G$5</xm:f>
          </x14:formula1>
          <xm:sqref>I70:I94 I99:I123</xm:sqref>
        </x14:dataValidation>
        <x14:dataValidation type="list" allowBlank="1" showInputMessage="1" showErrorMessage="1" xr:uid="{00000000-0002-0000-0100-000001000000}">
          <x14:formula1>
            <xm:f>Lookups!$J$2:$J$11</xm:f>
          </x14:formula1>
          <xm:sqref>K70:K94 K99:K123</xm:sqref>
        </x14:dataValidation>
        <x14:dataValidation type="list" allowBlank="1" showInputMessage="1" showErrorMessage="1" xr:uid="{00000000-0002-0000-0100-000003000000}">
          <x14:formula1>
            <xm:f>Lookups!$A$2:$A$5</xm:f>
          </x14:formula1>
          <xm:sqref>D70:D94 D12:D36 D99:D123 D41:D65 D8</xm:sqref>
        </x14:dataValidation>
        <x14:dataValidation type="list" allowBlank="1" showInputMessage="1" showErrorMessage="1" xr:uid="{00000000-0002-0000-0100-000004000000}">
          <x14:formula1>
            <xm:f>Lookups!$D$2:$D$5</xm:f>
          </x14:formula1>
          <xm:sqref>F70:G94 F12:F36 F99:F123 F41:F65 F8</xm:sqref>
        </x14:dataValidation>
        <x14:dataValidation type="list" allowBlank="1" showInputMessage="1" showErrorMessage="1" xr:uid="{00000000-0002-0000-0100-000002000000}">
          <x14:formula1>
            <xm:f>Lookups!$M$2:$M$4</xm:f>
          </x14:formula1>
          <xm:sqref>M70:M94 M99:M123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D6864"/>
  </sheetPr>
  <dimension ref="B2:M97"/>
  <sheetViews>
    <sheetView showGridLines="0" topLeftCell="A7" zoomScale="60" zoomScaleNormal="60" workbookViewId="0">
      <selection activeCell="G8" sqref="G8"/>
    </sheetView>
  </sheetViews>
  <sheetFormatPr defaultColWidth="8.85546875" defaultRowHeight="15"/>
  <cols>
    <col min="1" max="1" width="8.7109375" customWidth="1"/>
    <col min="2" max="2" width="36.42578125" bestFit="1" customWidth="1"/>
    <col min="3" max="3" width="28.42578125" bestFit="1" customWidth="1"/>
    <col min="4" max="4" width="31.28515625" bestFit="1" customWidth="1"/>
    <col min="5" max="5" width="36.42578125" bestFit="1" customWidth="1"/>
    <col min="6" max="6" width="17.140625" hidden="1" customWidth="1"/>
    <col min="7" max="7" width="28.42578125" bestFit="1" customWidth="1"/>
    <col min="8" max="8" width="9" style="16" bestFit="1" customWidth="1"/>
    <col min="9" max="9" width="8.85546875" style="16"/>
  </cols>
  <sheetData>
    <row r="2" spans="2:13">
      <c r="B2" s="207" t="s">
        <v>35</v>
      </c>
      <c r="C2" s="207"/>
      <c r="D2" s="207"/>
      <c r="E2" s="134"/>
      <c r="F2" s="132"/>
      <c r="G2" s="134"/>
      <c r="H2" s="134"/>
      <c r="I2" s="134"/>
      <c r="J2" s="134"/>
      <c r="K2" s="134"/>
      <c r="L2" s="134"/>
      <c r="M2" s="134"/>
    </row>
    <row r="3" spans="2:13">
      <c r="B3" s="207"/>
      <c r="C3" s="207"/>
      <c r="D3" s="207"/>
      <c r="E3" s="134"/>
      <c r="F3" s="132"/>
      <c r="G3" s="134"/>
      <c r="H3" s="134"/>
      <c r="I3" s="134"/>
      <c r="J3" s="134"/>
      <c r="K3" s="134"/>
      <c r="L3" s="134"/>
      <c r="M3" s="134"/>
    </row>
    <row r="4" spans="2:13">
      <c r="B4" s="207"/>
      <c r="C4" s="207"/>
      <c r="D4" s="207"/>
      <c r="E4" s="134"/>
      <c r="F4" s="132"/>
      <c r="G4" s="134"/>
      <c r="H4" s="134"/>
      <c r="I4" s="134"/>
      <c r="J4" s="134"/>
      <c r="K4" s="134"/>
      <c r="L4" s="134"/>
      <c r="M4" s="134"/>
    </row>
    <row r="5" spans="2:13" ht="15.75" thickBot="1">
      <c r="B5" s="133"/>
      <c r="C5" s="133"/>
      <c r="D5" s="133"/>
      <c r="E5" s="133"/>
      <c r="F5" s="133"/>
      <c r="G5" s="133"/>
      <c r="H5" s="133"/>
      <c r="I5" s="133"/>
      <c r="J5" s="133"/>
      <c r="K5" s="133"/>
      <c r="L5" s="133"/>
      <c r="M5" s="133"/>
    </row>
    <row r="6" spans="2:13" ht="26.25">
      <c r="B6" s="222" t="s">
        <v>85</v>
      </c>
      <c r="C6" s="223"/>
      <c r="D6" s="223"/>
      <c r="E6" s="223"/>
      <c r="F6" s="223"/>
      <c r="G6" s="224"/>
    </row>
    <row r="7" spans="2:13">
      <c r="B7" s="73" t="s">
        <v>37</v>
      </c>
      <c r="C7" s="74" t="s">
        <v>61</v>
      </c>
      <c r="D7" s="74" t="s">
        <v>86</v>
      </c>
      <c r="E7" s="74" t="s">
        <v>41</v>
      </c>
      <c r="F7" s="74" t="s">
        <v>42</v>
      </c>
      <c r="G7" s="90" t="s">
        <v>44</v>
      </c>
    </row>
    <row r="8" spans="2:13">
      <c r="B8" s="91"/>
      <c r="C8" s="92"/>
      <c r="D8" s="92"/>
      <c r="E8" s="92"/>
      <c r="F8" s="18" t="str">
        <f>IF(Water_Pre[[#This Row],[Condition]]="","",(VLOOKUP(Water_Pre[[#This Row],[Condition]],Lookups!$D$2:$E$4,2,FALSE)))</f>
        <v/>
      </c>
      <c r="G8" s="124">
        <f>IF(AND(Water_Pre[[#This Row],[Parcel Number]]&lt;&gt;"",(OR(Water_Pre[[#This Row],[Habitat Type]]="",Water_Pre[[#This Row],[Length (m)]]="",Water_Pre[[#This Row],[Condition]]=""))),Incomplete_Habitat_Details,IF(Water_Pre[[#This Row],[Parcel Number]]="",0,Water_Pre[[#This Row],[Length (m)]]*Water_Pre[[#This Row],[Condition Score]]))</f>
        <v>0</v>
      </c>
      <c r="H8" s="141" t="str">
        <f>IF(Water_Pre[[#This Row],[Length (m)]]&gt;0,Water_Pre[[#This Row],[Condition Score]],"")</f>
        <v/>
      </c>
      <c r="I8" s="16">
        <f>IF(Water_Pre[[#This Row],[Biodiversity Units]]=Incomplete_Habitat_Details,1,0)</f>
        <v>0</v>
      </c>
    </row>
    <row r="9" spans="2:13">
      <c r="B9" s="76"/>
      <c r="C9" s="58"/>
      <c r="D9" s="58"/>
      <c r="E9" s="58"/>
      <c r="F9" s="19" t="str">
        <f>IF(Water_Pre[[#This Row],[Condition]]="","",(VLOOKUP(Water_Pre[[#This Row],[Condition]],Lookups!$D$2:$E$4,2,FALSE)))</f>
        <v/>
      </c>
      <c r="G9" s="122">
        <f>IF(AND(Water_Pre[[#This Row],[Parcel Number]]&lt;&gt;"",(OR(Water_Pre[[#This Row],[Habitat Type]]="",Water_Pre[[#This Row],[Length (m)]]="",Water_Pre[[#This Row],[Condition]]=""))),Incomplete_Habitat_Details,IF(Water_Pre[[#This Row],[Parcel Number]]="",0,Water_Pre[[#This Row],[Length (m)]]*Water_Pre[[#This Row],[Condition Score]]))</f>
        <v>0</v>
      </c>
      <c r="H9" s="141" t="str">
        <f>IF(Water_Pre[[#This Row],[Length (m)]]&gt;0,Water_Pre[[#This Row],[Condition Score]],"")</f>
        <v/>
      </c>
      <c r="I9" s="16">
        <f>IF(Water_Pre[[#This Row],[Biodiversity Units]]=Incomplete_Habitat_Details,1,0)</f>
        <v>0</v>
      </c>
    </row>
    <row r="10" spans="2:13">
      <c r="B10" s="76"/>
      <c r="C10" s="58"/>
      <c r="D10" s="58"/>
      <c r="E10" s="58"/>
      <c r="F10" s="19" t="str">
        <f>IF(Water_Pre[[#This Row],[Condition]]="","",(VLOOKUP(Water_Pre[[#This Row],[Condition]],Lookups!$D$2:$E$4,2,FALSE)))</f>
        <v/>
      </c>
      <c r="G10" s="122">
        <f>IF(AND(Water_Pre[[#This Row],[Parcel Number]]&lt;&gt;"",(OR(Water_Pre[[#This Row],[Habitat Type]]="",Water_Pre[[#This Row],[Length (m)]]="",Water_Pre[[#This Row],[Condition]]=""))),Incomplete_Habitat_Details,IF(Water_Pre[[#This Row],[Parcel Number]]="",0,Water_Pre[[#This Row],[Length (m)]]*Water_Pre[[#This Row],[Condition Score]]))</f>
        <v>0</v>
      </c>
      <c r="H10" s="141" t="str">
        <f>IF(Water_Pre[[#This Row],[Length (m)]]&gt;0,Water_Pre[[#This Row],[Condition Score]],"")</f>
        <v/>
      </c>
      <c r="I10" s="16">
        <f>IF(Water_Pre[[#This Row],[Biodiversity Units]]=Incomplete_Habitat_Details,1,0)</f>
        <v>0</v>
      </c>
    </row>
    <row r="11" spans="2:13">
      <c r="B11" s="76"/>
      <c r="C11" s="58"/>
      <c r="D11" s="58"/>
      <c r="E11" s="58"/>
      <c r="F11" s="19" t="str">
        <f>IF(Water_Pre[[#This Row],[Condition]]="","",(VLOOKUP(Water_Pre[[#This Row],[Condition]],Lookups!$D$2:$E$4,2,FALSE)))</f>
        <v/>
      </c>
      <c r="G11" s="122">
        <f>IF(AND(Water_Pre[[#This Row],[Parcel Number]]&lt;&gt;"",(OR(Water_Pre[[#This Row],[Habitat Type]]="",Water_Pre[[#This Row],[Length (m)]]="",Water_Pre[[#This Row],[Condition]]=""))),Incomplete_Habitat_Details,IF(Water_Pre[[#This Row],[Parcel Number]]="",0,Water_Pre[[#This Row],[Length (m)]]*Water_Pre[[#This Row],[Condition Score]]))</f>
        <v>0</v>
      </c>
      <c r="H11" s="141" t="str">
        <f>IF(Water_Pre[[#This Row],[Length (m)]]&gt;0,Water_Pre[[#This Row],[Condition Score]],"")</f>
        <v/>
      </c>
      <c r="I11" s="16">
        <f>IF(Water_Pre[[#This Row],[Biodiversity Units]]=Incomplete_Habitat_Details,1,0)</f>
        <v>0</v>
      </c>
    </row>
    <row r="12" spans="2:13">
      <c r="B12" s="76"/>
      <c r="C12" s="58"/>
      <c r="D12" s="58"/>
      <c r="E12" s="58"/>
      <c r="F12" s="19" t="str">
        <f>IF(Water_Pre[[#This Row],[Condition]]="","",(VLOOKUP(Water_Pre[[#This Row],[Condition]],Lookups!$D$2:$E$4,2,FALSE)))</f>
        <v/>
      </c>
      <c r="G12" s="122">
        <f>IF(AND(Water_Pre[[#This Row],[Parcel Number]]&lt;&gt;"",(OR(Water_Pre[[#This Row],[Habitat Type]]="",Water_Pre[[#This Row],[Length (m)]]="",Water_Pre[[#This Row],[Condition]]=""))),Incomplete_Habitat_Details,IF(Water_Pre[[#This Row],[Parcel Number]]="",0,Water_Pre[[#This Row],[Length (m)]]*Water_Pre[[#This Row],[Condition Score]]))</f>
        <v>0</v>
      </c>
      <c r="H12" s="141" t="str">
        <f>IF(Water_Pre[[#This Row],[Length (m)]]&gt;0,Water_Pre[[#This Row],[Condition Score]],"")</f>
        <v/>
      </c>
      <c r="I12" s="16">
        <f>IF(Water_Pre[[#This Row],[Biodiversity Units]]=Incomplete_Habitat_Details,1,0)</f>
        <v>0</v>
      </c>
    </row>
    <row r="13" spans="2:13">
      <c r="B13" s="76"/>
      <c r="C13" s="58"/>
      <c r="D13" s="58"/>
      <c r="E13" s="58"/>
      <c r="F13" s="19" t="str">
        <f>IF(Water_Pre[[#This Row],[Condition]]="","",(VLOOKUP(Water_Pre[[#This Row],[Condition]],Lookups!$D$2:$E$4,2,FALSE)))</f>
        <v/>
      </c>
      <c r="G13" s="122">
        <f>IF(AND(Water_Pre[[#This Row],[Parcel Number]]&lt;&gt;"",(OR(Water_Pre[[#This Row],[Habitat Type]]="",Water_Pre[[#This Row],[Length (m)]]="",Water_Pre[[#This Row],[Condition]]=""))),Incomplete_Habitat_Details,IF(Water_Pre[[#This Row],[Parcel Number]]="",0,Water_Pre[[#This Row],[Length (m)]]*Water_Pre[[#This Row],[Condition Score]]))</f>
        <v>0</v>
      </c>
      <c r="H13" s="141" t="str">
        <f>IF(Water_Pre[[#This Row],[Length (m)]]&gt;0,Water_Pre[[#This Row],[Condition Score]],"")</f>
        <v/>
      </c>
      <c r="I13" s="16">
        <f>IF(Water_Pre[[#This Row],[Biodiversity Units]]=Incomplete_Habitat_Details,1,0)</f>
        <v>0</v>
      </c>
    </row>
    <row r="14" spans="2:13">
      <c r="B14" s="76"/>
      <c r="C14" s="58"/>
      <c r="D14" s="58"/>
      <c r="E14" s="58"/>
      <c r="F14" s="19" t="str">
        <f>IF(Water_Pre[[#This Row],[Condition]]="","",(VLOOKUP(Water_Pre[[#This Row],[Condition]],Lookups!$D$2:$E$4,2,FALSE)))</f>
        <v/>
      </c>
      <c r="G14" s="122">
        <f>IF(AND(Water_Pre[[#This Row],[Parcel Number]]&lt;&gt;"",(OR(Water_Pre[[#This Row],[Habitat Type]]="",Water_Pre[[#This Row],[Length (m)]]="",Water_Pre[[#This Row],[Condition]]=""))),Incomplete_Habitat_Details,IF(Water_Pre[[#This Row],[Parcel Number]]="",0,Water_Pre[[#This Row],[Length (m)]]*Water_Pre[[#This Row],[Condition Score]]))</f>
        <v>0</v>
      </c>
      <c r="H14" s="141" t="str">
        <f>IF(Water_Pre[[#This Row],[Length (m)]]&gt;0,Water_Pre[[#This Row],[Condition Score]],"")</f>
        <v/>
      </c>
      <c r="I14" s="16">
        <f>IF(Water_Pre[[#This Row],[Biodiversity Units]]=Incomplete_Habitat_Details,1,0)</f>
        <v>0</v>
      </c>
    </row>
    <row r="15" spans="2:13">
      <c r="B15" s="76"/>
      <c r="C15" s="58"/>
      <c r="D15" s="58"/>
      <c r="E15" s="58"/>
      <c r="F15" s="19" t="str">
        <f>IF(Water_Pre[[#This Row],[Condition]]="","",(VLOOKUP(Water_Pre[[#This Row],[Condition]],Lookups!$D$2:$E$4,2,FALSE)))</f>
        <v/>
      </c>
      <c r="G15" s="122">
        <f>IF(AND(Water_Pre[[#This Row],[Parcel Number]]&lt;&gt;"",(OR(Water_Pre[[#This Row],[Habitat Type]]="",Water_Pre[[#This Row],[Length (m)]]="",Water_Pre[[#This Row],[Condition]]=""))),Incomplete_Habitat_Details,IF(Water_Pre[[#This Row],[Parcel Number]]="",0,Water_Pre[[#This Row],[Length (m)]]*Water_Pre[[#This Row],[Condition Score]]))</f>
        <v>0</v>
      </c>
      <c r="H15" s="141" t="str">
        <f>IF(Water_Pre[[#This Row],[Length (m)]]&gt;0,Water_Pre[[#This Row],[Condition Score]],"")</f>
        <v/>
      </c>
      <c r="I15" s="16">
        <f>IF(Water_Pre[[#This Row],[Biodiversity Units]]=Incomplete_Habitat_Details,1,0)</f>
        <v>0</v>
      </c>
    </row>
    <row r="16" spans="2:13">
      <c r="B16" s="76"/>
      <c r="C16" s="58"/>
      <c r="D16" s="58"/>
      <c r="E16" s="58"/>
      <c r="F16" s="19" t="str">
        <f>IF(Water_Pre[[#This Row],[Condition]]="","",(VLOOKUP(Water_Pre[[#This Row],[Condition]],Lookups!$D$2:$E$4,2,FALSE)))</f>
        <v/>
      </c>
      <c r="G16" s="122">
        <f>IF(AND(Water_Pre[[#This Row],[Parcel Number]]&lt;&gt;"",(OR(Water_Pre[[#This Row],[Habitat Type]]="",Water_Pre[[#This Row],[Length (m)]]="",Water_Pre[[#This Row],[Condition]]=""))),Incomplete_Habitat_Details,IF(Water_Pre[[#This Row],[Parcel Number]]="",0,Water_Pre[[#This Row],[Length (m)]]*Water_Pre[[#This Row],[Condition Score]]))</f>
        <v>0</v>
      </c>
      <c r="H16" s="141" t="str">
        <f>IF(Water_Pre[[#This Row],[Length (m)]]&gt;0,Water_Pre[[#This Row],[Condition Score]],"")</f>
        <v/>
      </c>
      <c r="I16" s="16">
        <f>IF(Water_Pre[[#This Row],[Biodiversity Units]]=Incomplete_Habitat_Details,1,0)</f>
        <v>0</v>
      </c>
    </row>
    <row r="17" spans="2:9">
      <c r="B17" s="76"/>
      <c r="C17" s="58"/>
      <c r="D17" s="58"/>
      <c r="E17" s="58"/>
      <c r="F17" s="19" t="str">
        <f>IF(Water_Pre[[#This Row],[Condition]]="","",(VLOOKUP(Water_Pre[[#This Row],[Condition]],Lookups!$D$2:$E$4,2,FALSE)))</f>
        <v/>
      </c>
      <c r="G17" s="122">
        <f>IF(AND(Water_Pre[[#This Row],[Parcel Number]]&lt;&gt;"",(OR(Water_Pre[[#This Row],[Habitat Type]]="",Water_Pre[[#This Row],[Length (m)]]="",Water_Pre[[#This Row],[Condition]]=""))),Incomplete_Habitat_Details,IF(Water_Pre[[#This Row],[Parcel Number]]="",0,Water_Pre[[#This Row],[Length (m)]]*Water_Pre[[#This Row],[Condition Score]]))</f>
        <v>0</v>
      </c>
      <c r="H17" s="141" t="str">
        <f>IF(Water_Pre[[#This Row],[Length (m)]]&gt;0,Water_Pre[[#This Row],[Condition Score]],"")</f>
        <v/>
      </c>
      <c r="I17" s="16">
        <f>IF(Water_Pre[[#This Row],[Biodiversity Units]]=Incomplete_Habitat_Details,1,0)</f>
        <v>0</v>
      </c>
    </row>
    <row r="18" spans="2:9">
      <c r="B18" s="76"/>
      <c r="C18" s="58"/>
      <c r="D18" s="58"/>
      <c r="E18" s="58"/>
      <c r="F18" s="19" t="str">
        <f>IF(Water_Pre[[#This Row],[Condition]]="","",(VLOOKUP(Water_Pre[[#This Row],[Condition]],Lookups!$D$2:$E$4,2,FALSE)))</f>
        <v/>
      </c>
      <c r="G18" s="122">
        <f>IF(AND(Water_Pre[[#This Row],[Parcel Number]]&lt;&gt;"",(OR(Water_Pre[[#This Row],[Habitat Type]]="",Water_Pre[[#This Row],[Length (m)]]="",Water_Pre[[#This Row],[Condition]]=""))),Incomplete_Habitat_Details,IF(Water_Pre[[#This Row],[Parcel Number]]="",0,Water_Pre[[#This Row],[Length (m)]]*Water_Pre[[#This Row],[Condition Score]]))</f>
        <v>0</v>
      </c>
      <c r="H18" s="141" t="str">
        <f>IF(Water_Pre[[#This Row],[Length (m)]]&gt;0,Water_Pre[[#This Row],[Condition Score]],"")</f>
        <v/>
      </c>
      <c r="I18" s="16">
        <f>IF(Water_Pre[[#This Row],[Biodiversity Units]]=Incomplete_Habitat_Details,1,0)</f>
        <v>0</v>
      </c>
    </row>
    <row r="19" spans="2:9">
      <c r="B19" s="76"/>
      <c r="C19" s="58"/>
      <c r="D19" s="58"/>
      <c r="E19" s="58"/>
      <c r="F19" s="19" t="str">
        <f>IF(Water_Pre[[#This Row],[Condition]]="","",(VLOOKUP(Water_Pre[[#This Row],[Condition]],Lookups!$D$2:$E$4,2,FALSE)))</f>
        <v/>
      </c>
      <c r="G19" s="122">
        <f>IF(AND(Water_Pre[[#This Row],[Parcel Number]]&lt;&gt;"",(OR(Water_Pre[[#This Row],[Habitat Type]]="",Water_Pre[[#This Row],[Length (m)]]="",Water_Pre[[#This Row],[Condition]]=""))),Incomplete_Habitat_Details,IF(Water_Pre[[#This Row],[Parcel Number]]="",0,Water_Pre[[#This Row],[Length (m)]]*Water_Pre[[#This Row],[Condition Score]]))</f>
        <v>0</v>
      </c>
      <c r="H19" s="141" t="str">
        <f>IF(Water_Pre[[#This Row],[Length (m)]]&gt;0,Water_Pre[[#This Row],[Condition Score]],"")</f>
        <v/>
      </c>
      <c r="I19" s="16">
        <f>IF(Water_Pre[[#This Row],[Biodiversity Units]]=Incomplete_Habitat_Details,1,0)</f>
        <v>0</v>
      </c>
    </row>
    <row r="20" spans="2:9">
      <c r="B20" s="76"/>
      <c r="C20" s="58"/>
      <c r="D20" s="58"/>
      <c r="E20" s="58"/>
      <c r="F20" s="19" t="str">
        <f>IF(Water_Pre[[#This Row],[Condition]]="","",(VLOOKUP(Water_Pre[[#This Row],[Condition]],Lookups!$D$2:$E$4,2,FALSE)))</f>
        <v/>
      </c>
      <c r="G20" s="122">
        <f>IF(AND(Water_Pre[[#This Row],[Parcel Number]]&lt;&gt;"",(OR(Water_Pre[[#This Row],[Habitat Type]]="",Water_Pre[[#This Row],[Length (m)]]="",Water_Pre[[#This Row],[Condition]]=""))),Incomplete_Habitat_Details,IF(Water_Pre[[#This Row],[Parcel Number]]="",0,Water_Pre[[#This Row],[Length (m)]]*Water_Pre[[#This Row],[Condition Score]]))</f>
        <v>0</v>
      </c>
      <c r="H20" s="141" t="str">
        <f>IF(Water_Pre[[#This Row],[Length (m)]]&gt;0,Water_Pre[[#This Row],[Condition Score]],"")</f>
        <v/>
      </c>
      <c r="I20" s="16">
        <f>IF(Water_Pre[[#This Row],[Biodiversity Units]]=Incomplete_Habitat_Details,1,0)</f>
        <v>0</v>
      </c>
    </row>
    <row r="21" spans="2:9">
      <c r="B21" s="76"/>
      <c r="C21" s="58"/>
      <c r="D21" s="58"/>
      <c r="E21" s="58"/>
      <c r="F21" s="19" t="str">
        <f>IF(Water_Pre[[#This Row],[Condition]]="","",(VLOOKUP(Water_Pre[[#This Row],[Condition]],Lookups!$D$2:$E$4,2,FALSE)))</f>
        <v/>
      </c>
      <c r="G21" s="122">
        <f>IF(AND(Water_Pre[[#This Row],[Parcel Number]]&lt;&gt;"",(OR(Water_Pre[[#This Row],[Habitat Type]]="",Water_Pre[[#This Row],[Length (m)]]="",Water_Pre[[#This Row],[Condition]]=""))),Incomplete_Habitat_Details,IF(Water_Pre[[#This Row],[Parcel Number]]="",0,Water_Pre[[#This Row],[Length (m)]]*Water_Pre[[#This Row],[Condition Score]]))</f>
        <v>0</v>
      </c>
      <c r="H21" s="141" t="str">
        <f>IF(Water_Pre[[#This Row],[Length (m)]]&gt;0,Water_Pre[[#This Row],[Condition Score]],"")</f>
        <v/>
      </c>
      <c r="I21" s="16">
        <f>IF(Water_Pre[[#This Row],[Biodiversity Units]]=Incomplete_Habitat_Details,1,0)</f>
        <v>0</v>
      </c>
    </row>
    <row r="22" spans="2:9">
      <c r="B22" s="76"/>
      <c r="C22" s="58"/>
      <c r="D22" s="58"/>
      <c r="E22" s="58"/>
      <c r="F22" s="19" t="str">
        <f>IF(Water_Pre[[#This Row],[Condition]]="","",(VLOOKUP(Water_Pre[[#This Row],[Condition]],Lookups!$D$2:$E$4,2,FALSE)))</f>
        <v/>
      </c>
      <c r="G22" s="122">
        <f>IF(AND(Water_Pre[[#This Row],[Parcel Number]]&lt;&gt;"",(OR(Water_Pre[[#This Row],[Habitat Type]]="",Water_Pre[[#This Row],[Length (m)]]="",Water_Pre[[#This Row],[Condition]]=""))),Incomplete_Habitat_Details,IF(Water_Pre[[#This Row],[Parcel Number]]="",0,Water_Pre[[#This Row],[Length (m)]]*Water_Pre[[#This Row],[Condition Score]]))</f>
        <v>0</v>
      </c>
      <c r="H22" s="141" t="str">
        <f>IF(Water_Pre[[#This Row],[Length (m)]]&gt;0,Water_Pre[[#This Row],[Condition Score]],"")</f>
        <v/>
      </c>
      <c r="I22" s="16">
        <f>IF(Water_Pre[[#This Row],[Biodiversity Units]]=Incomplete_Habitat_Details,1,0)</f>
        <v>0</v>
      </c>
    </row>
    <row r="23" spans="2:9">
      <c r="B23" s="76"/>
      <c r="C23" s="58"/>
      <c r="D23" s="58"/>
      <c r="E23" s="58"/>
      <c r="F23" s="19" t="str">
        <f>IF(Water_Pre[[#This Row],[Condition]]="","",(VLOOKUP(Water_Pre[[#This Row],[Condition]],Lookups!$D$2:$E$4,2,FALSE)))</f>
        <v/>
      </c>
      <c r="G23" s="122">
        <f>IF(AND(Water_Pre[[#This Row],[Parcel Number]]&lt;&gt;"",(OR(Water_Pre[[#This Row],[Habitat Type]]="",Water_Pre[[#This Row],[Length (m)]]="",Water_Pre[[#This Row],[Condition]]=""))),Incomplete_Habitat_Details,IF(Water_Pre[[#This Row],[Parcel Number]]="",0,Water_Pre[[#This Row],[Length (m)]]*Water_Pre[[#This Row],[Condition Score]]))</f>
        <v>0</v>
      </c>
      <c r="H23" s="141" t="str">
        <f>IF(Water_Pre[[#This Row],[Length (m)]]&gt;0,Water_Pre[[#This Row],[Condition Score]],"")</f>
        <v/>
      </c>
      <c r="I23" s="16">
        <f>IF(Water_Pre[[#This Row],[Biodiversity Units]]=Incomplete_Habitat_Details,1,0)</f>
        <v>0</v>
      </c>
    </row>
    <row r="24" spans="2:9">
      <c r="B24" s="76"/>
      <c r="C24" s="58"/>
      <c r="D24" s="58"/>
      <c r="E24" s="58"/>
      <c r="F24" s="19" t="str">
        <f>IF(Water_Pre[[#This Row],[Condition]]="","",(VLOOKUP(Water_Pre[[#This Row],[Condition]],Lookups!$D$2:$E$4,2,FALSE)))</f>
        <v/>
      </c>
      <c r="G24" s="122">
        <f>IF(AND(Water_Pre[[#This Row],[Parcel Number]]&lt;&gt;"",(OR(Water_Pre[[#This Row],[Habitat Type]]="",Water_Pre[[#This Row],[Length (m)]]="",Water_Pre[[#This Row],[Condition]]=""))),Incomplete_Habitat_Details,IF(Water_Pre[[#This Row],[Parcel Number]]="",0,Water_Pre[[#This Row],[Length (m)]]*Water_Pre[[#This Row],[Condition Score]]))</f>
        <v>0</v>
      </c>
      <c r="H24" s="141" t="str">
        <f>IF(Water_Pre[[#This Row],[Length (m)]]&gt;0,Water_Pre[[#This Row],[Condition Score]],"")</f>
        <v/>
      </c>
      <c r="I24" s="16">
        <f>IF(Water_Pre[[#This Row],[Biodiversity Units]]=Incomplete_Habitat_Details,1,0)</f>
        <v>0</v>
      </c>
    </row>
    <row r="25" spans="2:9">
      <c r="B25" s="76"/>
      <c r="C25" s="58"/>
      <c r="D25" s="58"/>
      <c r="E25" s="58"/>
      <c r="F25" s="19" t="str">
        <f>IF(Water_Pre[[#This Row],[Condition]]="","",(VLOOKUP(Water_Pre[[#This Row],[Condition]],Lookups!$D$2:$E$4,2,FALSE)))</f>
        <v/>
      </c>
      <c r="G25" s="122">
        <f>IF(AND(Water_Pre[[#This Row],[Parcel Number]]&lt;&gt;"",(OR(Water_Pre[[#This Row],[Habitat Type]]="",Water_Pre[[#This Row],[Length (m)]]="",Water_Pre[[#This Row],[Condition]]=""))),Incomplete_Habitat_Details,IF(Water_Pre[[#This Row],[Parcel Number]]="",0,Water_Pre[[#This Row],[Length (m)]]*Water_Pre[[#This Row],[Condition Score]]))</f>
        <v>0</v>
      </c>
      <c r="H25" s="141" t="str">
        <f>IF(Water_Pre[[#This Row],[Length (m)]]&gt;0,Water_Pre[[#This Row],[Condition Score]],"")</f>
        <v/>
      </c>
      <c r="I25" s="16">
        <f>IF(Water_Pre[[#This Row],[Biodiversity Units]]=Incomplete_Habitat_Details,1,0)</f>
        <v>0</v>
      </c>
    </row>
    <row r="26" spans="2:9">
      <c r="B26" s="76"/>
      <c r="C26" s="58"/>
      <c r="D26" s="58"/>
      <c r="E26" s="58"/>
      <c r="F26" s="19" t="str">
        <f>IF(Water_Pre[[#This Row],[Condition]]="","",(VLOOKUP(Water_Pre[[#This Row],[Condition]],Lookups!$D$2:$E$4,2,FALSE)))</f>
        <v/>
      </c>
      <c r="G26" s="122">
        <f>IF(AND(Water_Pre[[#This Row],[Parcel Number]]&lt;&gt;"",(OR(Water_Pre[[#This Row],[Habitat Type]]="",Water_Pre[[#This Row],[Length (m)]]="",Water_Pre[[#This Row],[Condition]]=""))),Incomplete_Habitat_Details,IF(Water_Pre[[#This Row],[Parcel Number]]="",0,Water_Pre[[#This Row],[Length (m)]]*Water_Pre[[#This Row],[Condition Score]]))</f>
        <v>0</v>
      </c>
      <c r="H26" s="141" t="str">
        <f>IF(Water_Pre[[#This Row],[Length (m)]]&gt;0,Water_Pre[[#This Row],[Condition Score]],"")</f>
        <v/>
      </c>
      <c r="I26" s="16">
        <f>IF(Water_Pre[[#This Row],[Biodiversity Units]]=Incomplete_Habitat_Details,1,0)</f>
        <v>0</v>
      </c>
    </row>
    <row r="27" spans="2:9">
      <c r="B27" s="76"/>
      <c r="C27" s="58"/>
      <c r="D27" s="58"/>
      <c r="E27" s="58"/>
      <c r="F27" s="19" t="str">
        <f>IF(Water_Pre[[#This Row],[Condition]]="","",(VLOOKUP(Water_Pre[[#This Row],[Condition]],Lookups!$D$2:$E$4,2,FALSE)))</f>
        <v/>
      </c>
      <c r="G27" s="122">
        <f>IF(AND(Water_Pre[[#This Row],[Parcel Number]]&lt;&gt;"",(OR(Water_Pre[[#This Row],[Habitat Type]]="",Water_Pre[[#This Row],[Length (m)]]="",Water_Pre[[#This Row],[Condition]]=""))),Incomplete_Habitat_Details,IF(Water_Pre[[#This Row],[Parcel Number]]="",0,Water_Pre[[#This Row],[Length (m)]]*Water_Pre[[#This Row],[Condition Score]]))</f>
        <v>0</v>
      </c>
      <c r="H27" s="141" t="str">
        <f>IF(Water_Pre[[#This Row],[Length (m)]]&gt;0,Water_Pre[[#This Row],[Condition Score]],"")</f>
        <v/>
      </c>
      <c r="I27" s="16">
        <f>IF(Water_Pre[[#This Row],[Biodiversity Units]]=Incomplete_Habitat_Details,1,0)</f>
        <v>0</v>
      </c>
    </row>
    <row r="28" spans="2:9">
      <c r="B28" s="76"/>
      <c r="C28" s="58"/>
      <c r="D28" s="58"/>
      <c r="E28" s="58"/>
      <c r="F28" s="19" t="str">
        <f>IF(Water_Pre[[#This Row],[Condition]]="","",(VLOOKUP(Water_Pre[[#This Row],[Condition]],Lookups!$D$2:$E$4,2,FALSE)))</f>
        <v/>
      </c>
      <c r="G28" s="122">
        <f>IF(AND(Water_Pre[[#This Row],[Parcel Number]]&lt;&gt;"",(OR(Water_Pre[[#This Row],[Habitat Type]]="",Water_Pre[[#This Row],[Length (m)]]="",Water_Pre[[#This Row],[Condition]]=""))),Incomplete_Habitat_Details,IF(Water_Pre[[#This Row],[Parcel Number]]="",0,Water_Pre[[#This Row],[Length (m)]]*Water_Pre[[#This Row],[Condition Score]]))</f>
        <v>0</v>
      </c>
      <c r="H28" s="141" t="str">
        <f>IF(Water_Pre[[#This Row],[Length (m)]]&gt;0,Water_Pre[[#This Row],[Condition Score]],"")</f>
        <v/>
      </c>
      <c r="I28" s="16">
        <f>IF(Water_Pre[[#This Row],[Biodiversity Units]]=Incomplete_Habitat_Details,1,0)</f>
        <v>0</v>
      </c>
    </row>
    <row r="29" spans="2:9">
      <c r="B29" s="76"/>
      <c r="C29" s="58"/>
      <c r="D29" s="58"/>
      <c r="E29" s="58"/>
      <c r="F29" s="19" t="str">
        <f>IF(Water_Pre[[#This Row],[Condition]]="","",(VLOOKUP(Water_Pre[[#This Row],[Condition]],Lookups!$D$2:$E$4,2,FALSE)))</f>
        <v/>
      </c>
      <c r="G29" s="122">
        <f>IF(AND(Water_Pre[[#This Row],[Parcel Number]]&lt;&gt;"",(OR(Water_Pre[[#This Row],[Habitat Type]]="",Water_Pre[[#This Row],[Length (m)]]="",Water_Pre[[#This Row],[Condition]]=""))),Incomplete_Habitat_Details,IF(Water_Pre[[#This Row],[Parcel Number]]="",0,Water_Pre[[#This Row],[Length (m)]]*Water_Pre[[#This Row],[Condition Score]]))</f>
        <v>0</v>
      </c>
      <c r="H29" s="141" t="str">
        <f>IF(Water_Pre[[#This Row],[Length (m)]]&gt;0,Water_Pre[[#This Row],[Condition Score]],"")</f>
        <v/>
      </c>
      <c r="I29" s="16">
        <f>IF(Water_Pre[[#This Row],[Biodiversity Units]]=Incomplete_Habitat_Details,1,0)</f>
        <v>0</v>
      </c>
    </row>
    <row r="30" spans="2:9">
      <c r="B30" s="76"/>
      <c r="C30" s="58"/>
      <c r="D30" s="58"/>
      <c r="E30" s="58"/>
      <c r="F30" s="19" t="str">
        <f>IF(Water_Pre[[#This Row],[Condition]]="","",(VLOOKUP(Water_Pre[[#This Row],[Condition]],Lookups!$D$2:$E$4,2,FALSE)))</f>
        <v/>
      </c>
      <c r="G30" s="122">
        <f>IF(AND(Water_Pre[[#This Row],[Parcel Number]]&lt;&gt;"",(OR(Water_Pre[[#This Row],[Habitat Type]]="",Water_Pre[[#This Row],[Length (m)]]="",Water_Pre[[#This Row],[Condition]]=""))),Incomplete_Habitat_Details,IF(Water_Pre[[#This Row],[Parcel Number]]="",0,Water_Pre[[#This Row],[Length (m)]]*Water_Pre[[#This Row],[Condition Score]]))</f>
        <v>0</v>
      </c>
      <c r="H30" s="141" t="str">
        <f>IF(Water_Pre[[#This Row],[Length (m)]]&gt;0,Water_Pre[[#This Row],[Condition Score]],"")</f>
        <v/>
      </c>
      <c r="I30" s="16">
        <f>IF(Water_Pre[[#This Row],[Biodiversity Units]]=Incomplete_Habitat_Details,1,0)</f>
        <v>0</v>
      </c>
    </row>
    <row r="31" spans="2:9">
      <c r="B31" s="76"/>
      <c r="C31" s="58"/>
      <c r="D31" s="58"/>
      <c r="E31" s="58"/>
      <c r="F31" s="19" t="str">
        <f>IF(Water_Pre[[#This Row],[Condition]]="","",(VLOOKUP(Water_Pre[[#This Row],[Condition]],Lookups!$D$2:$E$4,2,FALSE)))</f>
        <v/>
      </c>
      <c r="G31" s="122">
        <f>IF(AND(Water_Pre[[#This Row],[Parcel Number]]&lt;&gt;"",(OR(Water_Pre[[#This Row],[Habitat Type]]="",Water_Pre[[#This Row],[Length (m)]]="",Water_Pre[[#This Row],[Condition]]=""))),Incomplete_Habitat_Details,IF(Water_Pre[[#This Row],[Parcel Number]]="",0,Water_Pre[[#This Row],[Length (m)]]*Water_Pre[[#This Row],[Condition Score]]))</f>
        <v>0</v>
      </c>
      <c r="H31" s="141" t="str">
        <f>IF(Water_Pre[[#This Row],[Length (m)]]&gt;0,Water_Pre[[#This Row],[Condition Score]],"")</f>
        <v/>
      </c>
      <c r="I31" s="16">
        <f>IF(Water_Pre[[#This Row],[Biodiversity Units]]=Incomplete_Habitat_Details,1,0)</f>
        <v>0</v>
      </c>
    </row>
    <row r="32" spans="2:9" ht="15.75" thickBot="1">
      <c r="B32" s="93"/>
      <c r="C32" s="94"/>
      <c r="D32" s="94"/>
      <c r="E32" s="94"/>
      <c r="F32" s="29" t="str">
        <f>IF(Water_Pre[[#This Row],[Condition]]="","",(VLOOKUP(Water_Pre[[#This Row],[Condition]],Lookups!$D$2:$E$4,2,FALSE)))</f>
        <v/>
      </c>
      <c r="G32" s="125">
        <f>IF(AND(Water_Pre[[#This Row],[Parcel Number]]&lt;&gt;"",(OR(Water_Pre[[#This Row],[Habitat Type]]="",Water_Pre[[#This Row],[Length (m)]]="",Water_Pre[[#This Row],[Condition]]=""))),Incomplete_Habitat_Details,IF(Water_Pre[[#This Row],[Parcel Number]]="",0,Water_Pre[[#This Row],[Length (m)]]*Water_Pre[[#This Row],[Condition Score]]))</f>
        <v>0</v>
      </c>
      <c r="H32" s="141" t="str">
        <f>IF(Water_Pre[[#This Row],[Length (m)]]&gt;0,Water_Pre[[#This Row],[Condition Score]],"")</f>
        <v/>
      </c>
      <c r="I32" s="16">
        <f>IF(Water_Pre[[#This Row],[Biodiversity Units]]=Incomplete_Habitat_Details,1,0)</f>
        <v>0</v>
      </c>
    </row>
    <row r="33" spans="2:9" ht="15.75" thickBot="1">
      <c r="B33" s="115" t="s">
        <v>59</v>
      </c>
      <c r="C33" s="116"/>
      <c r="D33" s="116">
        <f>SUM(Water_Pre[Length (m)])</f>
        <v>0</v>
      </c>
      <c r="E33" s="116"/>
      <c r="F33" s="130">
        <f>SUBTOTAL(105,Water_Pre[Condition Score])</f>
        <v>0</v>
      </c>
      <c r="G33" s="114">
        <f>IF(I33&gt;0,Errors_Corrected,IF(Water_Pre[[#Totals],[Length (m)]]=0, 0, SUBTOTAL(9,Water_Pre[Biodiversity Units])))</f>
        <v>0</v>
      </c>
      <c r="H33" s="185"/>
      <c r="I33" s="16">
        <f>SUM(I8:I32)</f>
        <v>0</v>
      </c>
    </row>
    <row r="34" spans="2:9" ht="15.75" thickBot="1">
      <c r="B34" s="8"/>
      <c r="C34" s="8"/>
      <c r="D34" s="8"/>
      <c r="E34" s="8"/>
      <c r="F34" s="8"/>
      <c r="G34" s="8"/>
    </row>
    <row r="35" spans="2:9" ht="27" thickBot="1">
      <c r="B35" s="219" t="s">
        <v>87</v>
      </c>
      <c r="C35" s="220"/>
      <c r="D35" s="220"/>
      <c r="E35" s="220"/>
      <c r="F35" s="220"/>
      <c r="G35" s="221"/>
    </row>
    <row r="36" spans="2:9" ht="15.75" thickTop="1">
      <c r="B36" s="73" t="s">
        <v>37</v>
      </c>
      <c r="C36" s="74" t="s">
        <v>61</v>
      </c>
      <c r="D36" s="74" t="s">
        <v>86</v>
      </c>
      <c r="E36" s="74" t="s">
        <v>41</v>
      </c>
      <c r="F36" s="74" t="s">
        <v>42</v>
      </c>
      <c r="G36" s="90" t="s">
        <v>44</v>
      </c>
    </row>
    <row r="37" spans="2:9">
      <c r="B37" s="91"/>
      <c r="C37" s="92"/>
      <c r="D37" s="92"/>
      <c r="E37" s="92"/>
      <c r="F37" s="18" t="str">
        <f>IF(Water_Loss[[#This Row],[Condition]]="","",VLOOKUP(Water_Loss[[#This Row],[Condition]],Lookups!$D$2:$E$4,2,FALSE))</f>
        <v/>
      </c>
      <c r="G37" s="124">
        <f>IF(AND(Water_Loss[[#This Row],[Parcel Number]]&lt;&gt;"",(OR(Water_Loss[[#This Row],[Habitat Type]]="",Water_Loss[[#This Row],[Length (m)]]="",Water_Loss[[#This Row],[Condition]]=""))),Incomplete_Habitat_Details,IF(Water_Loss[[#This Row],[Parcel Number]]="",0,(Water_Loss[[#This Row],[Length (m)]]*Water_Loss[[#This Row],[Condition Score]])))</f>
        <v>0</v>
      </c>
      <c r="H37" s="141">
        <f>IF(Water_Loss[[#This Row],[Biodiversity Units]]=Incomplete_Habitat_Details,1,0)</f>
        <v>0</v>
      </c>
    </row>
    <row r="38" spans="2:9">
      <c r="B38" s="76"/>
      <c r="C38" s="58"/>
      <c r="D38" s="58"/>
      <c r="E38" s="58"/>
      <c r="F38" s="19" t="str">
        <f>IF(Water_Loss[[#This Row],[Condition]]="","",VLOOKUP(Water_Loss[[#This Row],[Condition]],Lookups!$D$2:$E$4,2,FALSE))</f>
        <v/>
      </c>
      <c r="G38" s="122">
        <f>IF(AND(Water_Loss[[#This Row],[Parcel Number]]&lt;&gt;"",(OR(Water_Loss[[#This Row],[Habitat Type]]="",Water_Loss[[#This Row],[Length (m)]]="",Water_Loss[[#This Row],[Condition]]=""))),Incomplete_Habitat_Details,IF(Water_Loss[[#This Row],[Parcel Number]]="",0,(Water_Loss[[#This Row],[Length (m)]]*Water_Loss[[#This Row],[Condition Score]])))</f>
        <v>0</v>
      </c>
      <c r="H38" s="141">
        <f>IF(Water_Loss[[#This Row],[Biodiversity Units]]=Incomplete_Habitat_Details,1,0)</f>
        <v>0</v>
      </c>
    </row>
    <row r="39" spans="2:9">
      <c r="B39" s="76"/>
      <c r="C39" s="58"/>
      <c r="D39" s="58"/>
      <c r="E39" s="58"/>
      <c r="F39" s="19" t="str">
        <f>IF(Water_Loss[[#This Row],[Condition]]="","",VLOOKUP(Water_Loss[[#This Row],[Condition]],Lookups!$D$2:$E$4,2,FALSE))</f>
        <v/>
      </c>
      <c r="G39" s="122">
        <f>IF(AND(Water_Loss[[#This Row],[Parcel Number]]&lt;&gt;"",(OR(Water_Loss[[#This Row],[Habitat Type]]="",Water_Loss[[#This Row],[Length (m)]]="",Water_Loss[[#This Row],[Condition]]=""))),Incomplete_Habitat_Details,IF(Water_Loss[[#This Row],[Parcel Number]]="",0,(Water_Loss[[#This Row],[Length (m)]]*Water_Loss[[#This Row],[Condition Score]])))</f>
        <v>0</v>
      </c>
      <c r="H39" s="141">
        <f>IF(Water_Loss[[#This Row],[Biodiversity Units]]=Incomplete_Habitat_Details,1,0)</f>
        <v>0</v>
      </c>
    </row>
    <row r="40" spans="2:9">
      <c r="B40" s="76"/>
      <c r="C40" s="58"/>
      <c r="D40" s="58"/>
      <c r="E40" s="58"/>
      <c r="F40" s="19" t="str">
        <f>IF(Water_Loss[[#This Row],[Condition]]="","",VLOOKUP(Water_Loss[[#This Row],[Condition]],Lookups!$D$2:$E$4,2,FALSE))</f>
        <v/>
      </c>
      <c r="G40" s="122">
        <f>IF(AND(Water_Loss[[#This Row],[Parcel Number]]&lt;&gt;"",(OR(Water_Loss[[#This Row],[Habitat Type]]="",Water_Loss[[#This Row],[Length (m)]]="",Water_Loss[[#This Row],[Condition]]=""))),Incomplete_Habitat_Details,IF(Water_Loss[[#This Row],[Parcel Number]]="",0,(Water_Loss[[#This Row],[Length (m)]]*Water_Loss[[#This Row],[Condition Score]])))</f>
        <v>0</v>
      </c>
      <c r="H40" s="141">
        <f>IF(Water_Loss[[#This Row],[Biodiversity Units]]=Incomplete_Habitat_Details,1,0)</f>
        <v>0</v>
      </c>
    </row>
    <row r="41" spans="2:9">
      <c r="B41" s="76"/>
      <c r="C41" s="58"/>
      <c r="D41" s="58"/>
      <c r="E41" s="58"/>
      <c r="F41" s="19" t="str">
        <f>IF(Water_Loss[[#This Row],[Condition]]="","",VLOOKUP(Water_Loss[[#This Row],[Condition]],Lookups!$D$2:$E$4,2,FALSE))</f>
        <v/>
      </c>
      <c r="G41" s="122">
        <f>IF(AND(Water_Loss[[#This Row],[Parcel Number]]&lt;&gt;"",(OR(Water_Loss[[#This Row],[Habitat Type]]="",Water_Loss[[#This Row],[Length (m)]]="",Water_Loss[[#This Row],[Condition]]=""))),Incomplete_Habitat_Details,IF(Water_Loss[[#This Row],[Parcel Number]]="",0,(Water_Loss[[#This Row],[Length (m)]]*Water_Loss[[#This Row],[Condition Score]])))</f>
        <v>0</v>
      </c>
      <c r="H41" s="141">
        <f>IF(Water_Loss[[#This Row],[Biodiversity Units]]=Incomplete_Habitat_Details,1,0)</f>
        <v>0</v>
      </c>
    </row>
    <row r="42" spans="2:9">
      <c r="B42" s="76"/>
      <c r="C42" s="58"/>
      <c r="D42" s="58"/>
      <c r="E42" s="58"/>
      <c r="F42" s="19" t="str">
        <f>IF(Water_Loss[[#This Row],[Condition]]="","",VLOOKUP(Water_Loss[[#This Row],[Condition]],Lookups!$D$2:$E$4,2,FALSE))</f>
        <v/>
      </c>
      <c r="G42" s="122">
        <f>IF(AND(Water_Loss[[#This Row],[Parcel Number]]&lt;&gt;"",(OR(Water_Loss[[#This Row],[Habitat Type]]="",Water_Loss[[#This Row],[Length (m)]]="",Water_Loss[[#This Row],[Condition]]=""))),Incomplete_Habitat_Details,IF(Water_Loss[[#This Row],[Parcel Number]]="",0,(Water_Loss[[#This Row],[Length (m)]]*Water_Loss[[#This Row],[Condition Score]])))</f>
        <v>0</v>
      </c>
      <c r="H42" s="141">
        <f>IF(Water_Loss[[#This Row],[Biodiversity Units]]=Incomplete_Habitat_Details,1,0)</f>
        <v>0</v>
      </c>
    </row>
    <row r="43" spans="2:9">
      <c r="B43" s="76"/>
      <c r="C43" s="58"/>
      <c r="D43" s="58"/>
      <c r="E43" s="58"/>
      <c r="F43" s="19" t="str">
        <f>IF(Water_Loss[[#This Row],[Condition]]="","",VLOOKUP(Water_Loss[[#This Row],[Condition]],Lookups!$D$2:$E$4,2,FALSE))</f>
        <v/>
      </c>
      <c r="G43" s="122">
        <f>IF(AND(Water_Loss[[#This Row],[Parcel Number]]&lt;&gt;"",(OR(Water_Loss[[#This Row],[Habitat Type]]="",Water_Loss[[#This Row],[Length (m)]]="",Water_Loss[[#This Row],[Condition]]=""))),Incomplete_Habitat_Details,IF(Water_Loss[[#This Row],[Parcel Number]]="",0,(Water_Loss[[#This Row],[Length (m)]]*Water_Loss[[#This Row],[Condition Score]])))</f>
        <v>0</v>
      </c>
      <c r="H43" s="141">
        <f>IF(Water_Loss[[#This Row],[Biodiversity Units]]=Incomplete_Habitat_Details,1,0)</f>
        <v>0</v>
      </c>
    </row>
    <row r="44" spans="2:9">
      <c r="B44" s="76"/>
      <c r="C44" s="58"/>
      <c r="D44" s="58"/>
      <c r="E44" s="58"/>
      <c r="F44" s="19" t="str">
        <f>IF(Water_Loss[[#This Row],[Condition]]="","",VLOOKUP(Water_Loss[[#This Row],[Condition]],Lookups!$D$2:$E$4,2,FALSE))</f>
        <v/>
      </c>
      <c r="G44" s="122">
        <f>IF(AND(Water_Loss[[#This Row],[Parcel Number]]&lt;&gt;"",(OR(Water_Loss[[#This Row],[Habitat Type]]="",Water_Loss[[#This Row],[Length (m)]]="",Water_Loss[[#This Row],[Condition]]=""))),Incomplete_Habitat_Details,IF(Water_Loss[[#This Row],[Parcel Number]]="",0,(Water_Loss[[#This Row],[Length (m)]]*Water_Loss[[#This Row],[Condition Score]])))</f>
        <v>0</v>
      </c>
      <c r="H44" s="141">
        <f>IF(Water_Loss[[#This Row],[Biodiversity Units]]=Incomplete_Habitat_Details,1,0)</f>
        <v>0</v>
      </c>
    </row>
    <row r="45" spans="2:9">
      <c r="B45" s="76"/>
      <c r="C45" s="58"/>
      <c r="D45" s="58"/>
      <c r="E45" s="58"/>
      <c r="F45" s="19" t="str">
        <f>IF(Water_Loss[[#This Row],[Condition]]="","",VLOOKUP(Water_Loss[[#This Row],[Condition]],Lookups!$D$2:$E$4,2,FALSE))</f>
        <v/>
      </c>
      <c r="G45" s="122">
        <f>IF(AND(Water_Loss[[#This Row],[Parcel Number]]&lt;&gt;"",(OR(Water_Loss[[#This Row],[Habitat Type]]="",Water_Loss[[#This Row],[Length (m)]]="",Water_Loss[[#This Row],[Condition]]=""))),Incomplete_Habitat_Details,IF(Water_Loss[[#This Row],[Parcel Number]]="",0,(Water_Loss[[#This Row],[Length (m)]]*Water_Loss[[#This Row],[Condition Score]])))</f>
        <v>0</v>
      </c>
      <c r="H45" s="141">
        <f>IF(Water_Loss[[#This Row],[Biodiversity Units]]=Incomplete_Habitat_Details,1,0)</f>
        <v>0</v>
      </c>
    </row>
    <row r="46" spans="2:9">
      <c r="B46" s="76"/>
      <c r="C46" s="58"/>
      <c r="D46" s="58"/>
      <c r="E46" s="58"/>
      <c r="F46" s="19" t="str">
        <f>IF(Water_Loss[[#This Row],[Condition]]="","",VLOOKUP(Water_Loss[[#This Row],[Condition]],Lookups!$D$2:$E$4,2,FALSE))</f>
        <v/>
      </c>
      <c r="G46" s="122">
        <f>IF(AND(Water_Loss[[#This Row],[Parcel Number]]&lt;&gt;"",(OR(Water_Loss[[#This Row],[Habitat Type]]="",Water_Loss[[#This Row],[Length (m)]]="",Water_Loss[[#This Row],[Condition]]=""))),Incomplete_Habitat_Details,IF(Water_Loss[[#This Row],[Parcel Number]]="",0,(Water_Loss[[#This Row],[Length (m)]]*Water_Loss[[#This Row],[Condition Score]])))</f>
        <v>0</v>
      </c>
      <c r="H46" s="141">
        <f>IF(Water_Loss[[#This Row],[Biodiversity Units]]=Incomplete_Habitat_Details,1,0)</f>
        <v>0</v>
      </c>
    </row>
    <row r="47" spans="2:9">
      <c r="B47" s="76"/>
      <c r="C47" s="58"/>
      <c r="D47" s="58"/>
      <c r="E47" s="58"/>
      <c r="F47" s="19" t="str">
        <f>IF(Water_Loss[[#This Row],[Condition]]="","",VLOOKUP(Water_Loss[[#This Row],[Condition]],Lookups!$D$2:$E$4,2,FALSE))</f>
        <v/>
      </c>
      <c r="G47" s="122">
        <f>IF(AND(Water_Loss[[#This Row],[Parcel Number]]&lt;&gt;"",(OR(Water_Loss[[#This Row],[Habitat Type]]="",Water_Loss[[#This Row],[Length (m)]]="",Water_Loss[[#This Row],[Condition]]=""))),Incomplete_Habitat_Details,IF(Water_Loss[[#This Row],[Parcel Number]]="",0,(Water_Loss[[#This Row],[Length (m)]]*Water_Loss[[#This Row],[Condition Score]])))</f>
        <v>0</v>
      </c>
      <c r="H47" s="141">
        <f>IF(Water_Loss[[#This Row],[Biodiversity Units]]=Incomplete_Habitat_Details,1,0)</f>
        <v>0</v>
      </c>
    </row>
    <row r="48" spans="2:9">
      <c r="B48" s="76"/>
      <c r="C48" s="58"/>
      <c r="D48" s="58"/>
      <c r="E48" s="58"/>
      <c r="F48" s="19" t="str">
        <f>IF(Water_Loss[[#This Row],[Condition]]="","",VLOOKUP(Water_Loss[[#This Row],[Condition]],Lookups!$D$2:$E$4,2,FALSE))</f>
        <v/>
      </c>
      <c r="G48" s="122">
        <f>IF(AND(Water_Loss[[#This Row],[Parcel Number]]&lt;&gt;"",(OR(Water_Loss[[#This Row],[Habitat Type]]="",Water_Loss[[#This Row],[Length (m)]]="",Water_Loss[[#This Row],[Condition]]=""))),Incomplete_Habitat_Details,IF(Water_Loss[[#This Row],[Parcel Number]]="",0,(Water_Loss[[#This Row],[Length (m)]]*Water_Loss[[#This Row],[Condition Score]])))</f>
        <v>0</v>
      </c>
      <c r="H48" s="141">
        <f>IF(Water_Loss[[#This Row],[Biodiversity Units]]=Incomplete_Habitat_Details,1,0)</f>
        <v>0</v>
      </c>
    </row>
    <row r="49" spans="2:8">
      <c r="B49" s="76"/>
      <c r="C49" s="58"/>
      <c r="D49" s="58"/>
      <c r="E49" s="58"/>
      <c r="F49" s="19" t="str">
        <f>IF(Water_Loss[[#This Row],[Condition]]="","",VLOOKUP(Water_Loss[[#This Row],[Condition]],Lookups!$D$2:$E$4,2,FALSE))</f>
        <v/>
      </c>
      <c r="G49" s="122">
        <f>IF(AND(Water_Loss[[#This Row],[Parcel Number]]&lt;&gt;"",(OR(Water_Loss[[#This Row],[Habitat Type]]="",Water_Loss[[#This Row],[Length (m)]]="",Water_Loss[[#This Row],[Condition]]=""))),Incomplete_Habitat_Details,IF(Water_Loss[[#This Row],[Parcel Number]]="",0,(Water_Loss[[#This Row],[Length (m)]]*Water_Loss[[#This Row],[Condition Score]])))</f>
        <v>0</v>
      </c>
      <c r="H49" s="141">
        <f>IF(Water_Loss[[#This Row],[Biodiversity Units]]=Incomplete_Habitat_Details,1,0)</f>
        <v>0</v>
      </c>
    </row>
    <row r="50" spans="2:8">
      <c r="B50" s="76"/>
      <c r="C50" s="58"/>
      <c r="D50" s="58"/>
      <c r="E50" s="58"/>
      <c r="F50" s="19" t="str">
        <f>IF(Water_Loss[[#This Row],[Condition]]="","",VLOOKUP(Water_Loss[[#This Row],[Condition]],Lookups!$D$2:$E$4,2,FALSE))</f>
        <v/>
      </c>
      <c r="G50" s="122">
        <f>IF(AND(Water_Loss[[#This Row],[Parcel Number]]&lt;&gt;"",(OR(Water_Loss[[#This Row],[Habitat Type]]="",Water_Loss[[#This Row],[Length (m)]]="",Water_Loss[[#This Row],[Condition]]=""))),Incomplete_Habitat_Details,IF(Water_Loss[[#This Row],[Parcel Number]]="",0,(Water_Loss[[#This Row],[Length (m)]]*Water_Loss[[#This Row],[Condition Score]])))</f>
        <v>0</v>
      </c>
      <c r="H50" s="141">
        <f>IF(Water_Loss[[#This Row],[Biodiversity Units]]=Incomplete_Habitat_Details,1,0)</f>
        <v>0</v>
      </c>
    </row>
    <row r="51" spans="2:8">
      <c r="B51" s="76"/>
      <c r="C51" s="58"/>
      <c r="D51" s="58"/>
      <c r="E51" s="58"/>
      <c r="F51" s="19" t="str">
        <f>IF(Water_Loss[[#This Row],[Condition]]="","",VLOOKUP(Water_Loss[[#This Row],[Condition]],Lookups!$D$2:$E$4,2,FALSE))</f>
        <v/>
      </c>
      <c r="G51" s="122">
        <f>IF(AND(Water_Loss[[#This Row],[Parcel Number]]&lt;&gt;"",(OR(Water_Loss[[#This Row],[Habitat Type]]="",Water_Loss[[#This Row],[Length (m)]]="",Water_Loss[[#This Row],[Condition]]=""))),Incomplete_Habitat_Details,IF(Water_Loss[[#This Row],[Parcel Number]]="",0,(Water_Loss[[#This Row],[Length (m)]]*Water_Loss[[#This Row],[Condition Score]])))</f>
        <v>0</v>
      </c>
      <c r="H51" s="141">
        <f>IF(Water_Loss[[#This Row],[Biodiversity Units]]=Incomplete_Habitat_Details,1,0)</f>
        <v>0</v>
      </c>
    </row>
    <row r="52" spans="2:8">
      <c r="B52" s="76"/>
      <c r="C52" s="58"/>
      <c r="D52" s="58"/>
      <c r="E52" s="58"/>
      <c r="F52" s="19" t="str">
        <f>IF(Water_Loss[[#This Row],[Condition]]="","",VLOOKUP(Water_Loss[[#This Row],[Condition]],Lookups!$D$2:$E$4,2,FALSE))</f>
        <v/>
      </c>
      <c r="G52" s="122">
        <f>IF(AND(Water_Loss[[#This Row],[Parcel Number]]&lt;&gt;"",(OR(Water_Loss[[#This Row],[Habitat Type]]="",Water_Loss[[#This Row],[Length (m)]]="",Water_Loss[[#This Row],[Condition]]=""))),Incomplete_Habitat_Details,IF(Water_Loss[[#This Row],[Parcel Number]]="",0,(Water_Loss[[#This Row],[Length (m)]]*Water_Loss[[#This Row],[Condition Score]])))</f>
        <v>0</v>
      </c>
      <c r="H52" s="141">
        <f>IF(Water_Loss[[#This Row],[Biodiversity Units]]=Incomplete_Habitat_Details,1,0)</f>
        <v>0</v>
      </c>
    </row>
    <row r="53" spans="2:8">
      <c r="B53" s="76"/>
      <c r="C53" s="58"/>
      <c r="D53" s="58"/>
      <c r="E53" s="58"/>
      <c r="F53" s="19" t="str">
        <f>IF(Water_Loss[[#This Row],[Condition]]="","",VLOOKUP(Water_Loss[[#This Row],[Condition]],Lookups!$D$2:$E$4,2,FALSE))</f>
        <v/>
      </c>
      <c r="G53" s="122">
        <f>IF(AND(Water_Loss[[#This Row],[Parcel Number]]&lt;&gt;"",(OR(Water_Loss[[#This Row],[Habitat Type]]="",Water_Loss[[#This Row],[Length (m)]]="",Water_Loss[[#This Row],[Condition]]=""))),Incomplete_Habitat_Details,IF(Water_Loss[[#This Row],[Parcel Number]]="",0,(Water_Loss[[#This Row],[Length (m)]]*Water_Loss[[#This Row],[Condition Score]])))</f>
        <v>0</v>
      </c>
      <c r="H53" s="141">
        <f>IF(Water_Loss[[#This Row],[Biodiversity Units]]=Incomplete_Habitat_Details,1,0)</f>
        <v>0</v>
      </c>
    </row>
    <row r="54" spans="2:8">
      <c r="B54" s="76"/>
      <c r="C54" s="58"/>
      <c r="D54" s="58"/>
      <c r="E54" s="58"/>
      <c r="F54" s="19" t="str">
        <f>IF(Water_Loss[[#This Row],[Condition]]="","",VLOOKUP(Water_Loss[[#This Row],[Condition]],Lookups!$D$2:$E$4,2,FALSE))</f>
        <v/>
      </c>
      <c r="G54" s="122">
        <f>IF(AND(Water_Loss[[#This Row],[Parcel Number]]&lt;&gt;"",(OR(Water_Loss[[#This Row],[Habitat Type]]="",Water_Loss[[#This Row],[Length (m)]]="",Water_Loss[[#This Row],[Condition]]=""))),Incomplete_Habitat_Details,IF(Water_Loss[[#This Row],[Parcel Number]]="",0,(Water_Loss[[#This Row],[Length (m)]]*Water_Loss[[#This Row],[Condition Score]])))</f>
        <v>0</v>
      </c>
      <c r="H54" s="141">
        <f>IF(Water_Loss[[#This Row],[Biodiversity Units]]=Incomplete_Habitat_Details,1,0)</f>
        <v>0</v>
      </c>
    </row>
    <row r="55" spans="2:8">
      <c r="B55" s="76"/>
      <c r="C55" s="58"/>
      <c r="D55" s="58"/>
      <c r="E55" s="58"/>
      <c r="F55" s="19" t="str">
        <f>IF(Water_Loss[[#This Row],[Condition]]="","",VLOOKUP(Water_Loss[[#This Row],[Condition]],Lookups!$D$2:$E$4,2,FALSE))</f>
        <v/>
      </c>
      <c r="G55" s="122">
        <f>IF(AND(Water_Loss[[#This Row],[Parcel Number]]&lt;&gt;"",(OR(Water_Loss[[#This Row],[Habitat Type]]="",Water_Loss[[#This Row],[Length (m)]]="",Water_Loss[[#This Row],[Condition]]=""))),Incomplete_Habitat_Details,IF(Water_Loss[[#This Row],[Parcel Number]]="",0,(Water_Loss[[#This Row],[Length (m)]]*Water_Loss[[#This Row],[Condition Score]])))</f>
        <v>0</v>
      </c>
      <c r="H55" s="141">
        <f>IF(Water_Loss[[#This Row],[Biodiversity Units]]=Incomplete_Habitat_Details,1,0)</f>
        <v>0</v>
      </c>
    </row>
    <row r="56" spans="2:8">
      <c r="B56" s="76"/>
      <c r="C56" s="58"/>
      <c r="D56" s="58"/>
      <c r="E56" s="58"/>
      <c r="F56" s="19" t="str">
        <f>IF(Water_Loss[[#This Row],[Condition]]="","",VLOOKUP(Water_Loss[[#This Row],[Condition]],Lookups!$D$2:$E$4,2,FALSE))</f>
        <v/>
      </c>
      <c r="G56" s="122">
        <f>IF(AND(Water_Loss[[#This Row],[Parcel Number]]&lt;&gt;"",(OR(Water_Loss[[#This Row],[Habitat Type]]="",Water_Loss[[#This Row],[Length (m)]]="",Water_Loss[[#This Row],[Condition]]=""))),Incomplete_Habitat_Details,IF(Water_Loss[[#This Row],[Parcel Number]]="",0,(Water_Loss[[#This Row],[Length (m)]]*Water_Loss[[#This Row],[Condition Score]])))</f>
        <v>0</v>
      </c>
      <c r="H56" s="141">
        <f>IF(Water_Loss[[#This Row],[Biodiversity Units]]=Incomplete_Habitat_Details,1,0)</f>
        <v>0</v>
      </c>
    </row>
    <row r="57" spans="2:8">
      <c r="B57" s="76"/>
      <c r="C57" s="58"/>
      <c r="D57" s="58"/>
      <c r="E57" s="58"/>
      <c r="F57" s="19" t="str">
        <f>IF(Water_Loss[[#This Row],[Condition]]="","",VLOOKUP(Water_Loss[[#This Row],[Condition]],Lookups!$D$2:$E$4,2,FALSE))</f>
        <v/>
      </c>
      <c r="G57" s="122">
        <f>IF(AND(Water_Loss[[#This Row],[Parcel Number]]&lt;&gt;"",(OR(Water_Loss[[#This Row],[Habitat Type]]="",Water_Loss[[#This Row],[Length (m)]]="",Water_Loss[[#This Row],[Condition]]=""))),Incomplete_Habitat_Details,IF(Water_Loss[[#This Row],[Parcel Number]]="",0,(Water_Loss[[#This Row],[Length (m)]]*Water_Loss[[#This Row],[Condition Score]])))</f>
        <v>0</v>
      </c>
      <c r="H57" s="141">
        <f>IF(Water_Loss[[#This Row],[Biodiversity Units]]=Incomplete_Habitat_Details,1,0)</f>
        <v>0</v>
      </c>
    </row>
    <row r="58" spans="2:8">
      <c r="B58" s="76"/>
      <c r="C58" s="58"/>
      <c r="D58" s="58"/>
      <c r="E58" s="58"/>
      <c r="F58" s="19" t="str">
        <f>IF(Water_Loss[[#This Row],[Condition]]="","",VLOOKUP(Water_Loss[[#This Row],[Condition]],Lookups!$D$2:$E$4,2,FALSE))</f>
        <v/>
      </c>
      <c r="G58" s="122">
        <f>IF(AND(Water_Loss[[#This Row],[Parcel Number]]&lt;&gt;"",(OR(Water_Loss[[#This Row],[Habitat Type]]="",Water_Loss[[#This Row],[Length (m)]]="",Water_Loss[[#This Row],[Condition]]=""))),Incomplete_Habitat_Details,IF(Water_Loss[[#This Row],[Parcel Number]]="",0,(Water_Loss[[#This Row],[Length (m)]]*Water_Loss[[#This Row],[Condition Score]])))</f>
        <v>0</v>
      </c>
      <c r="H58" s="141">
        <f>IF(Water_Loss[[#This Row],[Biodiversity Units]]=Incomplete_Habitat_Details,1,0)</f>
        <v>0</v>
      </c>
    </row>
    <row r="59" spans="2:8">
      <c r="B59" s="76"/>
      <c r="C59" s="58"/>
      <c r="D59" s="58"/>
      <c r="E59" s="58"/>
      <c r="F59" s="19" t="str">
        <f>IF(Water_Loss[[#This Row],[Condition]]="","",VLOOKUP(Water_Loss[[#This Row],[Condition]],Lookups!$D$2:$E$4,2,FALSE))</f>
        <v/>
      </c>
      <c r="G59" s="122">
        <f>IF(AND(Water_Loss[[#This Row],[Parcel Number]]&lt;&gt;"",(OR(Water_Loss[[#This Row],[Habitat Type]]="",Water_Loss[[#This Row],[Length (m)]]="",Water_Loss[[#This Row],[Condition]]=""))),Incomplete_Habitat_Details,IF(Water_Loss[[#This Row],[Parcel Number]]="",0,(Water_Loss[[#This Row],[Length (m)]]*Water_Loss[[#This Row],[Condition Score]])))</f>
        <v>0</v>
      </c>
      <c r="H59" s="141">
        <f>IF(Water_Loss[[#This Row],[Biodiversity Units]]=Incomplete_Habitat_Details,1,0)</f>
        <v>0</v>
      </c>
    </row>
    <row r="60" spans="2:8">
      <c r="B60" s="76"/>
      <c r="C60" s="58"/>
      <c r="D60" s="58"/>
      <c r="E60" s="58"/>
      <c r="F60" s="19" t="str">
        <f>IF(Water_Loss[[#This Row],[Condition]]="","",VLOOKUP(Water_Loss[[#This Row],[Condition]],Lookups!$D$2:$E$4,2,FALSE))</f>
        <v/>
      </c>
      <c r="G60" s="122">
        <f>IF(AND(Water_Loss[[#This Row],[Parcel Number]]&lt;&gt;"",(OR(Water_Loss[[#This Row],[Habitat Type]]="",Water_Loss[[#This Row],[Length (m)]]="",Water_Loss[[#This Row],[Condition]]=""))),Incomplete_Habitat_Details,IF(Water_Loss[[#This Row],[Parcel Number]]="",0,(Water_Loss[[#This Row],[Length (m)]]*Water_Loss[[#This Row],[Condition Score]])))</f>
        <v>0</v>
      </c>
      <c r="H60" s="141">
        <f>IF(Water_Loss[[#This Row],[Biodiversity Units]]=Incomplete_Habitat_Details,1,0)</f>
        <v>0</v>
      </c>
    </row>
    <row r="61" spans="2:8" ht="15.75" thickBot="1">
      <c r="B61" s="93"/>
      <c r="C61" s="94"/>
      <c r="D61" s="94"/>
      <c r="E61" s="94"/>
      <c r="F61" s="29" t="str">
        <f>IF(Water_Loss[[#This Row],[Condition]]="","",VLOOKUP(Water_Loss[[#This Row],[Condition]],Lookups!$D$2:$E$4,2,FALSE))</f>
        <v/>
      </c>
      <c r="G61" s="125">
        <f>IF(AND(Water_Loss[[#This Row],[Parcel Number]]&lt;&gt;"",(OR(Water_Loss[[#This Row],[Habitat Type]]="",Water_Loss[[#This Row],[Length (m)]]="",Water_Loss[[#This Row],[Condition]]=""))),Incomplete_Habitat_Details,IF(Water_Loss[[#This Row],[Parcel Number]]="",0,(Water_Loss[[#This Row],[Length (m)]]*Water_Loss[[#This Row],[Condition Score]])))</f>
        <v>0</v>
      </c>
      <c r="H61" s="141">
        <f>IF(Water_Loss[[#This Row],[Biodiversity Units]]=Incomplete_Habitat_Details,1,0)</f>
        <v>0</v>
      </c>
    </row>
    <row r="62" spans="2:8" ht="15.75" thickBot="1">
      <c r="B62" s="115" t="s">
        <v>59</v>
      </c>
      <c r="C62" s="116"/>
      <c r="D62" s="116">
        <f>SUM(Water_Loss[Length (m)])</f>
        <v>0</v>
      </c>
      <c r="E62" s="116"/>
      <c r="F62" s="131" t="e">
        <f>AVERAGE(Water_Loss[Condition Score])</f>
        <v>#DIV/0!</v>
      </c>
      <c r="G62" s="114">
        <f>IF(H62&gt;0,Errors_Corrected,IF((SUM(Water_Loss[[#Headers],[#Data],[Biodiversity Units]])&gt;Water_Pre[[#Totals],[Biodiversity Units]]),Loss_Exceeds_Pre_Error,SUM(Water_Loss[[#Headers],[#Data],[Biodiversity Units]])))</f>
        <v>0</v>
      </c>
      <c r="H62" s="141">
        <f>SUM(H37:H61)</f>
        <v>0</v>
      </c>
    </row>
    <row r="63" spans="2:8" ht="15.75" thickBot="1">
      <c r="B63" s="8"/>
      <c r="C63" s="8"/>
      <c r="D63" s="8"/>
      <c r="E63" s="8"/>
      <c r="F63" s="8"/>
      <c r="G63" s="8"/>
    </row>
    <row r="64" spans="2:8" ht="26.25">
      <c r="B64" s="222" t="s">
        <v>88</v>
      </c>
      <c r="C64" s="223"/>
      <c r="D64" s="223"/>
      <c r="E64" s="224"/>
      <c r="F64" s="8"/>
    </row>
    <row r="65" spans="2:7">
      <c r="B65" s="73" t="s">
        <v>37</v>
      </c>
      <c r="C65" s="74" t="s">
        <v>61</v>
      </c>
      <c r="D65" s="74" t="s">
        <v>86</v>
      </c>
      <c r="E65" s="90" t="s">
        <v>44</v>
      </c>
      <c r="F65" s="8"/>
      <c r="G65" s="8"/>
    </row>
    <row r="66" spans="2:7">
      <c r="B66" s="91"/>
      <c r="C66" s="92"/>
      <c r="D66" s="92"/>
      <c r="E66" s="124">
        <f>IF(AND(Water_Enhanced[[#This Row],[Parcel Number]]&lt;&gt;"",(OR(Water_Enhanced[[#This Row],[Parcel Number]]="",Water_Enhanced[[#This Row],[Habitat Type]]="",Water_Enhanced[[#This Row],[Length (m)]]=""))), Incomplete_Habitat_Details, IF(Water_Enhanced[[#This Row],[Parcel Number]]="",0, Water_Enhanced[Length (m)]))</f>
        <v>0</v>
      </c>
      <c r="F66" s="8"/>
      <c r="G66" s="140">
        <f>IF(Water_Enhanced[[#This Row],[Biodiversity Units]]=Incomplete_Habitat_Details,1,0)</f>
        <v>0</v>
      </c>
    </row>
    <row r="67" spans="2:7">
      <c r="B67" s="76"/>
      <c r="C67" s="58"/>
      <c r="D67" s="58"/>
      <c r="E67" s="122">
        <f>IF(AND(Water_Enhanced[[#This Row],[Parcel Number]]&lt;&gt;"",(OR(Water_Enhanced[[#This Row],[Parcel Number]]="",Water_Enhanced[[#This Row],[Habitat Type]]="",Water_Enhanced[[#This Row],[Length (m)]]=""))), Incomplete_Habitat_Details, IF(Water_Enhanced[[#This Row],[Parcel Number]]="",0, Water_Enhanced[Length (m)]))</f>
        <v>0</v>
      </c>
      <c r="F67" s="8"/>
      <c r="G67" s="140">
        <f>IF(Water_Enhanced[[#This Row],[Biodiversity Units]]=Incomplete_Habitat_Details,1,0)</f>
        <v>0</v>
      </c>
    </row>
    <row r="68" spans="2:7">
      <c r="B68" s="76"/>
      <c r="C68" s="58"/>
      <c r="D68" s="58"/>
      <c r="E68" s="122">
        <f>IF(AND(Water_Enhanced[[#This Row],[Parcel Number]]&lt;&gt;"",(OR(Water_Enhanced[[#This Row],[Parcel Number]]="",Water_Enhanced[[#This Row],[Habitat Type]]="",Water_Enhanced[[#This Row],[Length (m)]]=""))), Incomplete_Habitat_Details, IF(Water_Enhanced[[#This Row],[Parcel Number]]="",0, Water_Enhanced[Length (m)]))</f>
        <v>0</v>
      </c>
      <c r="F68" s="8"/>
      <c r="G68" s="140">
        <f>IF(Water_Enhanced[[#This Row],[Biodiversity Units]]=Incomplete_Habitat_Details,1,0)</f>
        <v>0</v>
      </c>
    </row>
    <row r="69" spans="2:7">
      <c r="B69" s="76"/>
      <c r="C69" s="58"/>
      <c r="D69" s="58"/>
      <c r="E69" s="122">
        <f>IF(AND(Water_Enhanced[[#This Row],[Parcel Number]]&lt;&gt;"",(OR(Water_Enhanced[[#This Row],[Parcel Number]]="",Water_Enhanced[[#This Row],[Habitat Type]]="",Water_Enhanced[[#This Row],[Length (m)]]=""))), Incomplete_Habitat_Details, IF(Water_Enhanced[[#This Row],[Parcel Number]]="",0, Water_Enhanced[Length (m)]))</f>
        <v>0</v>
      </c>
      <c r="F69" s="8"/>
      <c r="G69" s="140">
        <f>IF(Water_Enhanced[[#This Row],[Biodiversity Units]]=Incomplete_Habitat_Details,1,0)</f>
        <v>0</v>
      </c>
    </row>
    <row r="70" spans="2:7">
      <c r="B70" s="76"/>
      <c r="C70" s="58"/>
      <c r="D70" s="58"/>
      <c r="E70" s="122">
        <f>IF(AND(Water_Enhanced[[#This Row],[Parcel Number]]&lt;&gt;"",(OR(Water_Enhanced[[#This Row],[Parcel Number]]="",Water_Enhanced[[#This Row],[Habitat Type]]="",Water_Enhanced[[#This Row],[Length (m)]]=""))), Incomplete_Habitat_Details, IF(Water_Enhanced[[#This Row],[Parcel Number]]="",0, Water_Enhanced[Length (m)]))</f>
        <v>0</v>
      </c>
      <c r="F70" s="8"/>
      <c r="G70" s="140">
        <f>IF(Water_Enhanced[[#This Row],[Biodiversity Units]]=Incomplete_Habitat_Details,1,0)</f>
        <v>0</v>
      </c>
    </row>
    <row r="71" spans="2:7">
      <c r="B71" s="76"/>
      <c r="C71" s="58"/>
      <c r="D71" s="58"/>
      <c r="E71" s="122">
        <f>IF(AND(Water_Enhanced[[#This Row],[Parcel Number]]&lt;&gt;"",(OR(Water_Enhanced[[#This Row],[Parcel Number]]="",Water_Enhanced[[#This Row],[Habitat Type]]="",Water_Enhanced[[#This Row],[Length (m)]]=""))), Incomplete_Habitat_Details, IF(Water_Enhanced[[#This Row],[Parcel Number]]="",0, Water_Enhanced[Length (m)]))</f>
        <v>0</v>
      </c>
      <c r="F71" s="8"/>
      <c r="G71" s="140">
        <f>IF(Water_Enhanced[[#This Row],[Biodiversity Units]]=Incomplete_Habitat_Details,1,0)</f>
        <v>0</v>
      </c>
    </row>
    <row r="72" spans="2:7">
      <c r="B72" s="76"/>
      <c r="C72" s="58"/>
      <c r="D72" s="58"/>
      <c r="E72" s="122">
        <f>IF(AND(Water_Enhanced[[#This Row],[Parcel Number]]&lt;&gt;"",(OR(Water_Enhanced[[#This Row],[Parcel Number]]="",Water_Enhanced[[#This Row],[Habitat Type]]="",Water_Enhanced[[#This Row],[Length (m)]]=""))), Incomplete_Habitat_Details, IF(Water_Enhanced[[#This Row],[Parcel Number]]="",0, Water_Enhanced[Length (m)]))</f>
        <v>0</v>
      </c>
      <c r="F72" s="8"/>
      <c r="G72" s="140">
        <f>IF(Water_Enhanced[[#This Row],[Biodiversity Units]]=Incomplete_Habitat_Details,1,0)</f>
        <v>0</v>
      </c>
    </row>
    <row r="73" spans="2:7">
      <c r="B73" s="76"/>
      <c r="C73" s="58"/>
      <c r="D73" s="58"/>
      <c r="E73" s="122">
        <f>IF(AND(Water_Enhanced[[#This Row],[Parcel Number]]&lt;&gt;"",(OR(Water_Enhanced[[#This Row],[Parcel Number]]="",Water_Enhanced[[#This Row],[Habitat Type]]="",Water_Enhanced[[#This Row],[Length (m)]]=""))), Incomplete_Habitat_Details, IF(Water_Enhanced[[#This Row],[Parcel Number]]="",0, Water_Enhanced[Length (m)]))</f>
        <v>0</v>
      </c>
      <c r="F73" s="8"/>
      <c r="G73" s="140">
        <f>IF(Water_Enhanced[[#This Row],[Biodiversity Units]]=Incomplete_Habitat_Details,1,0)</f>
        <v>0</v>
      </c>
    </row>
    <row r="74" spans="2:7">
      <c r="B74" s="76"/>
      <c r="C74" s="58"/>
      <c r="D74" s="58"/>
      <c r="E74" s="122">
        <f>IF(AND(Water_Enhanced[[#This Row],[Parcel Number]]&lt;&gt;"",(OR(Water_Enhanced[[#This Row],[Parcel Number]]="",Water_Enhanced[[#This Row],[Habitat Type]]="",Water_Enhanced[[#This Row],[Length (m)]]=""))), Incomplete_Habitat_Details, IF(Water_Enhanced[[#This Row],[Parcel Number]]="",0, Water_Enhanced[Length (m)]))</f>
        <v>0</v>
      </c>
      <c r="F74" s="8"/>
      <c r="G74" s="140">
        <f>IF(Water_Enhanced[[#This Row],[Biodiversity Units]]=Incomplete_Habitat_Details,1,0)</f>
        <v>0</v>
      </c>
    </row>
    <row r="75" spans="2:7">
      <c r="B75" s="76"/>
      <c r="C75" s="58"/>
      <c r="D75" s="58"/>
      <c r="E75" s="122">
        <f>IF(AND(Water_Enhanced[[#This Row],[Parcel Number]]&lt;&gt;"",(OR(Water_Enhanced[[#This Row],[Parcel Number]]="",Water_Enhanced[[#This Row],[Habitat Type]]="",Water_Enhanced[[#This Row],[Length (m)]]=""))), Incomplete_Habitat_Details, IF(Water_Enhanced[[#This Row],[Parcel Number]]="",0, Water_Enhanced[Length (m)]))</f>
        <v>0</v>
      </c>
      <c r="F75" s="8"/>
      <c r="G75" s="140">
        <f>IF(Water_Enhanced[[#This Row],[Biodiversity Units]]=Incomplete_Habitat_Details,1,0)</f>
        <v>0</v>
      </c>
    </row>
    <row r="76" spans="2:7">
      <c r="B76" s="76"/>
      <c r="C76" s="58"/>
      <c r="D76" s="58"/>
      <c r="E76" s="122">
        <f>IF(AND(Water_Enhanced[[#This Row],[Parcel Number]]&lt;&gt;"",(OR(Water_Enhanced[[#This Row],[Parcel Number]]="",Water_Enhanced[[#This Row],[Habitat Type]]="",Water_Enhanced[[#This Row],[Length (m)]]=""))), Incomplete_Habitat_Details, IF(Water_Enhanced[[#This Row],[Parcel Number]]="",0, Water_Enhanced[Length (m)]))</f>
        <v>0</v>
      </c>
      <c r="F76" s="8"/>
      <c r="G76" s="140">
        <f>IF(Water_Enhanced[[#This Row],[Biodiversity Units]]=Incomplete_Habitat_Details,1,0)</f>
        <v>0</v>
      </c>
    </row>
    <row r="77" spans="2:7">
      <c r="B77" s="76"/>
      <c r="C77" s="58"/>
      <c r="D77" s="58"/>
      <c r="E77" s="122">
        <f>IF(AND(Water_Enhanced[[#This Row],[Parcel Number]]&lt;&gt;"",(OR(Water_Enhanced[[#This Row],[Parcel Number]]="",Water_Enhanced[[#This Row],[Habitat Type]]="",Water_Enhanced[[#This Row],[Length (m)]]=""))), Incomplete_Habitat_Details, IF(Water_Enhanced[[#This Row],[Parcel Number]]="",0, Water_Enhanced[Length (m)]))</f>
        <v>0</v>
      </c>
      <c r="F77" s="8"/>
      <c r="G77" s="140">
        <f>IF(Water_Enhanced[[#This Row],[Biodiversity Units]]=Incomplete_Habitat_Details,1,0)</f>
        <v>0</v>
      </c>
    </row>
    <row r="78" spans="2:7">
      <c r="B78" s="76"/>
      <c r="C78" s="58"/>
      <c r="D78" s="58"/>
      <c r="E78" s="122">
        <f>IF(AND(Water_Enhanced[[#This Row],[Parcel Number]]&lt;&gt;"",(OR(Water_Enhanced[[#This Row],[Parcel Number]]="",Water_Enhanced[[#This Row],[Habitat Type]]="",Water_Enhanced[[#This Row],[Length (m)]]=""))), Incomplete_Habitat_Details, IF(Water_Enhanced[[#This Row],[Parcel Number]]="",0, Water_Enhanced[Length (m)]))</f>
        <v>0</v>
      </c>
      <c r="F78" s="8"/>
      <c r="G78" s="140">
        <f>IF(Water_Enhanced[[#This Row],[Biodiversity Units]]=Incomplete_Habitat_Details,1,0)</f>
        <v>0</v>
      </c>
    </row>
    <row r="79" spans="2:7">
      <c r="B79" s="76"/>
      <c r="C79" s="58"/>
      <c r="D79" s="58"/>
      <c r="E79" s="122">
        <f>IF(AND(Water_Enhanced[[#This Row],[Parcel Number]]&lt;&gt;"",(OR(Water_Enhanced[[#This Row],[Parcel Number]]="",Water_Enhanced[[#This Row],[Habitat Type]]="",Water_Enhanced[[#This Row],[Length (m)]]=""))), Incomplete_Habitat_Details, IF(Water_Enhanced[[#This Row],[Parcel Number]]="",0, Water_Enhanced[Length (m)]))</f>
        <v>0</v>
      </c>
      <c r="F79" s="8"/>
      <c r="G79" s="140">
        <f>IF(Water_Enhanced[[#This Row],[Biodiversity Units]]=Incomplete_Habitat_Details,1,0)</f>
        <v>0</v>
      </c>
    </row>
    <row r="80" spans="2:7">
      <c r="B80" s="76"/>
      <c r="C80" s="58"/>
      <c r="D80" s="58"/>
      <c r="E80" s="122">
        <f>IF(AND(Water_Enhanced[[#This Row],[Parcel Number]]&lt;&gt;"",(OR(Water_Enhanced[[#This Row],[Parcel Number]]="",Water_Enhanced[[#This Row],[Habitat Type]]="",Water_Enhanced[[#This Row],[Length (m)]]=""))), Incomplete_Habitat_Details, IF(Water_Enhanced[[#This Row],[Parcel Number]]="",0, Water_Enhanced[Length (m)]))</f>
        <v>0</v>
      </c>
      <c r="F80" s="8"/>
      <c r="G80" s="140">
        <f>IF(Water_Enhanced[[#This Row],[Biodiversity Units]]=Incomplete_Habitat_Details,1,0)</f>
        <v>0</v>
      </c>
    </row>
    <row r="81" spans="2:11">
      <c r="B81" s="76"/>
      <c r="C81" s="58"/>
      <c r="D81" s="58"/>
      <c r="E81" s="122">
        <f>IF(AND(Water_Enhanced[[#This Row],[Parcel Number]]&lt;&gt;"",(OR(Water_Enhanced[[#This Row],[Parcel Number]]="",Water_Enhanced[[#This Row],[Habitat Type]]="",Water_Enhanced[[#This Row],[Length (m)]]=""))), Incomplete_Habitat_Details, IF(Water_Enhanced[[#This Row],[Parcel Number]]="",0, Water_Enhanced[Length (m)]))</f>
        <v>0</v>
      </c>
      <c r="F81" s="8"/>
      <c r="G81" s="140">
        <f>IF(Water_Enhanced[[#This Row],[Biodiversity Units]]=Incomplete_Habitat_Details,1,0)</f>
        <v>0</v>
      </c>
    </row>
    <row r="82" spans="2:11">
      <c r="B82" s="76"/>
      <c r="C82" s="58"/>
      <c r="D82" s="58"/>
      <c r="E82" s="122">
        <f>IF(AND(Water_Enhanced[[#This Row],[Parcel Number]]&lt;&gt;"",(OR(Water_Enhanced[[#This Row],[Parcel Number]]="",Water_Enhanced[[#This Row],[Habitat Type]]="",Water_Enhanced[[#This Row],[Length (m)]]=""))), Incomplete_Habitat_Details, IF(Water_Enhanced[[#This Row],[Parcel Number]]="",0, Water_Enhanced[Length (m)]))</f>
        <v>0</v>
      </c>
      <c r="F82" s="8"/>
      <c r="G82" s="140">
        <f>IF(Water_Enhanced[[#This Row],[Biodiversity Units]]=Incomplete_Habitat_Details,1,0)</f>
        <v>0</v>
      </c>
    </row>
    <row r="83" spans="2:11">
      <c r="B83" s="76"/>
      <c r="C83" s="58"/>
      <c r="D83" s="58"/>
      <c r="E83" s="122">
        <f>IF(AND(Water_Enhanced[[#This Row],[Parcel Number]]&lt;&gt;"",(OR(Water_Enhanced[[#This Row],[Parcel Number]]="",Water_Enhanced[[#This Row],[Habitat Type]]="",Water_Enhanced[[#This Row],[Length (m)]]=""))), Incomplete_Habitat_Details, IF(Water_Enhanced[[#This Row],[Parcel Number]]="",0, Water_Enhanced[Length (m)]))</f>
        <v>0</v>
      </c>
      <c r="F83" s="8"/>
      <c r="G83" s="140">
        <f>IF(Water_Enhanced[[#This Row],[Biodiversity Units]]=Incomplete_Habitat_Details,1,0)</f>
        <v>0</v>
      </c>
    </row>
    <row r="84" spans="2:11">
      <c r="B84" s="76"/>
      <c r="C84" s="58"/>
      <c r="D84" s="58"/>
      <c r="E84" s="122">
        <f>IF(AND(Water_Enhanced[[#This Row],[Parcel Number]]&lt;&gt;"",(OR(Water_Enhanced[[#This Row],[Parcel Number]]="",Water_Enhanced[[#This Row],[Habitat Type]]="",Water_Enhanced[[#This Row],[Length (m)]]=""))), Incomplete_Habitat_Details, IF(Water_Enhanced[[#This Row],[Parcel Number]]="",0, Water_Enhanced[Length (m)]))</f>
        <v>0</v>
      </c>
      <c r="F84" s="8"/>
      <c r="G84" s="140">
        <f>IF(Water_Enhanced[[#This Row],[Biodiversity Units]]=Incomplete_Habitat_Details,1,0)</f>
        <v>0</v>
      </c>
    </row>
    <row r="85" spans="2:11">
      <c r="B85" s="76"/>
      <c r="C85" s="58"/>
      <c r="D85" s="58"/>
      <c r="E85" s="122">
        <f>IF(AND(Water_Enhanced[[#This Row],[Parcel Number]]&lt;&gt;"",(OR(Water_Enhanced[[#This Row],[Parcel Number]]="",Water_Enhanced[[#This Row],[Habitat Type]]="",Water_Enhanced[[#This Row],[Length (m)]]=""))), Incomplete_Habitat_Details, IF(Water_Enhanced[[#This Row],[Parcel Number]]="",0, Water_Enhanced[Length (m)]))</f>
        <v>0</v>
      </c>
      <c r="F85" s="8"/>
      <c r="G85" s="140">
        <f>IF(Water_Enhanced[[#This Row],[Biodiversity Units]]=Incomplete_Habitat_Details,1,0)</f>
        <v>0</v>
      </c>
    </row>
    <row r="86" spans="2:11">
      <c r="B86" s="76"/>
      <c r="C86" s="58"/>
      <c r="D86" s="58"/>
      <c r="E86" s="122">
        <f>IF(AND(Water_Enhanced[[#This Row],[Parcel Number]]&lt;&gt;"",(OR(Water_Enhanced[[#This Row],[Parcel Number]]="",Water_Enhanced[[#This Row],[Habitat Type]]="",Water_Enhanced[[#This Row],[Length (m)]]=""))), Incomplete_Habitat_Details, IF(Water_Enhanced[[#This Row],[Parcel Number]]="",0, Water_Enhanced[Length (m)]))</f>
        <v>0</v>
      </c>
      <c r="F86" s="8"/>
      <c r="G86" s="140">
        <f>IF(Water_Enhanced[[#This Row],[Biodiversity Units]]=Incomplete_Habitat_Details,1,0)</f>
        <v>0</v>
      </c>
    </row>
    <row r="87" spans="2:11">
      <c r="B87" s="76"/>
      <c r="C87" s="58"/>
      <c r="D87" s="58"/>
      <c r="E87" s="122">
        <f>IF(AND(Water_Enhanced[[#This Row],[Parcel Number]]&lt;&gt;"",(OR(Water_Enhanced[[#This Row],[Parcel Number]]="",Water_Enhanced[[#This Row],[Habitat Type]]="",Water_Enhanced[[#This Row],[Length (m)]]=""))), Incomplete_Habitat_Details, IF(Water_Enhanced[[#This Row],[Parcel Number]]="",0, Water_Enhanced[Length (m)]))</f>
        <v>0</v>
      </c>
      <c r="F87" s="8"/>
      <c r="G87" s="140">
        <f>IF(Water_Enhanced[[#This Row],[Biodiversity Units]]=Incomplete_Habitat_Details,1,0)</f>
        <v>0</v>
      </c>
    </row>
    <row r="88" spans="2:11">
      <c r="B88" s="76"/>
      <c r="C88" s="58"/>
      <c r="D88" s="58"/>
      <c r="E88" s="122">
        <f>IF(AND(Water_Enhanced[[#This Row],[Parcel Number]]&lt;&gt;"",(OR(Water_Enhanced[[#This Row],[Parcel Number]]="",Water_Enhanced[[#This Row],[Habitat Type]]="",Water_Enhanced[[#This Row],[Length (m)]]=""))), Incomplete_Habitat_Details, IF(Water_Enhanced[[#This Row],[Parcel Number]]="",0, Water_Enhanced[Length (m)]))</f>
        <v>0</v>
      </c>
      <c r="F88" s="8"/>
      <c r="G88" s="140">
        <f>IF(Water_Enhanced[[#This Row],[Biodiversity Units]]=Incomplete_Habitat_Details,1,0)</f>
        <v>0</v>
      </c>
    </row>
    <row r="89" spans="2:11">
      <c r="B89" s="76"/>
      <c r="C89" s="58"/>
      <c r="D89" s="58"/>
      <c r="E89" s="122">
        <f>IF(AND(Water_Enhanced[[#This Row],[Parcel Number]]&lt;&gt;"",(OR(Water_Enhanced[[#This Row],[Parcel Number]]="",Water_Enhanced[[#This Row],[Habitat Type]]="",Water_Enhanced[[#This Row],[Length (m)]]=""))), Incomplete_Habitat_Details, IF(Water_Enhanced[[#This Row],[Parcel Number]]="",0, Water_Enhanced[Length (m)]))</f>
        <v>0</v>
      </c>
      <c r="F89" s="8"/>
      <c r="G89" s="140">
        <f>IF(Water_Enhanced[[#This Row],[Biodiversity Units]]=Incomplete_Habitat_Details,1,0)</f>
        <v>0</v>
      </c>
    </row>
    <row r="90" spans="2:11" ht="15.75" thickBot="1">
      <c r="B90" s="77"/>
      <c r="C90" s="59"/>
      <c r="D90" s="59"/>
      <c r="E90" s="126">
        <f>IF(AND(Water_Enhanced[[#This Row],[Parcel Number]]&lt;&gt;"",(OR(Water_Enhanced[[#This Row],[Parcel Number]]="",Water_Enhanced[[#This Row],[Habitat Type]]="",Water_Enhanced[[#This Row],[Length (m)]]=""))), Incomplete_Habitat_Details, IF(Water_Enhanced[[#This Row],[Parcel Number]]="",0, Water_Enhanced[Length (m)]))</f>
        <v>0</v>
      </c>
      <c r="F90" s="8"/>
      <c r="G90" s="140">
        <f>IF(Water_Enhanced[[#This Row],[Biodiversity Units]]=Incomplete_Habitat_Details,1,0)</f>
        <v>0</v>
      </c>
    </row>
    <row r="91" spans="2:11" ht="15.75" thickBot="1">
      <c r="B91" s="115" t="s">
        <v>59</v>
      </c>
      <c r="C91" s="116"/>
      <c r="D91" s="116">
        <f>SUM(Water_Enhanced[Length (m)])</f>
        <v>0</v>
      </c>
      <c r="E91" s="114">
        <f>IF(G91&gt;0,Errors_Corrected,IF(Water_Enhanced[[#Totals],[Length (m)]]=0,0, IF(SUBTOTAL(9,Water_Enhanced[Biodiversity Units])&lt;0,NegEnhance,SUBTOTAL(9,Water_Enhanced[Biodiversity Units]))))</f>
        <v>0</v>
      </c>
      <c r="F91" s="8"/>
      <c r="G91" s="140">
        <f>SUM(G66:G90)</f>
        <v>0</v>
      </c>
    </row>
    <row r="92" spans="2:11" ht="15.75" thickBot="1">
      <c r="B92" s="8"/>
      <c r="C92" s="8"/>
      <c r="D92" s="8"/>
      <c r="E92" s="8"/>
      <c r="F92" s="8"/>
      <c r="G92" s="8"/>
    </row>
    <row r="93" spans="2:11" ht="26.25" customHeight="1">
      <c r="B93" s="225" t="s">
        <v>89</v>
      </c>
      <c r="C93" s="226"/>
      <c r="D93" s="226"/>
      <c r="E93" s="226"/>
      <c r="F93" s="226"/>
      <c r="G93" s="227"/>
    </row>
    <row r="94" spans="2:11" ht="30.75" thickBot="1">
      <c r="B94" s="127" t="s">
        <v>90</v>
      </c>
      <c r="C94" s="128" t="s">
        <v>91</v>
      </c>
      <c r="D94" s="128" t="s">
        <v>92</v>
      </c>
      <c r="E94" s="128" t="s">
        <v>93</v>
      </c>
      <c r="F94" s="128" t="s">
        <v>80</v>
      </c>
      <c r="G94" s="129" t="s">
        <v>84</v>
      </c>
      <c r="H94" s="22"/>
      <c r="I94" s="8"/>
      <c r="J94" s="16"/>
      <c r="K94" s="16"/>
    </row>
    <row r="95" spans="2:11" ht="31.5" customHeight="1" thickBot="1">
      <c r="B95" s="115">
        <f>Water_Pre[[#Totals],[Biodiversity Units]]</f>
        <v>0</v>
      </c>
      <c r="C95" s="121">
        <f>IF(Water_Loss[[#Totals],[Biodiversity Units]]&gt;Water_Total[Pre Development Linear 
(Watercourse) Biodiversity Units],Loss_Exceeds_Pre_Error,Water_Loss[[#Totals],[Biodiversity Units]])</f>
        <v>0</v>
      </c>
      <c r="D95" s="116">
        <f>Water_Enhanced[[#Totals],[Biodiversity Units]]</f>
        <v>0</v>
      </c>
      <c r="E95" s="114">
        <f>IF(OR(Water_Total[Pre Development Linear 
(Watercourse) Biodiversity Units]=Errors_Corrected,Water_Total[Linear (Watercourse) 
Units Lost]=Errors_Corrected,Water_Total[Linear (Watercourse) Units 
Created and/or Enhanced]=Errors_Corrected,Water_Total[Linear (Watercourse) 
Units Lost]=Loss_Exceeds_Pre_Error),Errors_Corrected,(Water_Total[Pre Development Linear 
(Watercourse) Biodiversity Units]-Water_Total[Linear (Watercourse) 
Units Lost])+Water_Total[Linear (Watercourse) Units 
Created and/or Enhanced])</f>
        <v>0</v>
      </c>
      <c r="F95" s="146"/>
      <c r="G95" s="147" t="str">
        <f>Summary!F25</f>
        <v>Filtered for purpose of credit award</v>
      </c>
      <c r="H95" s="22"/>
      <c r="I95" s="8"/>
      <c r="J95" s="16"/>
      <c r="K95" s="16"/>
    </row>
    <row r="96" spans="2:11">
      <c r="B96" s="8"/>
      <c r="C96" s="8"/>
      <c r="D96" s="8"/>
      <c r="E96" s="8"/>
      <c r="F96" s="8"/>
      <c r="G96" s="8"/>
    </row>
    <row r="97" spans="2:7">
      <c r="B97" s="8"/>
      <c r="C97" s="8"/>
      <c r="D97" s="8"/>
      <c r="E97" s="8"/>
      <c r="F97" s="8"/>
      <c r="G97" s="8"/>
    </row>
  </sheetData>
  <sheetProtection algorithmName="SHA-512" hashValue="Mg4RyOQycKsytom64Yb8Eq2i+nYL19dY4Z2M3p/Fno3WPXFV57OmsW0SSzP4sv95FP18Yj4ZHXJH5YDfOtfghQ==" saltValue="C/8S/o8ibUgF23ISFzcElQ==" spinCount="100000" sheet="1" objects="1" scenarios="1"/>
  <mergeCells count="5">
    <mergeCell ref="B35:G35"/>
    <mergeCell ref="B6:G6"/>
    <mergeCell ref="B64:E64"/>
    <mergeCell ref="B93:G93"/>
    <mergeCell ref="B2:D4"/>
  </mergeCells>
  <pageMargins left="0.7" right="0.7" top="0.75" bottom="0.75" header="0.3" footer="0.3"/>
  <pageSetup paperSize="9" orientation="portrait"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Lookups!$D$2:$D$4</xm:f>
          </x14:formula1>
          <xm:sqref>E8:E32 E37:E61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D6864"/>
  </sheetPr>
  <dimension ref="B2:J98"/>
  <sheetViews>
    <sheetView showGridLines="0" topLeftCell="A37" zoomScale="60" zoomScaleNormal="60" workbookViewId="0">
      <selection activeCell="C77" sqref="C77"/>
    </sheetView>
  </sheetViews>
  <sheetFormatPr defaultColWidth="8.85546875" defaultRowHeight="15"/>
  <cols>
    <col min="1" max="1" width="8.7109375" customWidth="1"/>
    <col min="2" max="2" width="36.42578125" bestFit="1" customWidth="1"/>
    <col min="3" max="3" width="28.42578125" bestFit="1" customWidth="1"/>
    <col min="4" max="4" width="31.28515625" bestFit="1" customWidth="1"/>
    <col min="5" max="5" width="36.42578125" bestFit="1" customWidth="1"/>
    <col min="6" max="6" width="17.140625" hidden="1" customWidth="1"/>
    <col min="7" max="7" width="36.85546875" bestFit="1" customWidth="1"/>
    <col min="8" max="9" width="8.85546875" style="16"/>
  </cols>
  <sheetData>
    <row r="2" spans="2:9">
      <c r="B2" s="207" t="s">
        <v>35</v>
      </c>
      <c r="C2" s="207"/>
      <c r="D2" s="207"/>
      <c r="E2" s="134"/>
    </row>
    <row r="3" spans="2:9">
      <c r="B3" s="207"/>
      <c r="C3" s="207"/>
      <c r="D3" s="207"/>
      <c r="E3" s="134"/>
    </row>
    <row r="4" spans="2:9">
      <c r="B4" s="207"/>
      <c r="C4" s="207"/>
      <c r="D4" s="207"/>
      <c r="E4" s="134"/>
    </row>
    <row r="5" spans="2:9" ht="15.75" thickBot="1"/>
    <row r="6" spans="2:9" ht="26.25">
      <c r="B6" s="222" t="s">
        <v>94</v>
      </c>
      <c r="C6" s="223"/>
      <c r="D6" s="223"/>
      <c r="E6" s="223"/>
      <c r="F6" s="223"/>
      <c r="G6" s="224"/>
    </row>
    <row r="7" spans="2:9">
      <c r="B7" s="73" t="s">
        <v>37</v>
      </c>
      <c r="C7" s="74" t="s">
        <v>61</v>
      </c>
      <c r="D7" s="74" t="s">
        <v>86</v>
      </c>
      <c r="E7" s="74" t="s">
        <v>41</v>
      </c>
      <c r="F7" s="74" t="s">
        <v>42</v>
      </c>
      <c r="G7" s="90" t="s">
        <v>44</v>
      </c>
    </row>
    <row r="8" spans="2:9">
      <c r="B8" s="76"/>
      <c r="C8" s="58"/>
      <c r="D8" s="58"/>
      <c r="E8" s="58"/>
      <c r="F8" s="19" t="str">
        <f>IFERROR(VLOOKUP(Foliage_Pre[[#This Row],[Condition]],Lookups!$D$2:$E$4,2,FALSE),"")</f>
        <v/>
      </c>
      <c r="G8" s="122">
        <f>IF(AND(Foliage_Pre[[#This Row],[Parcel Number]]&lt;&gt;"",(OR(Foliage_Pre[[#This Row],[Habitat Type]]="",Foliage_Pre[[#This Row],[Length (m)]]="",Foliage_Pre[[#This Row],[Condition]]=""))),Incomplete_Habitat_Details,IF(Foliage_Pre[[#This Row],[Parcel Number]]="",0,Foliage_Pre[[#This Row],[Length (m)]]*Foliage_Pre[[#This Row],[Condition Score]]))</f>
        <v>0</v>
      </c>
      <c r="H8" s="16">
        <f>IF(Foliage_Pre[[#This Row],[Biodiversity Units]]=Incomplete_Habitat_Details,1,0)</f>
        <v>0</v>
      </c>
      <c r="I8" s="16" t="str">
        <f>IF(Foliage_Pre[[#This Row],[Length (m)]]&gt;0,Foliage_Pre[[#This Row],[Condition Score]],"")</f>
        <v/>
      </c>
    </row>
    <row r="9" spans="2:9">
      <c r="B9" s="76"/>
      <c r="C9" s="58"/>
      <c r="D9" s="58"/>
      <c r="E9" s="58"/>
      <c r="F9" s="19" t="str">
        <f>IFERROR(VLOOKUP(Foliage_Pre[[#This Row],[Condition]],Lookups!$D$2:$E$4,2,FALSE),"")</f>
        <v/>
      </c>
      <c r="G9" s="122">
        <f>IF(AND(Foliage_Pre[[#This Row],[Parcel Number]]&lt;&gt;"",(OR(Foliage_Pre[[#This Row],[Habitat Type]]="",Foliage_Pre[[#This Row],[Length (m)]]="",Foliage_Pre[[#This Row],[Condition]]=""))),Incomplete_Habitat_Details,IF(Foliage_Pre[[#This Row],[Parcel Number]]="",0,Foliage_Pre[[#This Row],[Length (m)]]*Foliage_Pre[[#This Row],[Condition Score]]))</f>
        <v>0</v>
      </c>
      <c r="H9" s="16">
        <f>IF(Foliage_Pre[[#This Row],[Biodiversity Units]]=Incomplete_Habitat_Details,1,0)</f>
        <v>0</v>
      </c>
      <c r="I9" s="16" t="str">
        <f>IF(Foliage_Pre[[#This Row],[Length (m)]]&gt;0,Foliage_Pre[[#This Row],[Condition Score]],"")</f>
        <v/>
      </c>
    </row>
    <row r="10" spans="2:9">
      <c r="B10" s="76"/>
      <c r="C10" s="58"/>
      <c r="D10" s="58"/>
      <c r="E10" s="58"/>
      <c r="F10" s="19" t="str">
        <f>IFERROR(VLOOKUP(Foliage_Pre[[#This Row],[Condition]],Lookups!$D$2:$E$4,2,FALSE),"")</f>
        <v/>
      </c>
      <c r="G10" s="122">
        <f>IF(AND(Foliage_Pre[[#This Row],[Parcel Number]]&lt;&gt;"",(OR(Foliage_Pre[[#This Row],[Habitat Type]]="",Foliage_Pre[[#This Row],[Length (m)]]="",Foliage_Pre[[#This Row],[Condition]]=""))),Incomplete_Habitat_Details,IF(Foliage_Pre[[#This Row],[Parcel Number]]="",0,Foliage_Pre[[#This Row],[Length (m)]]*Foliage_Pre[[#This Row],[Condition Score]]))</f>
        <v>0</v>
      </c>
      <c r="H10" s="16">
        <f>IF(Foliage_Pre[[#This Row],[Biodiversity Units]]=Incomplete_Habitat_Details,1,0)</f>
        <v>0</v>
      </c>
      <c r="I10" s="16" t="str">
        <f>IF(Foliage_Pre[[#This Row],[Length (m)]]&gt;0,Foliage_Pre[[#This Row],[Condition Score]],"")</f>
        <v/>
      </c>
    </row>
    <row r="11" spans="2:9">
      <c r="B11" s="76"/>
      <c r="C11" s="58"/>
      <c r="D11" s="58"/>
      <c r="E11" s="58"/>
      <c r="F11" s="19" t="str">
        <f>IFERROR(VLOOKUP(Foliage_Pre[[#This Row],[Condition]],Lookups!$D$2:$E$4,2,FALSE),"")</f>
        <v/>
      </c>
      <c r="G11" s="122">
        <f>IF(AND(Foliage_Pre[[#This Row],[Parcel Number]]&lt;&gt;"",(OR(Foliage_Pre[[#This Row],[Habitat Type]]="",Foliage_Pre[[#This Row],[Length (m)]]="",Foliage_Pre[[#This Row],[Condition]]=""))),Incomplete_Habitat_Details,IF(Foliage_Pre[[#This Row],[Parcel Number]]="",0,Foliage_Pre[[#This Row],[Length (m)]]*Foliage_Pre[[#This Row],[Condition Score]]))</f>
        <v>0</v>
      </c>
      <c r="H11" s="16">
        <f>IF(Foliage_Pre[[#This Row],[Biodiversity Units]]=Incomplete_Habitat_Details,1,0)</f>
        <v>0</v>
      </c>
      <c r="I11" s="16" t="str">
        <f>IF(Foliage_Pre[[#This Row],[Length (m)]]&gt;0,Foliage_Pre[[#This Row],[Condition Score]],"")</f>
        <v/>
      </c>
    </row>
    <row r="12" spans="2:9">
      <c r="B12" s="76"/>
      <c r="C12" s="58"/>
      <c r="D12" s="58"/>
      <c r="E12" s="58"/>
      <c r="F12" s="19" t="str">
        <f>IFERROR(VLOOKUP(Foliage_Pre[[#This Row],[Condition]],Lookups!$D$2:$E$4,2,FALSE),"")</f>
        <v/>
      </c>
      <c r="G12" s="122">
        <f>IF(AND(Foliage_Pre[[#This Row],[Parcel Number]]&lt;&gt;"",(OR(Foliage_Pre[[#This Row],[Habitat Type]]="",Foliage_Pre[[#This Row],[Length (m)]]="",Foliage_Pre[[#This Row],[Condition]]=""))),Incomplete_Habitat_Details,IF(Foliage_Pre[[#This Row],[Parcel Number]]="",0,Foliage_Pre[[#This Row],[Length (m)]]*Foliage_Pre[[#This Row],[Condition Score]]))</f>
        <v>0</v>
      </c>
      <c r="H12" s="16">
        <f>IF(Foliage_Pre[[#This Row],[Biodiversity Units]]=Incomplete_Habitat_Details,1,0)</f>
        <v>0</v>
      </c>
      <c r="I12" s="16" t="str">
        <f>IF(Foliage_Pre[[#This Row],[Length (m)]]&gt;0,Foliage_Pre[[#This Row],[Condition Score]],"")</f>
        <v/>
      </c>
    </row>
    <row r="13" spans="2:9">
      <c r="B13" s="76"/>
      <c r="C13" s="58"/>
      <c r="D13" s="58"/>
      <c r="E13" s="58"/>
      <c r="F13" s="19" t="str">
        <f>IFERROR(VLOOKUP(Foliage_Pre[[#This Row],[Condition]],Lookups!$D$2:$E$4,2,FALSE),"")</f>
        <v/>
      </c>
      <c r="G13" s="122">
        <f>IF(AND(Foliage_Pre[[#This Row],[Parcel Number]]&lt;&gt;"",(OR(Foliage_Pre[[#This Row],[Habitat Type]]="",Foliage_Pre[[#This Row],[Length (m)]]="",Foliage_Pre[[#This Row],[Condition]]=""))),Incomplete_Habitat_Details,IF(Foliage_Pre[[#This Row],[Parcel Number]]="",0,Foliage_Pre[[#This Row],[Length (m)]]*Foliage_Pre[[#This Row],[Condition Score]]))</f>
        <v>0</v>
      </c>
      <c r="H13" s="16">
        <f>IF(Foliage_Pre[[#This Row],[Biodiversity Units]]=Incomplete_Habitat_Details,1,0)</f>
        <v>0</v>
      </c>
      <c r="I13" s="16" t="str">
        <f>IF(Foliage_Pre[[#This Row],[Length (m)]]&gt;0,Foliage_Pre[[#This Row],[Condition Score]],"")</f>
        <v/>
      </c>
    </row>
    <row r="14" spans="2:9">
      <c r="B14" s="76"/>
      <c r="C14" s="58"/>
      <c r="D14" s="58"/>
      <c r="E14" s="58"/>
      <c r="F14" s="19" t="str">
        <f>IFERROR(VLOOKUP(Foliage_Pre[[#This Row],[Condition]],Lookups!$D$2:$E$4,2,FALSE),"")</f>
        <v/>
      </c>
      <c r="G14" s="122">
        <f>IF(AND(Foliage_Pre[[#This Row],[Parcel Number]]&lt;&gt;"",(OR(Foliage_Pre[[#This Row],[Habitat Type]]="",Foliage_Pre[[#This Row],[Length (m)]]="",Foliage_Pre[[#This Row],[Condition]]=""))),Incomplete_Habitat_Details,IF(Foliage_Pre[[#This Row],[Parcel Number]]="",0,Foliage_Pre[[#This Row],[Length (m)]]*Foliage_Pre[[#This Row],[Condition Score]]))</f>
        <v>0</v>
      </c>
      <c r="H14" s="16">
        <f>IF(Foliage_Pre[[#This Row],[Biodiversity Units]]=Incomplete_Habitat_Details,1,0)</f>
        <v>0</v>
      </c>
      <c r="I14" s="16" t="str">
        <f>IF(Foliage_Pre[[#This Row],[Length (m)]]&gt;0,Foliage_Pre[[#This Row],[Condition Score]],"")</f>
        <v/>
      </c>
    </row>
    <row r="15" spans="2:9">
      <c r="B15" s="76"/>
      <c r="C15" s="58"/>
      <c r="D15" s="58"/>
      <c r="E15" s="58"/>
      <c r="F15" s="19" t="str">
        <f>IFERROR(VLOOKUP(Foliage_Pre[[#This Row],[Condition]],Lookups!$D$2:$E$4,2,FALSE),"")</f>
        <v/>
      </c>
      <c r="G15" s="122">
        <f>IF(AND(Foliage_Pre[[#This Row],[Parcel Number]]&lt;&gt;"",(OR(Foliage_Pre[[#This Row],[Habitat Type]]="",Foliage_Pre[[#This Row],[Length (m)]]="",Foliage_Pre[[#This Row],[Condition]]=""))),Incomplete_Habitat_Details,IF(Foliage_Pre[[#This Row],[Parcel Number]]="",0,Foliage_Pre[[#This Row],[Length (m)]]*Foliage_Pre[[#This Row],[Condition Score]]))</f>
        <v>0</v>
      </c>
      <c r="H15" s="16">
        <f>IF(Foliage_Pre[[#This Row],[Biodiversity Units]]=Incomplete_Habitat_Details,1,0)</f>
        <v>0</v>
      </c>
      <c r="I15" s="16" t="str">
        <f>IF(Foliage_Pre[[#This Row],[Length (m)]]&gt;0,Foliage_Pre[[#This Row],[Condition Score]],"")</f>
        <v/>
      </c>
    </row>
    <row r="16" spans="2:9">
      <c r="B16" s="76"/>
      <c r="C16" s="58"/>
      <c r="D16" s="58"/>
      <c r="E16" s="58"/>
      <c r="F16" s="19" t="str">
        <f>IFERROR(VLOOKUP(Foliage_Pre[[#This Row],[Condition]],Lookups!$D$2:$E$4,2,FALSE),"")</f>
        <v/>
      </c>
      <c r="G16" s="122">
        <f>IF(AND(Foliage_Pre[[#This Row],[Parcel Number]]&lt;&gt;"",(OR(Foliage_Pre[[#This Row],[Habitat Type]]="",Foliage_Pre[[#This Row],[Length (m)]]="",Foliage_Pre[[#This Row],[Condition]]=""))),Incomplete_Habitat_Details,IF(Foliage_Pre[[#This Row],[Parcel Number]]="",0,Foliage_Pre[[#This Row],[Length (m)]]*Foliage_Pre[[#This Row],[Condition Score]]))</f>
        <v>0</v>
      </c>
      <c r="H16" s="16">
        <f>IF(Foliage_Pre[[#This Row],[Biodiversity Units]]=Incomplete_Habitat_Details,1,0)</f>
        <v>0</v>
      </c>
      <c r="I16" s="16" t="str">
        <f>IF(Foliage_Pre[[#This Row],[Length (m)]]&gt;0,Foliage_Pre[[#This Row],[Condition Score]],"")</f>
        <v/>
      </c>
    </row>
    <row r="17" spans="2:9">
      <c r="B17" s="76"/>
      <c r="C17" s="58"/>
      <c r="D17" s="58"/>
      <c r="E17" s="58"/>
      <c r="F17" s="19" t="str">
        <f>IFERROR(VLOOKUP(Foliage_Pre[[#This Row],[Condition]],Lookups!$D$2:$E$4,2,FALSE),"")</f>
        <v/>
      </c>
      <c r="G17" s="122">
        <f>IF(AND(Foliage_Pre[[#This Row],[Parcel Number]]&lt;&gt;"",(OR(Foliage_Pre[[#This Row],[Habitat Type]]="",Foliage_Pre[[#This Row],[Length (m)]]="",Foliage_Pre[[#This Row],[Condition]]=""))),Incomplete_Habitat_Details,IF(Foliage_Pre[[#This Row],[Parcel Number]]="",0,Foliage_Pre[[#This Row],[Length (m)]]*Foliage_Pre[[#This Row],[Condition Score]]))</f>
        <v>0</v>
      </c>
      <c r="H17" s="16">
        <f>IF(Foliage_Pre[[#This Row],[Biodiversity Units]]=Incomplete_Habitat_Details,1,0)</f>
        <v>0</v>
      </c>
      <c r="I17" s="16" t="str">
        <f>IF(Foliage_Pre[[#This Row],[Length (m)]]&gt;0,Foliage_Pre[[#This Row],[Condition Score]],"")</f>
        <v/>
      </c>
    </row>
    <row r="18" spans="2:9">
      <c r="B18" s="76"/>
      <c r="C18" s="58"/>
      <c r="D18" s="58"/>
      <c r="E18" s="58"/>
      <c r="F18" s="19" t="str">
        <f>IFERROR(VLOOKUP(Foliage_Pre[[#This Row],[Condition]],Lookups!$D$2:$E$4,2,FALSE),"")</f>
        <v/>
      </c>
      <c r="G18" s="122">
        <f>IF(AND(Foliage_Pre[[#This Row],[Parcel Number]]&lt;&gt;"",(OR(Foliage_Pre[[#This Row],[Habitat Type]]="",Foliage_Pre[[#This Row],[Length (m)]]="",Foliage_Pre[[#This Row],[Condition]]=""))),Incomplete_Habitat_Details,IF(Foliage_Pre[[#This Row],[Parcel Number]]="",0,Foliage_Pre[[#This Row],[Length (m)]]*Foliage_Pre[[#This Row],[Condition Score]]))</f>
        <v>0</v>
      </c>
      <c r="H18" s="16">
        <f>IF(Foliage_Pre[[#This Row],[Biodiversity Units]]=Incomplete_Habitat_Details,1,0)</f>
        <v>0</v>
      </c>
      <c r="I18" s="16" t="str">
        <f>IF(Foliage_Pre[[#This Row],[Length (m)]]&gt;0,Foliage_Pre[[#This Row],[Condition Score]],"")</f>
        <v/>
      </c>
    </row>
    <row r="19" spans="2:9">
      <c r="B19" s="76"/>
      <c r="C19" s="58"/>
      <c r="D19" s="58"/>
      <c r="E19" s="58"/>
      <c r="F19" s="19" t="str">
        <f>IFERROR(VLOOKUP(Foliage_Pre[[#This Row],[Condition]],Lookups!$D$2:$E$4,2,FALSE),"")</f>
        <v/>
      </c>
      <c r="G19" s="122">
        <f>IF(AND(Foliage_Pre[[#This Row],[Parcel Number]]&lt;&gt;"",(OR(Foliage_Pre[[#This Row],[Habitat Type]]="",Foliage_Pre[[#This Row],[Length (m)]]="",Foliage_Pre[[#This Row],[Condition]]=""))),Incomplete_Habitat_Details,IF(Foliage_Pre[[#This Row],[Parcel Number]]="",0,Foliage_Pre[[#This Row],[Length (m)]]*Foliage_Pre[[#This Row],[Condition Score]]))</f>
        <v>0</v>
      </c>
      <c r="H19" s="16">
        <f>IF(Foliage_Pre[[#This Row],[Biodiversity Units]]=Incomplete_Habitat_Details,1,0)</f>
        <v>0</v>
      </c>
      <c r="I19" s="16" t="str">
        <f>IF(Foliage_Pre[[#This Row],[Length (m)]]&gt;0,Foliage_Pre[[#This Row],[Condition Score]],"")</f>
        <v/>
      </c>
    </row>
    <row r="20" spans="2:9">
      <c r="B20" s="76"/>
      <c r="C20" s="58"/>
      <c r="D20" s="58"/>
      <c r="E20" s="58"/>
      <c r="F20" s="19" t="str">
        <f>IFERROR(VLOOKUP(Foliage_Pre[[#This Row],[Condition]],Lookups!$D$2:$E$4,2,FALSE),"")</f>
        <v/>
      </c>
      <c r="G20" s="122">
        <f>IF(AND(Foliage_Pre[[#This Row],[Parcel Number]]&lt;&gt;"",(OR(Foliage_Pre[[#This Row],[Habitat Type]]="",Foliage_Pre[[#This Row],[Length (m)]]="",Foliage_Pre[[#This Row],[Condition]]=""))),Incomplete_Habitat_Details,IF(Foliage_Pre[[#This Row],[Parcel Number]]="",0,Foliage_Pre[[#This Row],[Length (m)]]*Foliage_Pre[[#This Row],[Condition Score]]))</f>
        <v>0</v>
      </c>
      <c r="H20" s="16">
        <f>IF(Foliage_Pre[[#This Row],[Biodiversity Units]]=Incomplete_Habitat_Details,1,0)</f>
        <v>0</v>
      </c>
      <c r="I20" s="16" t="str">
        <f>IF(Foliage_Pre[[#This Row],[Length (m)]]&gt;0,Foliage_Pre[[#This Row],[Condition Score]],"")</f>
        <v/>
      </c>
    </row>
    <row r="21" spans="2:9">
      <c r="B21" s="76"/>
      <c r="C21" s="58"/>
      <c r="D21" s="58"/>
      <c r="E21" s="58"/>
      <c r="F21" s="19" t="str">
        <f>IFERROR(VLOOKUP(Foliage_Pre[[#This Row],[Condition]],Lookups!$D$2:$E$4,2,FALSE),"")</f>
        <v/>
      </c>
      <c r="G21" s="122">
        <f>IF(AND(Foliage_Pre[[#This Row],[Parcel Number]]&lt;&gt;"",(OR(Foliage_Pre[[#This Row],[Habitat Type]]="",Foliage_Pre[[#This Row],[Length (m)]]="",Foliage_Pre[[#This Row],[Condition]]=""))),Incomplete_Habitat_Details,IF(Foliage_Pre[[#This Row],[Parcel Number]]="",0,Foliage_Pre[[#This Row],[Length (m)]]*Foliage_Pre[[#This Row],[Condition Score]]))</f>
        <v>0</v>
      </c>
      <c r="H21" s="16">
        <f>IF(Foliage_Pre[[#This Row],[Biodiversity Units]]=Incomplete_Habitat_Details,1,0)</f>
        <v>0</v>
      </c>
      <c r="I21" s="16" t="str">
        <f>IF(Foliage_Pre[[#This Row],[Length (m)]]&gt;0,Foliage_Pre[[#This Row],[Condition Score]],"")</f>
        <v/>
      </c>
    </row>
    <row r="22" spans="2:9">
      <c r="B22" s="76"/>
      <c r="C22" s="58"/>
      <c r="D22" s="58"/>
      <c r="E22" s="58"/>
      <c r="F22" s="19" t="str">
        <f>IFERROR(VLOOKUP(Foliage_Pre[[#This Row],[Condition]],Lookups!$D$2:$E$4,2,FALSE),"")</f>
        <v/>
      </c>
      <c r="G22" s="122">
        <f>IF(AND(Foliage_Pre[[#This Row],[Parcel Number]]&lt;&gt;"",(OR(Foliage_Pre[[#This Row],[Habitat Type]]="",Foliage_Pre[[#This Row],[Length (m)]]="",Foliage_Pre[[#This Row],[Condition]]=""))),Incomplete_Habitat_Details,IF(Foliage_Pre[[#This Row],[Parcel Number]]="",0,Foliage_Pre[[#This Row],[Length (m)]]*Foliage_Pre[[#This Row],[Condition Score]]))</f>
        <v>0</v>
      </c>
      <c r="H22" s="16">
        <f>IF(Foliage_Pre[[#This Row],[Biodiversity Units]]=Incomplete_Habitat_Details,1,0)</f>
        <v>0</v>
      </c>
      <c r="I22" s="16" t="str">
        <f>IF(Foliage_Pre[[#This Row],[Length (m)]]&gt;0,Foliage_Pre[[#This Row],[Condition Score]],"")</f>
        <v/>
      </c>
    </row>
    <row r="23" spans="2:9">
      <c r="B23" s="76"/>
      <c r="C23" s="58"/>
      <c r="D23" s="58"/>
      <c r="E23" s="58"/>
      <c r="F23" s="19" t="str">
        <f>IFERROR(VLOOKUP(Foliage_Pre[[#This Row],[Condition]],Lookups!$D$2:$E$4,2,FALSE),"")</f>
        <v/>
      </c>
      <c r="G23" s="122">
        <f>IF(AND(Foliage_Pre[[#This Row],[Parcel Number]]&lt;&gt;"",(OR(Foliage_Pre[[#This Row],[Habitat Type]]="",Foliage_Pre[[#This Row],[Length (m)]]="",Foliage_Pre[[#This Row],[Condition]]=""))),Incomplete_Habitat_Details,IF(Foliage_Pre[[#This Row],[Parcel Number]]="",0,Foliage_Pre[[#This Row],[Length (m)]]*Foliage_Pre[[#This Row],[Condition Score]]))</f>
        <v>0</v>
      </c>
      <c r="H23" s="16">
        <f>IF(Foliage_Pre[[#This Row],[Biodiversity Units]]=Incomplete_Habitat_Details,1,0)</f>
        <v>0</v>
      </c>
      <c r="I23" s="16" t="str">
        <f>IF(Foliage_Pre[[#This Row],[Length (m)]]&gt;0,Foliage_Pre[[#This Row],[Condition Score]],"")</f>
        <v/>
      </c>
    </row>
    <row r="24" spans="2:9">
      <c r="B24" s="76"/>
      <c r="C24" s="58"/>
      <c r="D24" s="58"/>
      <c r="E24" s="58"/>
      <c r="F24" s="19" t="str">
        <f>IFERROR(VLOOKUP(Foliage_Pre[[#This Row],[Condition]],Lookups!$D$2:$E$4,2,FALSE),"")</f>
        <v/>
      </c>
      <c r="G24" s="122">
        <f>IF(AND(Foliage_Pre[[#This Row],[Parcel Number]]&lt;&gt;"",(OR(Foliage_Pre[[#This Row],[Habitat Type]]="",Foliage_Pre[[#This Row],[Length (m)]]="",Foliage_Pre[[#This Row],[Condition]]=""))),Incomplete_Habitat_Details,IF(Foliage_Pre[[#This Row],[Parcel Number]]="",0,Foliage_Pre[[#This Row],[Length (m)]]*Foliage_Pre[[#This Row],[Condition Score]]))</f>
        <v>0</v>
      </c>
      <c r="H24" s="16">
        <f>IF(Foliage_Pre[[#This Row],[Biodiversity Units]]=Incomplete_Habitat_Details,1,0)</f>
        <v>0</v>
      </c>
      <c r="I24" s="16" t="str">
        <f>IF(Foliage_Pre[[#This Row],[Length (m)]]&gt;0,Foliage_Pre[[#This Row],[Condition Score]],"")</f>
        <v/>
      </c>
    </row>
    <row r="25" spans="2:9">
      <c r="B25" s="76"/>
      <c r="C25" s="58"/>
      <c r="D25" s="58"/>
      <c r="E25" s="58"/>
      <c r="F25" s="19" t="str">
        <f>IFERROR(VLOOKUP(Foliage_Pre[[#This Row],[Condition]],Lookups!$D$2:$E$4,2,FALSE),"")</f>
        <v/>
      </c>
      <c r="G25" s="122">
        <f>IF(AND(Foliage_Pre[[#This Row],[Parcel Number]]&lt;&gt;"",(OR(Foliage_Pre[[#This Row],[Habitat Type]]="",Foliage_Pre[[#This Row],[Length (m)]]="",Foliage_Pre[[#This Row],[Condition]]=""))),Incomplete_Habitat_Details,IF(Foliage_Pre[[#This Row],[Parcel Number]]="",0,Foliage_Pre[[#This Row],[Length (m)]]*Foliage_Pre[[#This Row],[Condition Score]]))</f>
        <v>0</v>
      </c>
      <c r="H25" s="16">
        <f>IF(Foliage_Pre[[#This Row],[Biodiversity Units]]=Incomplete_Habitat_Details,1,0)</f>
        <v>0</v>
      </c>
      <c r="I25" s="16" t="str">
        <f>IF(Foliage_Pre[[#This Row],[Length (m)]]&gt;0,Foliage_Pre[[#This Row],[Condition Score]],"")</f>
        <v/>
      </c>
    </row>
    <row r="26" spans="2:9">
      <c r="B26" s="76"/>
      <c r="C26" s="58"/>
      <c r="D26" s="58"/>
      <c r="E26" s="58"/>
      <c r="F26" s="19" t="str">
        <f>IFERROR(VLOOKUP(Foliage_Pre[[#This Row],[Condition]],Lookups!$D$2:$E$4,2,FALSE),"")</f>
        <v/>
      </c>
      <c r="G26" s="122">
        <f>IF(AND(Foliage_Pre[[#This Row],[Parcel Number]]&lt;&gt;"",(OR(Foliage_Pre[[#This Row],[Habitat Type]]="",Foliage_Pre[[#This Row],[Length (m)]]="",Foliage_Pre[[#This Row],[Condition]]=""))),Incomplete_Habitat_Details,IF(Foliage_Pre[[#This Row],[Parcel Number]]="",0,Foliage_Pre[[#This Row],[Length (m)]]*Foliage_Pre[[#This Row],[Condition Score]]))</f>
        <v>0</v>
      </c>
      <c r="H26" s="16">
        <f>IF(Foliage_Pre[[#This Row],[Biodiversity Units]]=Incomplete_Habitat_Details,1,0)</f>
        <v>0</v>
      </c>
      <c r="I26" s="16" t="str">
        <f>IF(Foliage_Pre[[#This Row],[Length (m)]]&gt;0,Foliage_Pre[[#This Row],[Condition Score]],"")</f>
        <v/>
      </c>
    </row>
    <row r="27" spans="2:9">
      <c r="B27" s="76"/>
      <c r="C27" s="58"/>
      <c r="D27" s="58"/>
      <c r="E27" s="58"/>
      <c r="F27" s="19" t="str">
        <f>IFERROR(VLOOKUP(Foliage_Pre[[#This Row],[Condition]],Lookups!$D$2:$E$4,2,FALSE),"")</f>
        <v/>
      </c>
      <c r="G27" s="122">
        <f>IF(AND(Foliage_Pre[[#This Row],[Parcel Number]]&lt;&gt;"",(OR(Foliage_Pre[[#This Row],[Habitat Type]]="",Foliage_Pre[[#This Row],[Length (m)]]="",Foliage_Pre[[#This Row],[Condition]]=""))),Incomplete_Habitat_Details,IF(Foliage_Pre[[#This Row],[Parcel Number]]="",0,Foliage_Pre[[#This Row],[Length (m)]]*Foliage_Pre[[#This Row],[Condition Score]]))</f>
        <v>0</v>
      </c>
      <c r="H27" s="16">
        <f>IF(Foliage_Pre[[#This Row],[Biodiversity Units]]=Incomplete_Habitat_Details,1,0)</f>
        <v>0</v>
      </c>
      <c r="I27" s="16" t="str">
        <f>IF(Foliage_Pre[[#This Row],[Length (m)]]&gt;0,Foliage_Pre[[#This Row],[Condition Score]],"")</f>
        <v/>
      </c>
    </row>
    <row r="28" spans="2:9">
      <c r="B28" s="76"/>
      <c r="C28" s="58"/>
      <c r="D28" s="58"/>
      <c r="E28" s="58"/>
      <c r="F28" s="19" t="str">
        <f>IFERROR(VLOOKUP(Foliage_Pre[[#This Row],[Condition]],Lookups!$D$2:$E$4,2,FALSE),"")</f>
        <v/>
      </c>
      <c r="G28" s="122">
        <f>IF(AND(Foliage_Pre[[#This Row],[Parcel Number]]&lt;&gt;"",(OR(Foliage_Pre[[#This Row],[Habitat Type]]="",Foliage_Pre[[#This Row],[Length (m)]]="",Foliage_Pre[[#This Row],[Condition]]=""))),Incomplete_Habitat_Details,IF(Foliage_Pre[[#This Row],[Parcel Number]]="",0,Foliage_Pre[[#This Row],[Length (m)]]*Foliage_Pre[[#This Row],[Condition Score]]))</f>
        <v>0</v>
      </c>
      <c r="H28" s="16">
        <f>IF(Foliage_Pre[[#This Row],[Biodiversity Units]]=Incomplete_Habitat_Details,1,0)</f>
        <v>0</v>
      </c>
      <c r="I28" s="16" t="str">
        <f>IF(Foliage_Pre[[#This Row],[Length (m)]]&gt;0,Foliage_Pre[[#This Row],[Condition Score]],"")</f>
        <v/>
      </c>
    </row>
    <row r="29" spans="2:9">
      <c r="B29" s="76"/>
      <c r="C29" s="58"/>
      <c r="D29" s="58"/>
      <c r="E29" s="58"/>
      <c r="F29" s="19" t="str">
        <f>IFERROR(VLOOKUP(Foliage_Pre[[#This Row],[Condition]],Lookups!$D$2:$E$4,2,FALSE),"")</f>
        <v/>
      </c>
      <c r="G29" s="122">
        <f>IF(AND(Foliage_Pre[[#This Row],[Parcel Number]]&lt;&gt;"",(OR(Foliage_Pre[[#This Row],[Habitat Type]]="",Foliage_Pre[[#This Row],[Length (m)]]="",Foliage_Pre[[#This Row],[Condition]]=""))),Incomplete_Habitat_Details,IF(Foliage_Pre[[#This Row],[Parcel Number]]="",0,Foliage_Pre[[#This Row],[Length (m)]]*Foliage_Pre[[#This Row],[Condition Score]]))</f>
        <v>0</v>
      </c>
      <c r="H29" s="16">
        <f>IF(Foliage_Pre[[#This Row],[Biodiversity Units]]=Incomplete_Habitat_Details,1,0)</f>
        <v>0</v>
      </c>
      <c r="I29" s="16" t="str">
        <f>IF(Foliage_Pre[[#This Row],[Length (m)]]&gt;0,Foliage_Pre[[#This Row],[Condition Score]],"")</f>
        <v/>
      </c>
    </row>
    <row r="30" spans="2:9">
      <c r="B30" s="76"/>
      <c r="C30" s="58"/>
      <c r="D30" s="58"/>
      <c r="E30" s="58"/>
      <c r="F30" s="19" t="str">
        <f>IFERROR(VLOOKUP(Foliage_Pre[[#This Row],[Condition]],Lookups!$D$2:$E$4,2,FALSE),"")</f>
        <v/>
      </c>
      <c r="G30" s="122">
        <f>IF(AND(Foliage_Pre[[#This Row],[Parcel Number]]&lt;&gt;"",(OR(Foliage_Pre[[#This Row],[Habitat Type]]="",Foliage_Pre[[#This Row],[Length (m)]]="",Foliage_Pre[[#This Row],[Condition]]=""))),Incomplete_Habitat_Details,IF(Foliage_Pre[[#This Row],[Parcel Number]]="",0,Foliage_Pre[[#This Row],[Length (m)]]*Foliage_Pre[[#This Row],[Condition Score]]))</f>
        <v>0</v>
      </c>
      <c r="H30" s="16">
        <f>IF(Foliage_Pre[[#This Row],[Biodiversity Units]]=Incomplete_Habitat_Details,1,0)</f>
        <v>0</v>
      </c>
      <c r="I30" s="16" t="str">
        <f>IF(Foliage_Pre[[#This Row],[Length (m)]]&gt;0,Foliage_Pre[[#This Row],[Condition Score]],"")</f>
        <v/>
      </c>
    </row>
    <row r="31" spans="2:9">
      <c r="B31" s="76"/>
      <c r="C31" s="58"/>
      <c r="D31" s="58"/>
      <c r="E31" s="58"/>
      <c r="F31" s="19" t="str">
        <f>IFERROR(VLOOKUP(Foliage_Pre[[#This Row],[Condition]],Lookups!$D$2:$E$4,2,FALSE),"")</f>
        <v/>
      </c>
      <c r="G31" s="122">
        <f>IF(AND(Foliage_Pre[[#This Row],[Parcel Number]]&lt;&gt;"",(OR(Foliage_Pre[[#This Row],[Habitat Type]]="",Foliage_Pre[[#This Row],[Length (m)]]="",Foliage_Pre[[#This Row],[Condition]]=""))),Incomplete_Habitat_Details,IF(Foliage_Pre[[#This Row],[Parcel Number]]="",0,Foliage_Pre[[#This Row],[Length (m)]]*Foliage_Pre[[#This Row],[Condition Score]]))</f>
        <v>0</v>
      </c>
      <c r="H31" s="16">
        <f>IF(Foliage_Pre[[#This Row],[Biodiversity Units]]=Incomplete_Habitat_Details,1,0)</f>
        <v>0</v>
      </c>
      <c r="I31" s="16" t="str">
        <f>IF(Foliage_Pre[[#This Row],[Length (m)]]&gt;0,Foliage_Pre[[#This Row],[Condition Score]],"")</f>
        <v/>
      </c>
    </row>
    <row r="32" spans="2:9" ht="15.75" thickBot="1">
      <c r="B32" s="93"/>
      <c r="C32" s="94"/>
      <c r="D32" s="94"/>
      <c r="E32" s="94"/>
      <c r="F32" s="19" t="str">
        <f>IFERROR(VLOOKUP(Foliage_Pre[[#This Row],[Condition]],Lookups!$D$2:$E$4,2,FALSE),"")</f>
        <v/>
      </c>
      <c r="G32" s="125">
        <f>IF(AND(Foliage_Pre[[#This Row],[Parcel Number]]&lt;&gt;"",(OR(Foliage_Pre[[#This Row],[Habitat Type]]="",Foliage_Pre[[#This Row],[Length (m)]]="",Foliage_Pre[[#This Row],[Condition]]=""))),Incomplete_Habitat_Details,IF(Foliage_Pre[[#This Row],[Parcel Number]]="",0,Foliage_Pre[[#This Row],[Length (m)]]*Foliage_Pre[[#This Row],[Condition Score]]))</f>
        <v>0</v>
      </c>
      <c r="H32" s="16">
        <f>IF(Foliage_Pre[[#This Row],[Biodiversity Units]]=Incomplete_Habitat_Details,1,0)</f>
        <v>0</v>
      </c>
      <c r="I32" s="16" t="str">
        <f>IF(Foliage_Pre[[#This Row],[Length (m)]]&gt;0,Foliage_Pre[[#This Row],[Condition Score]],"")</f>
        <v/>
      </c>
    </row>
    <row r="33" spans="2:8" ht="15.75" thickBot="1">
      <c r="B33" s="110" t="s">
        <v>59</v>
      </c>
      <c r="C33" s="111"/>
      <c r="D33" s="111">
        <f>SUM(Foliage_Pre[Length (m)])</f>
        <v>0</v>
      </c>
      <c r="E33" s="111"/>
      <c r="F33" s="60">
        <f>SUBTOTAL(105,Foliage_Pre[Condition Score])</f>
        <v>0</v>
      </c>
      <c r="G33" s="109">
        <f>IF(H33&gt;0,Errors_Corrected,IF(Foliage_Pre[[#Totals],[Length (m)]]=0,0, SUBTOTAL(9,Foliage_Pre[Biodiversity Units])))</f>
        <v>0</v>
      </c>
      <c r="H33" s="16">
        <f>SUM(H8:H32)</f>
        <v>0</v>
      </c>
    </row>
    <row r="34" spans="2:8" ht="15.75" thickBot="1">
      <c r="B34" s="8"/>
      <c r="C34" s="8"/>
      <c r="D34" s="8"/>
      <c r="E34" s="8"/>
      <c r="F34" s="8"/>
      <c r="G34" s="8"/>
    </row>
    <row r="35" spans="2:8" ht="26.25">
      <c r="B35" s="222" t="s">
        <v>95</v>
      </c>
      <c r="C35" s="223"/>
      <c r="D35" s="223"/>
      <c r="E35" s="223"/>
      <c r="F35" s="223"/>
      <c r="G35" s="224"/>
    </row>
    <row r="36" spans="2:8">
      <c r="B36" s="73" t="s">
        <v>37</v>
      </c>
      <c r="C36" s="74" t="s">
        <v>61</v>
      </c>
      <c r="D36" s="74" t="s">
        <v>86</v>
      </c>
      <c r="E36" s="74" t="s">
        <v>41</v>
      </c>
      <c r="F36" s="74" t="s">
        <v>42</v>
      </c>
      <c r="G36" s="90" t="s">
        <v>44</v>
      </c>
    </row>
    <row r="37" spans="2:8">
      <c r="B37" s="91"/>
      <c r="C37" s="92"/>
      <c r="D37" s="92"/>
      <c r="E37" s="92"/>
      <c r="F37" s="18" t="str">
        <f>IFERROR(VLOOKUP(Foliage_Lost[[#This Row],[Condition]],Lookups!$D$2:$E$4,2,FALSE),"")</f>
        <v/>
      </c>
      <c r="G37" s="124">
        <f>IF(AND(Foliage_Lost[[#This Row],[Parcel Number]]&lt;&gt;"",(OR(Foliage_Lost[[#This Row],[Habitat Type]]="",Foliage_Lost[[#This Row],[Length (m)]]="",Foliage_Lost[[#This Row],[Condition]]=""))),Incomplete_Habitat_Details,IF(Foliage_Lost[[#This Row],[Parcel Number]]="",0,Foliage_Lost[[#This Row],[Length (m)]]*Foliage_Lost[[#This Row],[Condition Score]]))</f>
        <v>0</v>
      </c>
      <c r="H37" s="16">
        <f>IF(Foliage_Lost[[#This Row],[Biodiversity Units]]=Incomplete_Habitat_Details,1,0)</f>
        <v>0</v>
      </c>
    </row>
    <row r="38" spans="2:8">
      <c r="B38" s="76"/>
      <c r="C38" s="58"/>
      <c r="D38" s="58"/>
      <c r="E38" s="58"/>
      <c r="F38" s="18" t="str">
        <f>IFERROR(VLOOKUP(Foliage_Lost[[#This Row],[Condition]],Lookups!$D$2:$E$4,2,FALSE),"")</f>
        <v/>
      </c>
      <c r="G38" s="122">
        <f>IF(AND(Foliage_Lost[[#This Row],[Parcel Number]]&lt;&gt;"",(OR(Foliage_Lost[[#This Row],[Habitat Type]]="",Foliage_Lost[[#This Row],[Length (m)]]="",Foliage_Lost[[#This Row],[Condition]]=""))),Incomplete_Habitat_Details,IF(Foliage_Lost[[#This Row],[Parcel Number]]="",0,Foliage_Lost[[#This Row],[Length (m)]]*Foliage_Lost[[#This Row],[Condition Score]]))</f>
        <v>0</v>
      </c>
      <c r="H38" s="16">
        <f>IF(Foliage_Lost[[#This Row],[Biodiversity Units]]=Incomplete_Habitat_Details,1,0)</f>
        <v>0</v>
      </c>
    </row>
    <row r="39" spans="2:8">
      <c r="B39" s="76"/>
      <c r="C39" s="58"/>
      <c r="D39" s="58"/>
      <c r="E39" s="58"/>
      <c r="F39" s="18" t="str">
        <f>IFERROR(VLOOKUP(Foliage_Lost[[#This Row],[Condition]],Lookups!$D$2:$E$4,2,FALSE),"")</f>
        <v/>
      </c>
      <c r="G39" s="122">
        <f>IF(AND(Foliage_Lost[[#This Row],[Parcel Number]]&lt;&gt;"",(OR(Foliage_Lost[[#This Row],[Habitat Type]]="",Foliage_Lost[[#This Row],[Length (m)]]="",Foliage_Lost[[#This Row],[Condition]]=""))),Incomplete_Habitat_Details,IF(Foliage_Lost[[#This Row],[Parcel Number]]="",0,Foliage_Lost[[#This Row],[Length (m)]]*Foliage_Lost[[#This Row],[Condition Score]]))</f>
        <v>0</v>
      </c>
      <c r="H39" s="16">
        <f>IF(Foliage_Lost[[#This Row],[Biodiversity Units]]=Incomplete_Habitat_Details,1,0)</f>
        <v>0</v>
      </c>
    </row>
    <row r="40" spans="2:8">
      <c r="B40" s="76"/>
      <c r="C40" s="58"/>
      <c r="D40" s="58"/>
      <c r="E40" s="58"/>
      <c r="F40" s="18" t="str">
        <f>IFERROR(VLOOKUP(Foliage_Lost[[#This Row],[Condition]],Lookups!$D$2:$E$4,2,FALSE),"")</f>
        <v/>
      </c>
      <c r="G40" s="122">
        <f>IF(AND(Foliage_Lost[[#This Row],[Parcel Number]]&lt;&gt;"",(OR(Foliage_Lost[[#This Row],[Habitat Type]]="",Foliage_Lost[[#This Row],[Length (m)]]="",Foliage_Lost[[#This Row],[Condition]]=""))),Incomplete_Habitat_Details,IF(Foliage_Lost[[#This Row],[Parcel Number]]="",0,Foliage_Lost[[#This Row],[Length (m)]]*Foliage_Lost[[#This Row],[Condition Score]]))</f>
        <v>0</v>
      </c>
      <c r="H40" s="16">
        <f>IF(Foliage_Lost[[#This Row],[Biodiversity Units]]=Incomplete_Habitat_Details,1,0)</f>
        <v>0</v>
      </c>
    </row>
    <row r="41" spans="2:8">
      <c r="B41" s="76"/>
      <c r="C41" s="58"/>
      <c r="D41" s="58"/>
      <c r="E41" s="58"/>
      <c r="F41" s="18" t="str">
        <f>IFERROR(VLOOKUP(Foliage_Lost[[#This Row],[Condition]],Lookups!$D$2:$E$4,2,FALSE),"")</f>
        <v/>
      </c>
      <c r="G41" s="122">
        <f>IF(AND(Foliage_Lost[[#This Row],[Parcel Number]]&lt;&gt;"",(OR(Foliage_Lost[[#This Row],[Habitat Type]]="",Foliage_Lost[[#This Row],[Length (m)]]="",Foliage_Lost[[#This Row],[Condition]]=""))),Incomplete_Habitat_Details,IF(Foliage_Lost[[#This Row],[Parcel Number]]="",0,Foliage_Lost[[#This Row],[Length (m)]]*Foliage_Lost[[#This Row],[Condition Score]]))</f>
        <v>0</v>
      </c>
      <c r="H41" s="16">
        <f>IF(Foliage_Lost[[#This Row],[Biodiversity Units]]=Incomplete_Habitat_Details,1,0)</f>
        <v>0</v>
      </c>
    </row>
    <row r="42" spans="2:8">
      <c r="B42" s="76"/>
      <c r="C42" s="58"/>
      <c r="D42" s="58"/>
      <c r="E42" s="58"/>
      <c r="F42" s="18" t="str">
        <f>IFERROR(VLOOKUP(Foliage_Lost[[#This Row],[Condition]],Lookups!$D$2:$E$4,2,FALSE),"")</f>
        <v/>
      </c>
      <c r="G42" s="122">
        <f>IF(AND(Foliage_Lost[[#This Row],[Parcel Number]]&lt;&gt;"",(OR(Foliage_Lost[[#This Row],[Habitat Type]]="",Foliage_Lost[[#This Row],[Length (m)]]="",Foliage_Lost[[#This Row],[Condition]]=""))),Incomplete_Habitat_Details,IF(Foliage_Lost[[#This Row],[Parcel Number]]="",0,Foliage_Lost[[#This Row],[Length (m)]]*Foliage_Lost[[#This Row],[Condition Score]]))</f>
        <v>0</v>
      </c>
      <c r="H42" s="16">
        <f>IF(Foliage_Lost[[#This Row],[Biodiversity Units]]=Incomplete_Habitat_Details,1,0)</f>
        <v>0</v>
      </c>
    </row>
    <row r="43" spans="2:8">
      <c r="B43" s="76"/>
      <c r="C43" s="58"/>
      <c r="D43" s="58"/>
      <c r="E43" s="58"/>
      <c r="F43" s="18" t="str">
        <f>IFERROR(VLOOKUP(Foliage_Lost[[#This Row],[Condition]],Lookups!$D$2:$E$4,2,FALSE),"")</f>
        <v/>
      </c>
      <c r="G43" s="122">
        <f>IF(AND(Foliage_Lost[[#This Row],[Parcel Number]]&lt;&gt;"",(OR(Foliage_Lost[[#This Row],[Habitat Type]]="",Foliage_Lost[[#This Row],[Length (m)]]="",Foliage_Lost[[#This Row],[Condition]]=""))),Incomplete_Habitat_Details,IF(Foliage_Lost[[#This Row],[Parcel Number]]="",0,Foliage_Lost[[#This Row],[Length (m)]]*Foliage_Lost[[#This Row],[Condition Score]]))</f>
        <v>0</v>
      </c>
      <c r="H43" s="16">
        <f>IF(Foliage_Lost[[#This Row],[Biodiversity Units]]=Incomplete_Habitat_Details,1,0)</f>
        <v>0</v>
      </c>
    </row>
    <row r="44" spans="2:8">
      <c r="B44" s="76"/>
      <c r="C44" s="58"/>
      <c r="D44" s="58"/>
      <c r="E44" s="58"/>
      <c r="F44" s="18" t="str">
        <f>IFERROR(VLOOKUP(Foliage_Lost[[#This Row],[Condition]],Lookups!$D$2:$E$4,2,FALSE),"")</f>
        <v/>
      </c>
      <c r="G44" s="122">
        <f>IF(AND(Foliage_Lost[[#This Row],[Parcel Number]]&lt;&gt;"",(OR(Foliage_Lost[[#This Row],[Habitat Type]]="",Foliage_Lost[[#This Row],[Length (m)]]="",Foliage_Lost[[#This Row],[Condition]]=""))),Incomplete_Habitat_Details,IF(Foliage_Lost[[#This Row],[Parcel Number]]="",0,Foliage_Lost[[#This Row],[Length (m)]]*Foliage_Lost[[#This Row],[Condition Score]]))</f>
        <v>0</v>
      </c>
      <c r="H44" s="16">
        <f>IF(Foliage_Lost[[#This Row],[Biodiversity Units]]=Incomplete_Habitat_Details,1,0)</f>
        <v>0</v>
      </c>
    </row>
    <row r="45" spans="2:8">
      <c r="B45" s="76"/>
      <c r="C45" s="58"/>
      <c r="D45" s="58"/>
      <c r="E45" s="58"/>
      <c r="F45" s="18" t="str">
        <f>IFERROR(VLOOKUP(Foliage_Lost[[#This Row],[Condition]],Lookups!$D$2:$E$4,2,FALSE),"")</f>
        <v/>
      </c>
      <c r="G45" s="122">
        <f>IF(AND(Foliage_Lost[[#This Row],[Parcel Number]]&lt;&gt;"",(OR(Foliage_Lost[[#This Row],[Habitat Type]]="",Foliage_Lost[[#This Row],[Length (m)]]="",Foliage_Lost[[#This Row],[Condition]]=""))),Incomplete_Habitat_Details,IF(Foliage_Lost[[#This Row],[Parcel Number]]="",0,Foliage_Lost[[#This Row],[Length (m)]]*Foliage_Lost[[#This Row],[Condition Score]]))</f>
        <v>0</v>
      </c>
      <c r="H45" s="16">
        <f>IF(Foliage_Lost[[#This Row],[Biodiversity Units]]=Incomplete_Habitat_Details,1,0)</f>
        <v>0</v>
      </c>
    </row>
    <row r="46" spans="2:8">
      <c r="B46" s="76"/>
      <c r="C46" s="58"/>
      <c r="D46" s="58"/>
      <c r="E46" s="58"/>
      <c r="F46" s="18" t="str">
        <f>IFERROR(VLOOKUP(Foliage_Lost[[#This Row],[Condition]],Lookups!$D$2:$E$4,2,FALSE),"")</f>
        <v/>
      </c>
      <c r="G46" s="122">
        <f>IF(AND(Foliage_Lost[[#This Row],[Parcel Number]]&lt;&gt;"",(OR(Foliage_Lost[[#This Row],[Habitat Type]]="",Foliage_Lost[[#This Row],[Length (m)]]="",Foliage_Lost[[#This Row],[Condition]]=""))),Incomplete_Habitat_Details,IF(Foliage_Lost[[#This Row],[Parcel Number]]="",0,Foliage_Lost[[#This Row],[Length (m)]]*Foliage_Lost[[#This Row],[Condition Score]]))</f>
        <v>0</v>
      </c>
      <c r="H46" s="16">
        <f>IF(Foliage_Lost[[#This Row],[Biodiversity Units]]=Incomplete_Habitat_Details,1,0)</f>
        <v>0</v>
      </c>
    </row>
    <row r="47" spans="2:8">
      <c r="B47" s="76"/>
      <c r="C47" s="58"/>
      <c r="D47" s="58"/>
      <c r="E47" s="58"/>
      <c r="F47" s="18" t="str">
        <f>IFERROR(VLOOKUP(Foliage_Lost[[#This Row],[Condition]],Lookups!$D$2:$E$4,2,FALSE),"")</f>
        <v/>
      </c>
      <c r="G47" s="122">
        <f>IF(AND(Foliage_Lost[[#This Row],[Parcel Number]]&lt;&gt;"",(OR(Foliage_Lost[[#This Row],[Habitat Type]]="",Foliage_Lost[[#This Row],[Length (m)]]="",Foliage_Lost[[#This Row],[Condition]]=""))),Incomplete_Habitat_Details,IF(Foliage_Lost[[#This Row],[Parcel Number]]="",0,Foliage_Lost[[#This Row],[Length (m)]]*Foliage_Lost[[#This Row],[Condition Score]]))</f>
        <v>0</v>
      </c>
      <c r="H47" s="16">
        <f>IF(Foliage_Lost[[#This Row],[Biodiversity Units]]=Incomplete_Habitat_Details,1,0)</f>
        <v>0</v>
      </c>
    </row>
    <row r="48" spans="2:8">
      <c r="B48" s="76"/>
      <c r="C48" s="58"/>
      <c r="D48" s="58"/>
      <c r="E48" s="58"/>
      <c r="F48" s="18" t="str">
        <f>IFERROR(VLOOKUP(Foliage_Lost[[#This Row],[Condition]],Lookups!$D$2:$E$4,2,FALSE),"")</f>
        <v/>
      </c>
      <c r="G48" s="122">
        <f>IF(AND(Foliage_Lost[[#This Row],[Parcel Number]]&lt;&gt;"",(OR(Foliage_Lost[[#This Row],[Habitat Type]]="",Foliage_Lost[[#This Row],[Length (m)]]="",Foliage_Lost[[#This Row],[Condition]]=""))),Incomplete_Habitat_Details,IF(Foliage_Lost[[#This Row],[Parcel Number]]="",0,Foliage_Lost[[#This Row],[Length (m)]]*Foliage_Lost[[#This Row],[Condition Score]]))</f>
        <v>0</v>
      </c>
      <c r="H48" s="16">
        <f>IF(Foliage_Lost[[#This Row],[Biodiversity Units]]=Incomplete_Habitat_Details,1,0)</f>
        <v>0</v>
      </c>
    </row>
    <row r="49" spans="2:8">
      <c r="B49" s="76"/>
      <c r="C49" s="58"/>
      <c r="D49" s="58"/>
      <c r="E49" s="58"/>
      <c r="F49" s="18" t="str">
        <f>IFERROR(VLOOKUP(Foliage_Lost[[#This Row],[Condition]],Lookups!$D$2:$E$4,2,FALSE),"")</f>
        <v/>
      </c>
      <c r="G49" s="122">
        <f>IF(AND(Foliage_Lost[[#This Row],[Parcel Number]]&lt;&gt;"",(OR(Foliage_Lost[[#This Row],[Habitat Type]]="",Foliage_Lost[[#This Row],[Length (m)]]="",Foliage_Lost[[#This Row],[Condition]]=""))),Incomplete_Habitat_Details,IF(Foliage_Lost[[#This Row],[Parcel Number]]="",0,Foliage_Lost[[#This Row],[Length (m)]]*Foliage_Lost[[#This Row],[Condition Score]]))</f>
        <v>0</v>
      </c>
      <c r="H49" s="16">
        <f>IF(Foliage_Lost[[#This Row],[Biodiversity Units]]=Incomplete_Habitat_Details,1,0)</f>
        <v>0</v>
      </c>
    </row>
    <row r="50" spans="2:8">
      <c r="B50" s="76"/>
      <c r="C50" s="58"/>
      <c r="D50" s="58"/>
      <c r="E50" s="58"/>
      <c r="F50" s="18" t="str">
        <f>IFERROR(VLOOKUP(Foliage_Lost[[#This Row],[Condition]],Lookups!$D$2:$E$4,2,FALSE),"")</f>
        <v/>
      </c>
      <c r="G50" s="122">
        <f>IF(AND(Foliage_Lost[[#This Row],[Parcel Number]]&lt;&gt;"",(OR(Foliage_Lost[[#This Row],[Habitat Type]]="",Foliage_Lost[[#This Row],[Length (m)]]="",Foliage_Lost[[#This Row],[Condition]]=""))),Incomplete_Habitat_Details,IF(Foliage_Lost[[#This Row],[Parcel Number]]="",0,Foliage_Lost[[#This Row],[Length (m)]]*Foliage_Lost[[#This Row],[Condition Score]]))</f>
        <v>0</v>
      </c>
      <c r="H50" s="16">
        <f>IF(Foliage_Lost[[#This Row],[Biodiversity Units]]=Incomplete_Habitat_Details,1,0)</f>
        <v>0</v>
      </c>
    </row>
    <row r="51" spans="2:8">
      <c r="B51" s="76"/>
      <c r="C51" s="58"/>
      <c r="D51" s="58"/>
      <c r="E51" s="58"/>
      <c r="F51" s="18" t="str">
        <f>IFERROR(VLOOKUP(Foliage_Lost[[#This Row],[Condition]],Lookups!$D$2:$E$4,2,FALSE),"")</f>
        <v/>
      </c>
      <c r="G51" s="122">
        <f>IF(AND(Foliage_Lost[[#This Row],[Parcel Number]]&lt;&gt;"",(OR(Foliage_Lost[[#This Row],[Habitat Type]]="",Foliage_Lost[[#This Row],[Length (m)]]="",Foliage_Lost[[#This Row],[Condition]]=""))),Incomplete_Habitat_Details,IF(Foliage_Lost[[#This Row],[Parcel Number]]="",0,Foliage_Lost[[#This Row],[Length (m)]]*Foliage_Lost[[#This Row],[Condition Score]]))</f>
        <v>0</v>
      </c>
      <c r="H51" s="16">
        <f>IF(Foliage_Lost[[#This Row],[Biodiversity Units]]=Incomplete_Habitat_Details,1,0)</f>
        <v>0</v>
      </c>
    </row>
    <row r="52" spans="2:8">
      <c r="B52" s="76"/>
      <c r="C52" s="58"/>
      <c r="D52" s="58"/>
      <c r="E52" s="58"/>
      <c r="F52" s="18" t="str">
        <f>IFERROR(VLOOKUP(Foliage_Lost[[#This Row],[Condition]],Lookups!$D$2:$E$4,2,FALSE),"")</f>
        <v/>
      </c>
      <c r="G52" s="122">
        <f>IF(AND(Foliage_Lost[[#This Row],[Parcel Number]]&lt;&gt;"",(OR(Foliage_Lost[[#This Row],[Habitat Type]]="",Foliage_Lost[[#This Row],[Length (m)]]="",Foliage_Lost[[#This Row],[Condition]]=""))),Incomplete_Habitat_Details,IF(Foliage_Lost[[#This Row],[Parcel Number]]="",0,Foliage_Lost[[#This Row],[Length (m)]]*Foliage_Lost[[#This Row],[Condition Score]]))</f>
        <v>0</v>
      </c>
      <c r="H52" s="16">
        <f>IF(Foliage_Lost[[#This Row],[Biodiversity Units]]=Incomplete_Habitat_Details,1,0)</f>
        <v>0</v>
      </c>
    </row>
    <row r="53" spans="2:8">
      <c r="B53" s="76"/>
      <c r="C53" s="58"/>
      <c r="D53" s="58"/>
      <c r="E53" s="58"/>
      <c r="F53" s="18" t="str">
        <f>IFERROR(VLOOKUP(Foliage_Lost[[#This Row],[Condition]],Lookups!$D$2:$E$4,2,FALSE),"")</f>
        <v/>
      </c>
      <c r="G53" s="122">
        <f>IF(AND(Foliage_Lost[[#This Row],[Parcel Number]]&lt;&gt;"",(OR(Foliage_Lost[[#This Row],[Habitat Type]]="",Foliage_Lost[[#This Row],[Length (m)]]="",Foliage_Lost[[#This Row],[Condition]]=""))),Incomplete_Habitat_Details,IF(Foliage_Lost[[#This Row],[Parcel Number]]="",0,Foliage_Lost[[#This Row],[Length (m)]]*Foliage_Lost[[#This Row],[Condition Score]]))</f>
        <v>0</v>
      </c>
      <c r="H53" s="16">
        <f>IF(Foliage_Lost[[#This Row],[Biodiversity Units]]=Incomplete_Habitat_Details,1,0)</f>
        <v>0</v>
      </c>
    </row>
    <row r="54" spans="2:8">
      <c r="B54" s="76"/>
      <c r="C54" s="58"/>
      <c r="D54" s="58"/>
      <c r="E54" s="58"/>
      <c r="F54" s="18" t="str">
        <f>IFERROR(VLOOKUP(Foliage_Lost[[#This Row],[Condition]],Lookups!$D$2:$E$4,2,FALSE),"")</f>
        <v/>
      </c>
      <c r="G54" s="122">
        <f>IF(AND(Foliage_Lost[[#This Row],[Parcel Number]]&lt;&gt;"",(OR(Foliage_Lost[[#This Row],[Habitat Type]]="",Foliage_Lost[[#This Row],[Length (m)]]="",Foliage_Lost[[#This Row],[Condition]]=""))),Incomplete_Habitat_Details,IF(Foliage_Lost[[#This Row],[Parcel Number]]="",0,Foliage_Lost[[#This Row],[Length (m)]]*Foliage_Lost[[#This Row],[Condition Score]]))</f>
        <v>0</v>
      </c>
      <c r="H54" s="16">
        <f>IF(Foliage_Lost[[#This Row],[Biodiversity Units]]=Incomplete_Habitat_Details,1,0)</f>
        <v>0</v>
      </c>
    </row>
    <row r="55" spans="2:8">
      <c r="B55" s="76"/>
      <c r="C55" s="58"/>
      <c r="D55" s="58"/>
      <c r="E55" s="58"/>
      <c r="F55" s="18" t="str">
        <f>IFERROR(VLOOKUP(Foliage_Lost[[#This Row],[Condition]],Lookups!$D$2:$E$4,2,FALSE),"")</f>
        <v/>
      </c>
      <c r="G55" s="122">
        <f>IF(AND(Foliage_Lost[[#This Row],[Parcel Number]]&lt;&gt;"",(OR(Foliage_Lost[[#This Row],[Habitat Type]]="",Foliage_Lost[[#This Row],[Length (m)]]="",Foliage_Lost[[#This Row],[Condition]]=""))),Incomplete_Habitat_Details,IF(Foliage_Lost[[#This Row],[Parcel Number]]="",0,Foliage_Lost[[#This Row],[Length (m)]]*Foliage_Lost[[#This Row],[Condition Score]]))</f>
        <v>0</v>
      </c>
      <c r="H55" s="16">
        <f>IF(Foliage_Lost[[#This Row],[Biodiversity Units]]=Incomplete_Habitat_Details,1,0)</f>
        <v>0</v>
      </c>
    </row>
    <row r="56" spans="2:8">
      <c r="B56" s="76"/>
      <c r="C56" s="58"/>
      <c r="D56" s="58"/>
      <c r="E56" s="58"/>
      <c r="F56" s="18" t="str">
        <f>IFERROR(VLOOKUP(Foliage_Lost[[#This Row],[Condition]],Lookups!$D$2:$E$4,2,FALSE),"")</f>
        <v/>
      </c>
      <c r="G56" s="122">
        <f>IF(AND(Foliage_Lost[[#This Row],[Parcel Number]]&lt;&gt;"",(OR(Foliage_Lost[[#This Row],[Habitat Type]]="",Foliage_Lost[[#This Row],[Length (m)]]="",Foliage_Lost[[#This Row],[Condition]]=""))),Incomplete_Habitat_Details,IF(Foliage_Lost[[#This Row],[Parcel Number]]="",0,Foliage_Lost[[#This Row],[Length (m)]]*Foliage_Lost[[#This Row],[Condition Score]]))</f>
        <v>0</v>
      </c>
      <c r="H56" s="16">
        <f>IF(Foliage_Lost[[#This Row],[Biodiversity Units]]=Incomplete_Habitat_Details,1,0)</f>
        <v>0</v>
      </c>
    </row>
    <row r="57" spans="2:8">
      <c r="B57" s="76"/>
      <c r="C57" s="58"/>
      <c r="D57" s="58"/>
      <c r="E57" s="58"/>
      <c r="F57" s="18" t="str">
        <f>IFERROR(VLOOKUP(Foliage_Lost[[#This Row],[Condition]],Lookups!$D$2:$E$4,2,FALSE),"")</f>
        <v/>
      </c>
      <c r="G57" s="122">
        <f>IF(AND(Foliage_Lost[[#This Row],[Parcel Number]]&lt;&gt;"",(OR(Foliage_Lost[[#This Row],[Habitat Type]]="",Foliage_Lost[[#This Row],[Length (m)]]="",Foliage_Lost[[#This Row],[Condition]]=""))),Incomplete_Habitat_Details,IF(Foliage_Lost[[#This Row],[Parcel Number]]="",0,Foliage_Lost[[#This Row],[Length (m)]]*Foliage_Lost[[#This Row],[Condition Score]]))</f>
        <v>0</v>
      </c>
      <c r="H57" s="16">
        <f>IF(Foliage_Lost[[#This Row],[Biodiversity Units]]=Incomplete_Habitat_Details,1,0)</f>
        <v>0</v>
      </c>
    </row>
    <row r="58" spans="2:8">
      <c r="B58" s="76"/>
      <c r="C58" s="58"/>
      <c r="D58" s="58"/>
      <c r="E58" s="58"/>
      <c r="F58" s="18" t="str">
        <f>IFERROR(VLOOKUP(Foliage_Lost[[#This Row],[Condition]],Lookups!$D$2:$E$4,2,FALSE),"")</f>
        <v/>
      </c>
      <c r="G58" s="122">
        <f>IF(AND(Foliage_Lost[[#This Row],[Parcel Number]]&lt;&gt;"",(OR(Foliage_Lost[[#This Row],[Habitat Type]]="",Foliage_Lost[[#This Row],[Length (m)]]="",Foliage_Lost[[#This Row],[Condition]]=""))),Incomplete_Habitat_Details,IF(Foliage_Lost[[#This Row],[Parcel Number]]="",0,Foliage_Lost[[#This Row],[Length (m)]]*Foliage_Lost[[#This Row],[Condition Score]]))</f>
        <v>0</v>
      </c>
      <c r="H58" s="16">
        <f>IF(Foliage_Lost[[#This Row],[Biodiversity Units]]=Incomplete_Habitat_Details,1,0)</f>
        <v>0</v>
      </c>
    </row>
    <row r="59" spans="2:8">
      <c r="B59" s="76"/>
      <c r="C59" s="58"/>
      <c r="D59" s="58"/>
      <c r="E59" s="58"/>
      <c r="F59" s="18" t="str">
        <f>IFERROR(VLOOKUP(Foliage_Lost[[#This Row],[Condition]],Lookups!$D$2:$E$4,2,FALSE),"")</f>
        <v/>
      </c>
      <c r="G59" s="122">
        <f>IF(AND(Foliage_Lost[[#This Row],[Parcel Number]]&lt;&gt;"",(OR(Foliage_Lost[[#This Row],[Habitat Type]]="",Foliage_Lost[[#This Row],[Length (m)]]="",Foliage_Lost[[#This Row],[Condition]]=""))),Incomplete_Habitat_Details,IF(Foliage_Lost[[#This Row],[Parcel Number]]="",0,Foliage_Lost[[#This Row],[Length (m)]]*Foliage_Lost[[#This Row],[Condition Score]]))</f>
        <v>0</v>
      </c>
      <c r="H59" s="16">
        <f>IF(Foliage_Lost[[#This Row],[Biodiversity Units]]=Incomplete_Habitat_Details,1,0)</f>
        <v>0</v>
      </c>
    </row>
    <row r="60" spans="2:8">
      <c r="B60" s="76"/>
      <c r="C60" s="58"/>
      <c r="D60" s="58"/>
      <c r="E60" s="58"/>
      <c r="F60" s="18" t="str">
        <f>IFERROR(VLOOKUP(Foliage_Lost[[#This Row],[Condition]],Lookups!$D$2:$E$4,2,FALSE),"")</f>
        <v/>
      </c>
      <c r="G60" s="122">
        <f>IF(AND(Foliage_Lost[[#This Row],[Parcel Number]]&lt;&gt;"",(OR(Foliage_Lost[[#This Row],[Habitat Type]]="",Foliage_Lost[[#This Row],[Length (m)]]="",Foliage_Lost[[#This Row],[Condition]]=""))),Incomplete_Habitat_Details,IF(Foliage_Lost[[#This Row],[Parcel Number]]="",0,Foliage_Lost[[#This Row],[Length (m)]]*Foliage_Lost[[#This Row],[Condition Score]]))</f>
        <v>0</v>
      </c>
      <c r="H60" s="16">
        <f>IF(Foliage_Lost[[#This Row],[Biodiversity Units]]=Incomplete_Habitat_Details,1,0)</f>
        <v>0</v>
      </c>
    </row>
    <row r="61" spans="2:8" ht="15.75" thickBot="1">
      <c r="B61" s="93"/>
      <c r="C61" s="94"/>
      <c r="D61" s="94"/>
      <c r="E61" s="94"/>
      <c r="F61" s="18" t="str">
        <f>IFERROR(VLOOKUP(Foliage_Lost[[#This Row],[Condition]],Lookups!$D$2:$E$4,2,FALSE),"")</f>
        <v/>
      </c>
      <c r="G61" s="125">
        <f>IF(AND(Foliage_Lost[[#This Row],[Parcel Number]]&lt;&gt;"",(OR(Foliage_Lost[[#This Row],[Habitat Type]]="",Foliage_Lost[[#This Row],[Length (m)]]="",Foliage_Lost[[#This Row],[Condition]]=""))),Incomplete_Habitat_Details,IF(Foliage_Lost[[#This Row],[Parcel Number]]="",0,Foliage_Lost[[#This Row],[Length (m)]]*Foliage_Lost[[#This Row],[Condition Score]]))</f>
        <v>0</v>
      </c>
      <c r="H61" s="16">
        <f>IF(Foliage_Lost[[#This Row],[Biodiversity Units]]=Incomplete_Habitat_Details,1,0)</f>
        <v>0</v>
      </c>
    </row>
    <row r="62" spans="2:8" ht="15.75" thickBot="1">
      <c r="B62" s="110" t="s">
        <v>59</v>
      </c>
      <c r="C62" s="111"/>
      <c r="D62" s="111">
        <f>SUM(Foliage_Lost[Length (m)])</f>
        <v>0</v>
      </c>
      <c r="E62" s="111"/>
      <c r="F62" s="60">
        <f>SUBTOTAL(105,Foliage_Lost[Condition Score])</f>
        <v>0</v>
      </c>
      <c r="G62" s="109">
        <f>IF(H62&gt;0,Errors_Corrected,IF(SUM(Foliage_Lost[[#Headers],[#Data],[Biodiversity Units]])&gt;Foliage_Pre[[#Totals],[Biodiversity Units]],Loss_Exceeds_Pre_Error,IF(Foliage_Lost[[#Totals],[Length (m)]]=0,0,SUM(Foliage_Lost[[#Headers],[#Data],[Biodiversity Units]]))))</f>
        <v>0</v>
      </c>
      <c r="H62" s="16">
        <f>SUM(H37:H61)</f>
        <v>0</v>
      </c>
    </row>
    <row r="63" spans="2:8" ht="15.75" thickBot="1">
      <c r="B63" s="8"/>
      <c r="C63" s="8"/>
      <c r="D63" s="8"/>
      <c r="E63" s="8"/>
      <c r="F63" s="8"/>
      <c r="G63" s="8"/>
    </row>
    <row r="64" spans="2:8" ht="26.25">
      <c r="B64" s="222" t="s">
        <v>96</v>
      </c>
      <c r="C64" s="223"/>
      <c r="D64" s="223"/>
      <c r="E64" s="224"/>
      <c r="F64" s="8"/>
      <c r="G64" s="8"/>
    </row>
    <row r="65" spans="2:7">
      <c r="B65" s="73" t="s">
        <v>37</v>
      </c>
      <c r="C65" s="74" t="s">
        <v>61</v>
      </c>
      <c r="D65" s="74" t="s">
        <v>86</v>
      </c>
      <c r="E65" s="90" t="s">
        <v>44</v>
      </c>
      <c r="F65" s="8"/>
      <c r="G65" s="8"/>
    </row>
    <row r="66" spans="2:7">
      <c r="B66" s="91">
        <v>10</v>
      </c>
      <c r="C66" s="92" t="s">
        <v>97</v>
      </c>
      <c r="D66" s="92">
        <v>60</v>
      </c>
      <c r="E66" s="124">
        <f>IF(AND(Foliage_Enhanced[[#This Row],[Parcel Number]]&lt;&gt;"",OR(Foliage_Enhanced[[#This Row],[Habitat Type]]="",Foliage_Enhanced[[#This Row],[Length (m)]]="")),Incomplete_Habitat_Details,IF(Foliage_Enhanced[[#This Row],[Parcel Number]]="",0,Foliage_Enhanced[[#This Row],[Length (m)]]))</f>
        <v>60</v>
      </c>
      <c r="F66" s="8"/>
      <c r="G66" s="22">
        <f>IF(Foliage_Enhanced[[#This Row],[Biodiversity Units]]=Incomplete_Habitat_Details,1,0)</f>
        <v>0</v>
      </c>
    </row>
    <row r="67" spans="2:7">
      <c r="B67" s="76">
        <v>11</v>
      </c>
      <c r="C67" s="92" t="s">
        <v>97</v>
      </c>
      <c r="D67" s="58">
        <v>30</v>
      </c>
      <c r="E67" s="122">
        <f>IF(AND(Foliage_Enhanced[[#This Row],[Parcel Number]]&lt;&gt;"",OR(Foliage_Enhanced[[#This Row],[Habitat Type]]="",Foliage_Enhanced[[#This Row],[Length (m)]]="")),Incomplete_Habitat_Details,IF(Foliage_Enhanced[[#This Row],[Parcel Number]]="",0,Foliage_Enhanced[[#This Row],[Length (m)]]))</f>
        <v>30</v>
      </c>
      <c r="F67" s="8"/>
      <c r="G67" s="22">
        <f>IF(Foliage_Enhanced[[#This Row],[Biodiversity Units]]=Incomplete_Habitat_Details,1,0)</f>
        <v>0</v>
      </c>
    </row>
    <row r="68" spans="2:7">
      <c r="B68" s="76"/>
      <c r="C68" s="58"/>
      <c r="D68" s="58"/>
      <c r="E68" s="122">
        <f>IF(AND(Foliage_Enhanced[[#This Row],[Parcel Number]]&lt;&gt;"",OR(Foliage_Enhanced[[#This Row],[Habitat Type]]="",Foliage_Enhanced[[#This Row],[Length (m)]]="")),Incomplete_Habitat_Details,IF(Foliage_Enhanced[[#This Row],[Parcel Number]]="",0,Foliage_Enhanced[[#This Row],[Length (m)]]))</f>
        <v>0</v>
      </c>
      <c r="F68" s="8"/>
      <c r="G68" s="22">
        <f>IF(Foliage_Enhanced[[#This Row],[Biodiversity Units]]=Incomplete_Habitat_Details,1,0)</f>
        <v>0</v>
      </c>
    </row>
    <row r="69" spans="2:7">
      <c r="B69" s="76"/>
      <c r="C69" s="58"/>
      <c r="D69" s="58"/>
      <c r="E69" s="122">
        <f>IF(AND(Foliage_Enhanced[[#This Row],[Parcel Number]]&lt;&gt;"",OR(Foliage_Enhanced[[#This Row],[Habitat Type]]="",Foliage_Enhanced[[#This Row],[Length (m)]]="")),Incomplete_Habitat_Details,IF(Foliage_Enhanced[[#This Row],[Parcel Number]]="",0,Foliage_Enhanced[[#This Row],[Length (m)]]))</f>
        <v>0</v>
      </c>
      <c r="F69" s="8"/>
      <c r="G69" s="22">
        <f>IF(Foliage_Enhanced[[#This Row],[Biodiversity Units]]=Incomplete_Habitat_Details,1,0)</f>
        <v>0</v>
      </c>
    </row>
    <row r="70" spans="2:7">
      <c r="B70" s="76"/>
      <c r="C70" s="58"/>
      <c r="D70" s="58"/>
      <c r="E70" s="122">
        <f>IF(AND(Foliage_Enhanced[[#This Row],[Parcel Number]]&lt;&gt;"",OR(Foliage_Enhanced[[#This Row],[Habitat Type]]="",Foliage_Enhanced[[#This Row],[Length (m)]]="")),Incomplete_Habitat_Details,IF(Foliage_Enhanced[[#This Row],[Parcel Number]]="",0,Foliage_Enhanced[[#This Row],[Length (m)]]))</f>
        <v>0</v>
      </c>
      <c r="F70" s="8"/>
      <c r="G70" s="22">
        <f>IF(Foliage_Enhanced[[#This Row],[Biodiversity Units]]=Incomplete_Habitat_Details,1,0)</f>
        <v>0</v>
      </c>
    </row>
    <row r="71" spans="2:7">
      <c r="B71" s="76"/>
      <c r="C71" s="58"/>
      <c r="D71" s="58"/>
      <c r="E71" s="122">
        <f>IF(AND(Foliage_Enhanced[[#This Row],[Parcel Number]]&lt;&gt;"",OR(Foliage_Enhanced[[#This Row],[Habitat Type]]="",Foliage_Enhanced[[#This Row],[Length (m)]]="")),Incomplete_Habitat_Details,IF(Foliage_Enhanced[[#This Row],[Parcel Number]]="",0,Foliage_Enhanced[[#This Row],[Length (m)]]))</f>
        <v>0</v>
      </c>
      <c r="F71" s="8"/>
      <c r="G71" s="22">
        <f>IF(Foliage_Enhanced[[#This Row],[Biodiversity Units]]=Incomplete_Habitat_Details,1,0)</f>
        <v>0</v>
      </c>
    </row>
    <row r="72" spans="2:7">
      <c r="B72" s="76"/>
      <c r="C72" s="58"/>
      <c r="D72" s="58"/>
      <c r="E72" s="122">
        <f>IF(AND(Foliage_Enhanced[[#This Row],[Parcel Number]]&lt;&gt;"",OR(Foliage_Enhanced[[#This Row],[Habitat Type]]="",Foliage_Enhanced[[#This Row],[Length (m)]]="")),Incomplete_Habitat_Details,IF(Foliage_Enhanced[[#This Row],[Parcel Number]]="",0,Foliage_Enhanced[[#This Row],[Length (m)]]))</f>
        <v>0</v>
      </c>
      <c r="F72" s="8"/>
      <c r="G72" s="22">
        <f>IF(Foliage_Enhanced[[#This Row],[Biodiversity Units]]=Incomplete_Habitat_Details,1,0)</f>
        <v>0</v>
      </c>
    </row>
    <row r="73" spans="2:7">
      <c r="B73" s="76"/>
      <c r="C73" s="58"/>
      <c r="D73" s="58"/>
      <c r="E73" s="122">
        <f>IF(AND(Foliage_Enhanced[[#This Row],[Parcel Number]]&lt;&gt;"",OR(Foliage_Enhanced[[#This Row],[Habitat Type]]="",Foliage_Enhanced[[#This Row],[Length (m)]]="")),Incomplete_Habitat_Details,IF(Foliage_Enhanced[[#This Row],[Parcel Number]]="",0,Foliage_Enhanced[[#This Row],[Length (m)]]))</f>
        <v>0</v>
      </c>
      <c r="F73" s="8"/>
      <c r="G73" s="22">
        <f>IF(Foliage_Enhanced[[#This Row],[Biodiversity Units]]=Incomplete_Habitat_Details,1,0)</f>
        <v>0</v>
      </c>
    </row>
    <row r="74" spans="2:7">
      <c r="B74" s="76"/>
      <c r="C74" s="58"/>
      <c r="D74" s="58"/>
      <c r="E74" s="122">
        <f>IF(AND(Foliage_Enhanced[[#This Row],[Parcel Number]]&lt;&gt;"",OR(Foliage_Enhanced[[#This Row],[Habitat Type]]="",Foliage_Enhanced[[#This Row],[Length (m)]]="")),Incomplete_Habitat_Details,IF(Foliage_Enhanced[[#This Row],[Parcel Number]]="",0,Foliage_Enhanced[[#This Row],[Length (m)]]))</f>
        <v>0</v>
      </c>
      <c r="F74" s="8"/>
      <c r="G74" s="22">
        <f>IF(Foliage_Enhanced[[#This Row],[Biodiversity Units]]=Incomplete_Habitat_Details,1,0)</f>
        <v>0</v>
      </c>
    </row>
    <row r="75" spans="2:7">
      <c r="B75" s="76"/>
      <c r="C75" s="58"/>
      <c r="D75" s="58"/>
      <c r="E75" s="122">
        <f>IF(AND(Foliage_Enhanced[[#This Row],[Parcel Number]]&lt;&gt;"",OR(Foliage_Enhanced[[#This Row],[Habitat Type]]="",Foliage_Enhanced[[#This Row],[Length (m)]]="")),Incomplete_Habitat_Details,IF(Foliage_Enhanced[[#This Row],[Parcel Number]]="",0,Foliage_Enhanced[[#This Row],[Length (m)]]))</f>
        <v>0</v>
      </c>
      <c r="F75" s="8"/>
      <c r="G75" s="22">
        <f>IF(Foliage_Enhanced[[#This Row],[Biodiversity Units]]=Incomplete_Habitat_Details,1,0)</f>
        <v>0</v>
      </c>
    </row>
    <row r="76" spans="2:7">
      <c r="B76" s="76"/>
      <c r="C76" s="58"/>
      <c r="D76" s="58"/>
      <c r="E76" s="122">
        <f>IF(AND(Foliage_Enhanced[[#This Row],[Parcel Number]]&lt;&gt;"",OR(Foliage_Enhanced[[#This Row],[Habitat Type]]="",Foliage_Enhanced[[#This Row],[Length (m)]]="")),Incomplete_Habitat_Details,IF(Foliage_Enhanced[[#This Row],[Parcel Number]]="",0,Foliage_Enhanced[[#This Row],[Length (m)]]))</f>
        <v>0</v>
      </c>
      <c r="F76" s="8"/>
      <c r="G76" s="22">
        <f>IF(Foliage_Enhanced[[#This Row],[Biodiversity Units]]=Incomplete_Habitat_Details,1,0)</f>
        <v>0</v>
      </c>
    </row>
    <row r="77" spans="2:7">
      <c r="B77" s="76"/>
      <c r="C77" s="58"/>
      <c r="D77" s="58"/>
      <c r="E77" s="122">
        <f>IF(AND(Foliage_Enhanced[[#This Row],[Parcel Number]]&lt;&gt;"",OR(Foliage_Enhanced[[#This Row],[Habitat Type]]="",Foliage_Enhanced[[#This Row],[Length (m)]]="")),Incomplete_Habitat_Details,IF(Foliage_Enhanced[[#This Row],[Parcel Number]]="",0,Foliage_Enhanced[[#This Row],[Length (m)]]))</f>
        <v>0</v>
      </c>
      <c r="F77" s="8"/>
      <c r="G77" s="22">
        <f>IF(Foliage_Enhanced[[#This Row],[Biodiversity Units]]=Incomplete_Habitat_Details,1,0)</f>
        <v>0</v>
      </c>
    </row>
    <row r="78" spans="2:7">
      <c r="B78" s="76"/>
      <c r="C78" s="58"/>
      <c r="D78" s="58"/>
      <c r="E78" s="122">
        <f>IF(AND(Foliage_Enhanced[[#This Row],[Parcel Number]]&lt;&gt;"",OR(Foliage_Enhanced[[#This Row],[Habitat Type]]="",Foliage_Enhanced[[#This Row],[Length (m)]]="")),Incomplete_Habitat_Details,IF(Foliage_Enhanced[[#This Row],[Parcel Number]]="",0,Foliage_Enhanced[[#This Row],[Length (m)]]))</f>
        <v>0</v>
      </c>
      <c r="F78" s="8"/>
      <c r="G78" s="22">
        <f>IF(Foliage_Enhanced[[#This Row],[Biodiversity Units]]=Incomplete_Habitat_Details,1,0)</f>
        <v>0</v>
      </c>
    </row>
    <row r="79" spans="2:7">
      <c r="B79" s="76"/>
      <c r="C79" s="58"/>
      <c r="D79" s="58"/>
      <c r="E79" s="122">
        <f>IF(AND(Foliage_Enhanced[[#This Row],[Parcel Number]]&lt;&gt;"",OR(Foliage_Enhanced[[#This Row],[Habitat Type]]="",Foliage_Enhanced[[#This Row],[Length (m)]]="")),Incomplete_Habitat_Details,IF(Foliage_Enhanced[[#This Row],[Parcel Number]]="",0,Foliage_Enhanced[[#This Row],[Length (m)]]))</f>
        <v>0</v>
      </c>
      <c r="F79" s="8"/>
      <c r="G79" s="22">
        <f>IF(Foliage_Enhanced[[#This Row],[Biodiversity Units]]=Incomplete_Habitat_Details,1,0)</f>
        <v>0</v>
      </c>
    </row>
    <row r="80" spans="2:7">
      <c r="B80" s="76"/>
      <c r="C80" s="58"/>
      <c r="D80" s="58"/>
      <c r="E80" s="122">
        <f>IF(AND(Foliage_Enhanced[[#This Row],[Parcel Number]]&lt;&gt;"",OR(Foliage_Enhanced[[#This Row],[Habitat Type]]="",Foliage_Enhanced[[#This Row],[Length (m)]]="")),Incomplete_Habitat_Details,IF(Foliage_Enhanced[[#This Row],[Parcel Number]]="",0,Foliage_Enhanced[[#This Row],[Length (m)]]))</f>
        <v>0</v>
      </c>
      <c r="F80" s="8"/>
      <c r="G80" s="22">
        <f>IF(Foliage_Enhanced[[#This Row],[Biodiversity Units]]=Incomplete_Habitat_Details,1,0)</f>
        <v>0</v>
      </c>
    </row>
    <row r="81" spans="2:10">
      <c r="B81" s="76"/>
      <c r="C81" s="58"/>
      <c r="D81" s="58"/>
      <c r="E81" s="122">
        <f>IF(AND(Foliage_Enhanced[[#This Row],[Parcel Number]]&lt;&gt;"",OR(Foliage_Enhanced[[#This Row],[Habitat Type]]="",Foliage_Enhanced[[#This Row],[Length (m)]]="")),Incomplete_Habitat_Details,IF(Foliage_Enhanced[[#This Row],[Parcel Number]]="",0,Foliage_Enhanced[[#This Row],[Length (m)]]))</f>
        <v>0</v>
      </c>
      <c r="F81" s="8"/>
      <c r="G81" s="22">
        <f>IF(Foliage_Enhanced[[#This Row],[Biodiversity Units]]=Incomplete_Habitat_Details,1,0)</f>
        <v>0</v>
      </c>
    </row>
    <row r="82" spans="2:10">
      <c r="B82" s="76"/>
      <c r="C82" s="58"/>
      <c r="D82" s="58"/>
      <c r="E82" s="122">
        <f>IF(AND(Foliage_Enhanced[[#This Row],[Parcel Number]]&lt;&gt;"",OR(Foliage_Enhanced[[#This Row],[Habitat Type]]="",Foliage_Enhanced[[#This Row],[Length (m)]]="")),Incomplete_Habitat_Details,IF(Foliage_Enhanced[[#This Row],[Parcel Number]]="",0,Foliage_Enhanced[[#This Row],[Length (m)]]))</f>
        <v>0</v>
      </c>
      <c r="F82" s="8"/>
      <c r="G82" s="22">
        <f>IF(Foliage_Enhanced[[#This Row],[Biodiversity Units]]=Incomplete_Habitat_Details,1,0)</f>
        <v>0</v>
      </c>
    </row>
    <row r="83" spans="2:10">
      <c r="B83" s="76"/>
      <c r="C83" s="58"/>
      <c r="D83" s="58"/>
      <c r="E83" s="122">
        <f>IF(AND(Foliage_Enhanced[[#This Row],[Parcel Number]]&lt;&gt;"",OR(Foliage_Enhanced[[#This Row],[Habitat Type]]="",Foliage_Enhanced[[#This Row],[Length (m)]]="")),Incomplete_Habitat_Details,IF(Foliage_Enhanced[[#This Row],[Parcel Number]]="",0,Foliage_Enhanced[[#This Row],[Length (m)]]))</f>
        <v>0</v>
      </c>
      <c r="F83" s="8"/>
      <c r="G83" s="22">
        <f>IF(Foliage_Enhanced[[#This Row],[Biodiversity Units]]=Incomplete_Habitat_Details,1,0)</f>
        <v>0</v>
      </c>
    </row>
    <row r="84" spans="2:10">
      <c r="B84" s="76"/>
      <c r="C84" s="58"/>
      <c r="D84" s="58"/>
      <c r="E84" s="122">
        <f>IF(AND(Foliage_Enhanced[[#This Row],[Parcel Number]]&lt;&gt;"",OR(Foliage_Enhanced[[#This Row],[Habitat Type]]="",Foliage_Enhanced[[#This Row],[Length (m)]]="")),Incomplete_Habitat_Details,IF(Foliage_Enhanced[[#This Row],[Parcel Number]]="",0,Foliage_Enhanced[[#This Row],[Length (m)]]))</f>
        <v>0</v>
      </c>
      <c r="F84" s="8"/>
      <c r="G84" s="22">
        <f>IF(Foliage_Enhanced[[#This Row],[Biodiversity Units]]=Incomplete_Habitat_Details,1,0)</f>
        <v>0</v>
      </c>
    </row>
    <row r="85" spans="2:10">
      <c r="B85" s="76"/>
      <c r="C85" s="58"/>
      <c r="D85" s="58"/>
      <c r="E85" s="122">
        <f>IF(AND(Foliage_Enhanced[[#This Row],[Parcel Number]]&lt;&gt;"",OR(Foliage_Enhanced[[#This Row],[Habitat Type]]="",Foliage_Enhanced[[#This Row],[Length (m)]]="")),Incomplete_Habitat_Details,IF(Foliage_Enhanced[[#This Row],[Parcel Number]]="",0,Foliage_Enhanced[[#This Row],[Length (m)]]))</f>
        <v>0</v>
      </c>
      <c r="F85" s="8"/>
      <c r="G85" s="22">
        <f>IF(Foliage_Enhanced[[#This Row],[Biodiversity Units]]=Incomplete_Habitat_Details,1,0)</f>
        <v>0</v>
      </c>
    </row>
    <row r="86" spans="2:10">
      <c r="B86" s="76"/>
      <c r="C86" s="58"/>
      <c r="D86" s="58"/>
      <c r="E86" s="122">
        <f>IF(AND(Foliage_Enhanced[[#This Row],[Parcel Number]]&lt;&gt;"",OR(Foliage_Enhanced[[#This Row],[Habitat Type]]="",Foliage_Enhanced[[#This Row],[Length (m)]]="")),Incomplete_Habitat_Details,IF(Foliage_Enhanced[[#This Row],[Parcel Number]]="",0,Foliage_Enhanced[[#This Row],[Length (m)]]))</f>
        <v>0</v>
      </c>
      <c r="F86" s="8"/>
      <c r="G86" s="22">
        <f>IF(Foliage_Enhanced[[#This Row],[Biodiversity Units]]=Incomplete_Habitat_Details,1,0)</f>
        <v>0</v>
      </c>
    </row>
    <row r="87" spans="2:10">
      <c r="B87" s="76"/>
      <c r="C87" s="58"/>
      <c r="D87" s="58"/>
      <c r="E87" s="122">
        <f>IF(AND(Foliage_Enhanced[[#This Row],[Parcel Number]]&lt;&gt;"",OR(Foliage_Enhanced[[#This Row],[Habitat Type]]="",Foliage_Enhanced[[#This Row],[Length (m)]]="")),Incomplete_Habitat_Details,IF(Foliage_Enhanced[[#This Row],[Parcel Number]]="",0,Foliage_Enhanced[[#This Row],[Length (m)]]))</f>
        <v>0</v>
      </c>
      <c r="F87" s="8"/>
      <c r="G87" s="22">
        <f>IF(Foliage_Enhanced[[#This Row],[Biodiversity Units]]=Incomplete_Habitat_Details,1,0)</f>
        <v>0</v>
      </c>
    </row>
    <row r="88" spans="2:10">
      <c r="B88" s="76"/>
      <c r="C88" s="58"/>
      <c r="D88" s="58"/>
      <c r="E88" s="122">
        <f>IF(AND(Foliage_Enhanced[[#This Row],[Parcel Number]]&lt;&gt;"",OR(Foliage_Enhanced[[#This Row],[Habitat Type]]="",Foliage_Enhanced[[#This Row],[Length (m)]]="")),Incomplete_Habitat_Details,IF(Foliage_Enhanced[[#This Row],[Parcel Number]]="",0,Foliage_Enhanced[[#This Row],[Length (m)]]))</f>
        <v>0</v>
      </c>
      <c r="F88" s="8"/>
      <c r="G88" s="22">
        <f>IF(Foliage_Enhanced[[#This Row],[Biodiversity Units]]=Incomplete_Habitat_Details,1,0)</f>
        <v>0</v>
      </c>
    </row>
    <row r="89" spans="2:10">
      <c r="B89" s="76"/>
      <c r="C89" s="58"/>
      <c r="D89" s="58"/>
      <c r="E89" s="122">
        <f>IF(AND(Foliage_Enhanced[[#This Row],[Parcel Number]]&lt;&gt;"",OR(Foliage_Enhanced[[#This Row],[Habitat Type]]="",Foliage_Enhanced[[#This Row],[Length (m)]]="")),Incomplete_Habitat_Details,IF(Foliage_Enhanced[[#This Row],[Parcel Number]]="",0,Foliage_Enhanced[[#This Row],[Length (m)]]))</f>
        <v>0</v>
      </c>
      <c r="F89" s="8"/>
      <c r="G89" s="22">
        <f>IF(Foliage_Enhanced[[#This Row],[Biodiversity Units]]=Incomplete_Habitat_Details,1,0)</f>
        <v>0</v>
      </c>
    </row>
    <row r="90" spans="2:10" ht="15.75" thickBot="1">
      <c r="B90" s="93"/>
      <c r="C90" s="94"/>
      <c r="D90" s="94"/>
      <c r="E90" s="125">
        <f>IF(AND(Foliage_Enhanced[[#This Row],[Parcel Number]]&lt;&gt;"",OR(Foliage_Enhanced[[#This Row],[Habitat Type]]="",Foliage_Enhanced[[#This Row],[Length (m)]]="")),Incomplete_Habitat_Details,IF(Foliage_Enhanced[[#This Row],[Parcel Number]]="",0,Foliage_Enhanced[[#This Row],[Length (m)]]))</f>
        <v>0</v>
      </c>
      <c r="F90" s="8"/>
      <c r="G90" s="22">
        <f>IF(Foliage_Enhanced[[#This Row],[Biodiversity Units]]=Incomplete_Habitat_Details,1,0)</f>
        <v>0</v>
      </c>
    </row>
    <row r="91" spans="2:10" ht="15.75" thickBot="1">
      <c r="B91" s="110" t="s">
        <v>59</v>
      </c>
      <c r="C91" s="111"/>
      <c r="D91" s="111">
        <f>SUM(Foliage_Enhanced[Length (m)])</f>
        <v>90</v>
      </c>
      <c r="E91" s="109">
        <f>IF(G91&gt;0,Errors_Corrected,IF(Foliage_Enhanced[[#Totals],[Length (m)]]=0,0,IF(SUBTOTAL(9,Foliage_Enhanced[Biodiversity Units])&lt;0,NegEnhance,SUBTOTAL(9,Foliage_Enhanced[Biodiversity Units]))))</f>
        <v>90</v>
      </c>
      <c r="F91" s="8"/>
      <c r="G91" s="22">
        <f>SUM(G66:G90)</f>
        <v>0</v>
      </c>
    </row>
    <row r="92" spans="2:10" ht="15.75" thickBot="1">
      <c r="B92" s="8"/>
      <c r="C92" s="8"/>
      <c r="D92" s="8"/>
      <c r="E92" s="8"/>
      <c r="F92" s="8"/>
      <c r="G92" s="22"/>
    </row>
    <row r="93" spans="2:10" ht="26.25" customHeight="1">
      <c r="B93" s="225" t="s">
        <v>98</v>
      </c>
      <c r="C93" s="226"/>
      <c r="D93" s="226"/>
      <c r="E93" s="226"/>
      <c r="F93" s="226"/>
      <c r="G93" s="227"/>
    </row>
    <row r="94" spans="2:10" ht="30.75" thickBot="1">
      <c r="B94" s="127" t="s">
        <v>99</v>
      </c>
      <c r="C94" s="128" t="s">
        <v>100</v>
      </c>
      <c r="D94" s="128" t="s">
        <v>101</v>
      </c>
      <c r="E94" s="128" t="s">
        <v>102</v>
      </c>
      <c r="F94" s="128" t="s">
        <v>80</v>
      </c>
      <c r="G94" s="129" t="s">
        <v>84</v>
      </c>
      <c r="H94" s="8"/>
      <c r="I94" s="22"/>
      <c r="J94" s="16"/>
    </row>
    <row r="95" spans="2:10" ht="31.5" customHeight="1">
      <c r="B95" s="135">
        <f>Foliage_Pre[[#Totals],[Biodiversity Units]]</f>
        <v>0</v>
      </c>
      <c r="C95" s="136">
        <f>Foliage_Lost[[#Totals],[Biodiversity Units]]</f>
        <v>0</v>
      </c>
      <c r="D95" s="137">
        <f>Foliage_Enhanced[[#Totals],[Biodiversity Units]]</f>
        <v>90</v>
      </c>
      <c r="E95" s="138">
        <f>IF(OR(Foliage_Total[Pre Development Linear 
(Foliage) Biodiversity Units]=Errors_Corrected,Foliage_Total[Linear (Foliage) 
Units Lost]=Errors_Corrected,Foliage_Total[Linear (Foliage) Units 
Created and/or Enhanced]=Errors_Corrected,Foliage_Total[Linear (Foliage) 
Units Lost]=Loss_Exceeds_Pre_Error),Errors_Corrected,(Foliage_Total[Pre Development Linear 
(Foliage) Biodiversity Units]-Foliage_Total[Linear (Foliage) 
Units Lost])+Foliage_Total[Linear (Foliage) Units 
Created and/or Enhanced])</f>
        <v>90</v>
      </c>
      <c r="F95" s="150"/>
      <c r="G95" s="151" t="str">
        <f>Summary!G25</f>
        <v>Filtered for purpose of credit award</v>
      </c>
      <c r="H95" s="8"/>
      <c r="I95" s="22"/>
      <c r="J95" s="16"/>
    </row>
    <row r="96" spans="2:10">
      <c r="G96" s="16"/>
    </row>
    <row r="97" spans="7:7">
      <c r="G97" s="16"/>
    </row>
    <row r="98" spans="7:7">
      <c r="G98" s="16"/>
    </row>
  </sheetData>
  <sheetProtection algorithmName="SHA-512" hashValue="eTU6NZKdtkfVCi991mqOugyOOCFeM7HRii+cHPxkPbJOJTlYuYmPzST86FabBb4PbEoxmXAuKR7egJs83jNUAA==" saltValue="VNbEgXsl8DCOu01ZAzL63Q==" spinCount="100000" sheet="1" objects="1" scenarios="1"/>
  <mergeCells count="5">
    <mergeCell ref="B6:G6"/>
    <mergeCell ref="B35:G35"/>
    <mergeCell ref="B64:E64"/>
    <mergeCell ref="B93:G93"/>
    <mergeCell ref="B2:D4"/>
  </mergeCells>
  <pageMargins left="0.7" right="0.7" top="0.75" bottom="0.75" header="0.3" footer="0.3"/>
  <pageSetup paperSize="9" orientation="portrait"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Lookups!$D$2:$D$4</xm:f>
          </x14:formula1>
          <xm:sqref>E8:E32 E37:E61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45449-8FC1-4E59-9238-F34031532D2A}">
  <sheetPr>
    <tabColor rgb="FF3D6864"/>
  </sheetPr>
  <dimension ref="B1:G5"/>
  <sheetViews>
    <sheetView showGridLines="0" zoomScale="70" zoomScaleNormal="70" workbookViewId="0">
      <selection activeCell="G10" sqref="G10"/>
    </sheetView>
  </sheetViews>
  <sheetFormatPr defaultColWidth="8.85546875" defaultRowHeight="15"/>
  <cols>
    <col min="2" max="2" width="35.7109375" bestFit="1" customWidth="1"/>
    <col min="3" max="3" width="15.28515625" bestFit="1" customWidth="1"/>
    <col min="4" max="4" width="21.42578125" bestFit="1" customWidth="1"/>
    <col min="5" max="5" width="22.140625" bestFit="1" customWidth="1"/>
    <col min="6" max="6" width="23" bestFit="1" customWidth="1"/>
    <col min="7" max="7" width="25.28515625" bestFit="1" customWidth="1"/>
  </cols>
  <sheetData>
    <row r="1" spans="2:7" ht="15.75" thickBot="1"/>
    <row r="2" spans="2:7" ht="15.75" thickBot="1">
      <c r="B2" s="169"/>
      <c r="C2" s="228" t="s">
        <v>103</v>
      </c>
      <c r="D2" s="229"/>
      <c r="E2" s="229"/>
      <c r="F2" s="229"/>
      <c r="G2" s="230"/>
    </row>
    <row r="3" spans="2:7">
      <c r="B3" s="170" t="s">
        <v>104</v>
      </c>
      <c r="C3" s="171" t="s">
        <v>105</v>
      </c>
      <c r="D3" s="172" t="s">
        <v>106</v>
      </c>
      <c r="E3" s="172" t="s">
        <v>107</v>
      </c>
      <c r="F3" s="172" t="s">
        <v>108</v>
      </c>
      <c r="G3" s="173" t="s">
        <v>109</v>
      </c>
    </row>
    <row r="4" spans="2:7">
      <c r="B4" s="174" t="s">
        <v>110</v>
      </c>
      <c r="C4" s="175">
        <v>0</v>
      </c>
      <c r="D4" s="176">
        <v>1</v>
      </c>
      <c r="E4" s="176">
        <v>2</v>
      </c>
      <c r="F4" s="176">
        <v>3</v>
      </c>
      <c r="G4" s="177" t="s">
        <v>111</v>
      </c>
    </row>
    <row r="5" spans="2:7" ht="15.75" thickBot="1">
      <c r="B5" s="178" t="s">
        <v>112</v>
      </c>
      <c r="C5" s="179">
        <v>0</v>
      </c>
      <c r="D5" s="180">
        <v>2</v>
      </c>
      <c r="E5" s="180">
        <v>4</v>
      </c>
      <c r="F5" s="180">
        <v>6</v>
      </c>
      <c r="G5" s="181">
        <v>8</v>
      </c>
    </row>
  </sheetData>
  <sheetProtection algorithmName="SHA-512" hashValue="U35nu8sVu6V7zU2skntpGVKJpaOUVmRq7fz+5rc1UvstjivoaGogG2/EQbpNhNBn5loNEzmNN2yqvnlUJ3sYdw==" saltValue="RqQSKLhCgql2IsDIAAPZkA==" spinCount="100000" sheet="1" objects="1" scenarios="1"/>
  <mergeCells count="1">
    <mergeCell ref="C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6DBBD-178C-4DE1-B2E2-C59B3BCF10AB}">
  <sheetPr>
    <tabColor rgb="FF3D6864"/>
  </sheetPr>
  <dimension ref="A1:Z61"/>
  <sheetViews>
    <sheetView showGridLines="0" topLeftCell="D1" zoomScale="85" zoomScaleNormal="85" workbookViewId="0">
      <selection activeCell="M29" sqref="M29"/>
    </sheetView>
  </sheetViews>
  <sheetFormatPr defaultColWidth="8.85546875" defaultRowHeight="15"/>
  <cols>
    <col min="1" max="1" width="2" style="34" customWidth="1"/>
    <col min="2" max="2" width="15.7109375" customWidth="1"/>
    <col min="3" max="3" width="0.7109375" customWidth="1"/>
    <col min="4" max="4" width="15.7109375" customWidth="1"/>
    <col min="5" max="5" width="0.7109375" customWidth="1"/>
    <col min="8" max="8" width="39.7109375" customWidth="1"/>
    <col min="16" max="26" width="9.140625" style="34"/>
  </cols>
  <sheetData>
    <row r="1" spans="2:21" s="34" customFormat="1"/>
    <row r="2" spans="2:21" ht="38.25" customHeight="1">
      <c r="B2" s="231" t="s">
        <v>113</v>
      </c>
      <c r="C2" s="231"/>
      <c r="D2" s="231"/>
      <c r="E2" s="231"/>
      <c r="F2" s="231"/>
      <c r="G2" s="231"/>
      <c r="H2" s="231"/>
      <c r="I2" s="162"/>
      <c r="J2" s="162"/>
      <c r="K2" s="162"/>
      <c r="L2" s="162"/>
      <c r="M2" s="142"/>
      <c r="N2" s="142"/>
      <c r="O2" s="142"/>
      <c r="P2" s="35"/>
      <c r="Q2" s="35"/>
      <c r="R2" s="35"/>
      <c r="S2" s="35"/>
      <c r="T2" s="35"/>
      <c r="U2" s="35"/>
    </row>
    <row r="3" spans="2:21" ht="3.75" customHeight="1"/>
    <row r="4" spans="2:21" ht="15.75">
      <c r="B4" s="36" t="s">
        <v>1</v>
      </c>
      <c r="C4" s="37"/>
      <c r="D4" s="36" t="s">
        <v>114</v>
      </c>
      <c r="E4" s="37"/>
      <c r="F4" s="38" t="s">
        <v>115</v>
      </c>
      <c r="G4" s="39"/>
      <c r="H4" s="39"/>
      <c r="I4" s="39"/>
      <c r="J4" s="39"/>
      <c r="K4" s="39"/>
      <c r="L4" s="39"/>
      <c r="M4" s="39"/>
      <c r="N4" s="39"/>
      <c r="O4" s="39"/>
      <c r="P4" s="40"/>
      <c r="Q4" s="40"/>
    </row>
    <row r="5" spans="2:21" ht="3.75" customHeight="1"/>
    <row r="6" spans="2:21" ht="15.75" customHeight="1">
      <c r="B6" s="41" t="s">
        <v>116</v>
      </c>
      <c r="C6" s="41"/>
      <c r="D6" s="41"/>
      <c r="E6" s="41"/>
      <c r="F6" s="41"/>
      <c r="G6" s="41"/>
      <c r="H6" s="41"/>
      <c r="I6" s="41"/>
      <c r="J6" s="41"/>
      <c r="K6" s="41"/>
      <c r="L6" s="41"/>
      <c r="M6" s="41"/>
      <c r="N6" s="41"/>
      <c r="O6" s="41"/>
    </row>
    <row r="7" spans="2:21" ht="3.75" customHeight="1"/>
    <row r="8" spans="2:21" ht="31.35" customHeight="1">
      <c r="B8" s="144">
        <v>3.3</v>
      </c>
      <c r="D8" s="42">
        <v>43642</v>
      </c>
      <c r="F8" s="232" t="s">
        <v>117</v>
      </c>
      <c r="G8" s="236"/>
      <c r="H8" s="236"/>
      <c r="I8" s="236"/>
      <c r="J8" s="236"/>
      <c r="K8" s="236"/>
      <c r="L8" s="236"/>
      <c r="M8" s="236"/>
      <c r="N8" s="236"/>
      <c r="O8" s="237"/>
    </row>
    <row r="9" spans="2:21" ht="3" customHeight="1">
      <c r="B9" s="34"/>
      <c r="C9" s="34"/>
      <c r="D9" s="34"/>
      <c r="E9" s="34"/>
      <c r="F9" s="34"/>
      <c r="G9" s="34"/>
      <c r="H9" s="34"/>
      <c r="I9" s="34"/>
      <c r="J9" s="34"/>
      <c r="K9" s="34"/>
      <c r="L9" s="34"/>
      <c r="M9" s="34"/>
      <c r="N9" s="34"/>
      <c r="O9" s="34"/>
    </row>
    <row r="10" spans="2:21" ht="3" customHeight="1">
      <c r="B10" s="43"/>
      <c r="C10" s="34"/>
      <c r="D10" s="44"/>
      <c r="E10" s="34"/>
      <c r="F10" s="45"/>
      <c r="G10" s="46"/>
      <c r="H10" s="46"/>
      <c r="I10" s="46"/>
      <c r="J10" s="46"/>
      <c r="K10" s="46"/>
      <c r="L10" s="46"/>
      <c r="M10" s="46"/>
      <c r="N10" s="46"/>
      <c r="O10" s="46"/>
    </row>
    <row r="11" spans="2:21" ht="15.75" customHeight="1">
      <c r="B11" s="41" t="s">
        <v>118</v>
      </c>
      <c r="C11" s="41"/>
      <c r="D11" s="41"/>
      <c r="E11" s="41"/>
      <c r="F11" s="41"/>
      <c r="G11" s="41"/>
      <c r="H11" s="41"/>
      <c r="I11" s="41"/>
      <c r="J11" s="41"/>
      <c r="K11" s="41"/>
      <c r="L11" s="41"/>
      <c r="M11" s="41"/>
      <c r="N11" s="41"/>
      <c r="O11" s="41"/>
    </row>
    <row r="12" spans="2:21" ht="3.75" customHeight="1"/>
    <row r="13" spans="2:21" ht="30" customHeight="1">
      <c r="B13" s="144">
        <v>3.2</v>
      </c>
      <c r="D13" s="42">
        <v>43605</v>
      </c>
      <c r="F13" s="232" t="s">
        <v>119</v>
      </c>
      <c r="G13" s="236"/>
      <c r="H13" s="236"/>
      <c r="I13" s="236"/>
      <c r="J13" s="236"/>
      <c r="K13" s="236"/>
      <c r="L13" s="236"/>
      <c r="M13" s="236"/>
      <c r="N13" s="236"/>
      <c r="O13" s="237"/>
    </row>
    <row r="14" spans="2:21" ht="3.75" customHeight="1"/>
    <row r="15" spans="2:21" ht="31.35" customHeight="1">
      <c r="B15" s="144">
        <v>3.1</v>
      </c>
      <c r="D15" s="42">
        <v>43585</v>
      </c>
      <c r="F15" s="232" t="s">
        <v>120</v>
      </c>
      <c r="G15" s="236"/>
      <c r="H15" s="236"/>
      <c r="I15" s="236"/>
      <c r="J15" s="236"/>
      <c r="K15" s="236"/>
      <c r="L15" s="236"/>
      <c r="M15" s="236"/>
      <c r="N15" s="236"/>
      <c r="O15" s="237"/>
    </row>
    <row r="16" spans="2:21" ht="3.75" customHeight="1"/>
    <row r="17" spans="2:15" ht="30.75" customHeight="1">
      <c r="B17" s="144">
        <v>3</v>
      </c>
      <c r="D17" s="42">
        <v>43433</v>
      </c>
      <c r="F17" s="232" t="s">
        <v>121</v>
      </c>
      <c r="G17" s="236"/>
      <c r="H17" s="236"/>
      <c r="I17" s="236"/>
      <c r="J17" s="236"/>
      <c r="K17" s="236"/>
      <c r="L17" s="236"/>
      <c r="M17" s="236"/>
      <c r="N17" s="236"/>
      <c r="O17" s="237"/>
    </row>
    <row r="18" spans="2:15" ht="3.75" customHeight="1"/>
    <row r="19" spans="2:15" ht="30.75" customHeight="1">
      <c r="B19" s="144">
        <v>2</v>
      </c>
      <c r="D19" s="42">
        <v>43361</v>
      </c>
      <c r="F19" s="232" t="s">
        <v>122</v>
      </c>
      <c r="G19" s="236"/>
      <c r="H19" s="236"/>
      <c r="I19" s="236"/>
      <c r="J19" s="236"/>
      <c r="K19" s="236"/>
      <c r="L19" s="236"/>
      <c r="M19" s="236"/>
      <c r="N19" s="236"/>
      <c r="O19" s="237"/>
    </row>
    <row r="20" spans="2:15" ht="3.75" customHeight="1">
      <c r="B20" s="34"/>
      <c r="C20" s="34"/>
      <c r="D20" s="34"/>
      <c r="E20" s="34"/>
      <c r="F20" s="34"/>
      <c r="G20" s="34"/>
      <c r="H20" s="34"/>
      <c r="I20" s="34"/>
      <c r="J20" s="34"/>
      <c r="K20" s="34"/>
      <c r="L20" s="34"/>
      <c r="M20" s="34"/>
      <c r="N20" s="34"/>
      <c r="O20" s="34"/>
    </row>
    <row r="21" spans="2:15" ht="30.75" customHeight="1">
      <c r="B21" s="144">
        <v>1</v>
      </c>
      <c r="D21" s="42">
        <v>43328</v>
      </c>
      <c r="F21" s="232" t="s">
        <v>123</v>
      </c>
      <c r="G21" s="233"/>
      <c r="H21" s="233"/>
      <c r="I21" s="233"/>
      <c r="J21" s="233"/>
      <c r="K21" s="233"/>
      <c r="L21" s="233"/>
      <c r="M21" s="233"/>
      <c r="N21" s="233"/>
      <c r="O21" s="234"/>
    </row>
    <row r="22" spans="2:15" ht="3.75" customHeight="1"/>
    <row r="23" spans="2:15" hidden="1">
      <c r="B23" s="47"/>
      <c r="D23" s="42"/>
      <c r="F23" s="235"/>
      <c r="G23" s="236"/>
      <c r="H23" s="236"/>
      <c r="I23" s="236"/>
      <c r="J23" s="236"/>
      <c r="K23" s="236"/>
      <c r="L23" s="236"/>
      <c r="M23" s="236"/>
      <c r="N23" s="236"/>
      <c r="O23" s="237"/>
    </row>
    <row r="24" spans="2:15" s="34" customFormat="1" hidden="1"/>
    <row r="25" spans="2:15" s="34" customFormat="1" hidden="1">
      <c r="H25" s="48"/>
    </row>
    <row r="26" spans="2:15" s="34" customFormat="1"/>
    <row r="27" spans="2:15" s="34" customFormat="1">
      <c r="H27" s="49"/>
    </row>
    <row r="28" spans="2:15" s="34" customFormat="1"/>
    <row r="29" spans="2:15" s="34" customFormat="1"/>
    <row r="30" spans="2:15" s="34" customFormat="1"/>
    <row r="31" spans="2:15" s="34" customFormat="1"/>
    <row r="32" spans="2:15" s="34" customFormat="1"/>
    <row r="33" s="34" customFormat="1"/>
    <row r="34" s="34" customFormat="1"/>
    <row r="35" s="34" customFormat="1"/>
    <row r="36" s="34" customFormat="1"/>
    <row r="37" s="34" customFormat="1"/>
    <row r="38" s="34" customFormat="1"/>
    <row r="39" s="34" customFormat="1"/>
    <row r="40" s="34" customFormat="1"/>
    <row r="41" s="34" customFormat="1"/>
    <row r="42" s="34" customFormat="1"/>
    <row r="43" s="34" customFormat="1"/>
    <row r="44" s="34" customFormat="1"/>
    <row r="45" s="34" customFormat="1"/>
    <row r="46" s="34" customFormat="1"/>
    <row r="47" s="34" customFormat="1"/>
    <row r="48" s="34" customFormat="1"/>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sheetData>
  <sheetProtection algorithmName="SHA-512" hashValue="aAucrEIm0XbX2l33uM9es6rk+vnVP/HWCNz/xMfrxUEQs+CiJznHec2NViFct+p1TnDD848NrjUvsNCtfEYuSw==" saltValue="3ylCGNEo3LGnmBeSK9o33A==" spinCount="100000" sheet="1" objects="1" scenarios="1"/>
  <mergeCells count="8">
    <mergeCell ref="B2:H2"/>
    <mergeCell ref="F21:O21"/>
    <mergeCell ref="F23:O23"/>
    <mergeCell ref="F8:O8"/>
    <mergeCell ref="F19:O19"/>
    <mergeCell ref="F17:O17"/>
    <mergeCell ref="F15:O15"/>
    <mergeCell ref="F13:O13"/>
  </mergeCells>
  <pageMargins left="0.7" right="0.7" top="0.75" bottom="0.75" header="0.3" footer="0.3"/>
  <pageSetup paperSize="9" orientation="portrait" verticalDpi="598"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0"/>
  <sheetViews>
    <sheetView zoomScale="80" zoomScaleNormal="80" workbookViewId="0">
      <selection activeCell="E9" sqref="E9"/>
    </sheetView>
  </sheetViews>
  <sheetFormatPr defaultColWidth="8.85546875" defaultRowHeight="15"/>
  <cols>
    <col min="1" max="1" width="44.85546875" bestFit="1" customWidth="1"/>
    <col min="2" max="2" width="7.28515625" bestFit="1" customWidth="1"/>
    <col min="3" max="3" width="37" customWidth="1"/>
    <col min="4" max="4" width="41.7109375" bestFit="1" customWidth="1"/>
    <col min="5" max="5" width="37" bestFit="1" customWidth="1"/>
    <col min="6" max="6" width="2.42578125" customWidth="1"/>
    <col min="7" max="7" width="28.85546875" bestFit="1" customWidth="1"/>
    <col min="8" max="8" width="11" bestFit="1" customWidth="1"/>
    <col min="9" max="9" width="23.85546875" bestFit="1" customWidth="1"/>
    <col min="10" max="10" width="15.42578125" customWidth="1"/>
    <col min="11" max="11" width="12.42578125" customWidth="1"/>
    <col min="12" max="12" width="1.85546875" customWidth="1"/>
    <col min="13" max="13" width="69.85546875" bestFit="1" customWidth="1"/>
    <col min="14" max="14" width="13" customWidth="1"/>
  </cols>
  <sheetData>
    <row r="1" spans="1:14">
      <c r="A1" t="s">
        <v>39</v>
      </c>
      <c r="B1" t="s">
        <v>124</v>
      </c>
      <c r="D1" t="s">
        <v>41</v>
      </c>
      <c r="E1" t="s">
        <v>124</v>
      </c>
      <c r="G1" t="s">
        <v>63</v>
      </c>
      <c r="H1" t="s">
        <v>125</v>
      </c>
      <c r="J1" t="s">
        <v>126</v>
      </c>
      <c r="K1" t="s">
        <v>125</v>
      </c>
      <c r="M1" s="13" t="s">
        <v>127</v>
      </c>
      <c r="N1" s="13" t="s">
        <v>125</v>
      </c>
    </row>
    <row r="2" spans="1:14">
      <c r="A2" t="s">
        <v>46</v>
      </c>
      <c r="B2">
        <v>6</v>
      </c>
      <c r="D2" t="s">
        <v>128</v>
      </c>
      <c r="E2">
        <v>3</v>
      </c>
      <c r="G2" t="s">
        <v>129</v>
      </c>
      <c r="H2" s="1">
        <v>0.1</v>
      </c>
      <c r="J2">
        <v>0</v>
      </c>
      <c r="K2">
        <v>1</v>
      </c>
      <c r="M2" s="9" t="s">
        <v>130</v>
      </c>
      <c r="N2" s="11">
        <v>1</v>
      </c>
    </row>
    <row r="3" spans="1:14">
      <c r="A3" t="s">
        <v>50</v>
      </c>
      <c r="B3">
        <v>4</v>
      </c>
      <c r="D3" t="s">
        <v>47</v>
      </c>
      <c r="E3">
        <v>2</v>
      </c>
      <c r="G3" t="s">
        <v>46</v>
      </c>
      <c r="H3">
        <v>0.33</v>
      </c>
      <c r="J3">
        <v>1</v>
      </c>
      <c r="K3">
        <v>0.97</v>
      </c>
      <c r="M3" s="10" t="s">
        <v>131</v>
      </c>
      <c r="N3" s="12">
        <v>0.67</v>
      </c>
    </row>
    <row r="4" spans="1:14">
      <c r="A4" t="s">
        <v>53</v>
      </c>
      <c r="B4">
        <v>2</v>
      </c>
      <c r="D4" t="s">
        <v>51</v>
      </c>
      <c r="E4">
        <v>1</v>
      </c>
      <c r="G4" t="s">
        <v>50</v>
      </c>
      <c r="H4">
        <v>0.66</v>
      </c>
      <c r="J4">
        <v>2</v>
      </c>
      <c r="K4">
        <v>0.93</v>
      </c>
      <c r="M4" s="14" t="s">
        <v>70</v>
      </c>
      <c r="N4" s="15">
        <v>0.5</v>
      </c>
    </row>
    <row r="5" spans="1:14">
      <c r="A5" t="s">
        <v>55</v>
      </c>
      <c r="B5">
        <v>0</v>
      </c>
      <c r="D5" s="3" t="s">
        <v>55</v>
      </c>
      <c r="E5">
        <v>0</v>
      </c>
      <c r="G5" t="s">
        <v>53</v>
      </c>
      <c r="H5" s="1">
        <v>1</v>
      </c>
      <c r="J5">
        <v>5</v>
      </c>
      <c r="K5">
        <v>0.84</v>
      </c>
    </row>
    <row r="6" spans="1:14">
      <c r="J6">
        <v>10</v>
      </c>
      <c r="K6">
        <v>0.71</v>
      </c>
    </row>
    <row r="7" spans="1:14">
      <c r="A7" t="s">
        <v>132</v>
      </c>
      <c r="D7" t="s">
        <v>133</v>
      </c>
      <c r="J7">
        <v>15</v>
      </c>
      <c r="K7">
        <v>0.59</v>
      </c>
    </row>
    <row r="8" spans="1:14">
      <c r="A8" t="s">
        <v>11</v>
      </c>
      <c r="D8" t="s">
        <v>134</v>
      </c>
      <c r="J8">
        <v>20</v>
      </c>
      <c r="K8">
        <v>0.5</v>
      </c>
    </row>
    <row r="9" spans="1:14">
      <c r="A9" t="s">
        <v>135</v>
      </c>
      <c r="D9" t="s">
        <v>8</v>
      </c>
      <c r="J9">
        <v>25</v>
      </c>
      <c r="K9">
        <v>0.42</v>
      </c>
    </row>
    <row r="10" spans="1:14">
      <c r="J10">
        <v>30</v>
      </c>
      <c r="K10">
        <v>0.36</v>
      </c>
    </row>
    <row r="11" spans="1:14">
      <c r="J11" s="2" t="s">
        <v>136</v>
      </c>
      <c r="K11">
        <v>0.33</v>
      </c>
    </row>
    <row r="13" spans="1:14">
      <c r="A13" t="s">
        <v>137</v>
      </c>
      <c r="D13" s="8" t="s">
        <v>138</v>
      </c>
      <c r="G13" t="s">
        <v>139</v>
      </c>
      <c r="H13" t="s">
        <v>140</v>
      </c>
    </row>
    <row r="14" spans="1:14">
      <c r="A14" t="s">
        <v>141</v>
      </c>
      <c r="B14" t="s">
        <v>142</v>
      </c>
      <c r="D14" s="8">
        <f>IF(Details&lt;14,Assess_Details,IF(AND(Details=14,Summary!$E$10=1,Summary!$E$11=0,Lookups!$G$21&gt;Lookups!$G$15),Lookups!$C$24,IF(AND(Details=14,Summary!$E$10=1,Summary!$E$11=0,Lookups!$G$21&gt;Lookups!$G$14),Lookups!$C$23,IF(AND(Details=14,Summary!$E$10=1,Summary!$E$11=0,LU_Area_Create&lt;AreaThreshold_LU[[#This Row],[Area Threshold]]),Insuff_Hab_Created,IF(MAX(Summary!E25:F25)=0,Errors_Corrected,IF(OR(Summary!$E$25=Errors_Corrected,Lookups!$E$37=Errors_Corrected),Errors_Corrected,IF(AND(Details=14,Summary!$E$10=1,Summary!$I$15=1, WatercourseFilterDD[Watercourse Filter Drop Down]=1),MIN(Summary!$E$25,Lookups!$E$37), IF(AND(Details=14,Summary!$E$10=1,Summary!$I$19=1,FoliageFilterDD[Foliage Filter Drop Down]=1),MIN(Summary!E25,Summary!F25), IF(AND(Details=14,Summary!$E$10=1,Summary!$I$15=1,WatercourseFilterDD[Watercourse Filter Drop Down]=1,Summary!$I$19=1,FoliageFilterDD[Foliage Filter Drop Down]=1),Summary!$E$25,IF(Summary!$F$25=Errors_Corrected,Errors_Corrected,IF(AND(Summary!$E$10=1,Summary!$I$15=0),MIN(Summary!$E$25:$F$25),IF(Summary!$E$10=0,Stat_Obs,Insuff_Hab_Created))))))))))))</f>
        <v>1.02</v>
      </c>
      <c r="G14" s="7">
        <v>2.5000000000000001E-2</v>
      </c>
      <c r="H14" s="5">
        <f>G14*Summary!$D$8</f>
        <v>210.86749999999998</v>
      </c>
    </row>
    <row r="15" spans="1:14">
      <c r="A15" t="s">
        <v>143</v>
      </c>
      <c r="B15">
        <v>1</v>
      </c>
      <c r="G15" s="6">
        <v>0.05</v>
      </c>
      <c r="H15" s="5">
        <f>G15*Summary!$D$8</f>
        <v>421.73499999999996</v>
      </c>
    </row>
    <row r="16" spans="1:14" ht="15.75" thickBot="1">
      <c r="A16" t="s">
        <v>144</v>
      </c>
      <c r="B16">
        <v>2</v>
      </c>
      <c r="D16" t="s">
        <v>145</v>
      </c>
    </row>
    <row r="17" spans="1:9">
      <c r="A17" t="s">
        <v>146</v>
      </c>
      <c r="B17">
        <v>3</v>
      </c>
      <c r="D17" s="33" t="str">
        <f>LOOKUP(Summary!F27,Level_Calc[[Cumulative]:[Award Calc]])</f>
        <v>No Net Loss</v>
      </c>
      <c r="G17" t="s">
        <v>147</v>
      </c>
      <c r="I17" t="s">
        <v>148</v>
      </c>
    </row>
    <row r="18" spans="1:9">
      <c r="A18" t="s">
        <v>149</v>
      </c>
      <c r="B18">
        <v>5</v>
      </c>
      <c r="G18" s="17" t="str">
        <f>IF(Lookups!$A$31=0,"Yes","No")</f>
        <v>No</v>
      </c>
      <c r="I18" t="str">
        <f>IF(FoliagePre[Foliage Pre]=0,"Yes","No")</f>
        <v>Yes</v>
      </c>
    </row>
    <row r="20" spans="1:9">
      <c r="A20" t="s">
        <v>150</v>
      </c>
      <c r="C20" t="s">
        <v>151</v>
      </c>
      <c r="D20" t="s">
        <v>152</v>
      </c>
      <c r="E20" t="s">
        <v>153</v>
      </c>
      <c r="G20" t="s">
        <v>154</v>
      </c>
    </row>
    <row r="21" spans="1:9" ht="30">
      <c r="A21" s="3" t="s">
        <v>155</v>
      </c>
      <c r="C21">
        <v>0</v>
      </c>
      <c r="D21" t="s">
        <v>156</v>
      </c>
      <c r="E21">
        <v>0.75</v>
      </c>
      <c r="G21" s="23" t="str">
        <f>IF(AND(Area_Pre_Development[[#Totals],[Area (ha or m2)]]=0,Area_Created[[#Totals],[Area (ha or m2)]]=0),0,IF(Lookups!$G$18="No", "Not Applicable",ROUNDDOWN(((DistincAbove0[Area Created where distinctiveness &gt; 0]/Area_Pre_Development[[#Totals],[Area (ha or m2)]])),2)))</f>
        <v>Not Applicable</v>
      </c>
    </row>
    <row r="22" spans="1:9">
      <c r="A22" t="s">
        <v>157</v>
      </c>
      <c r="C22">
        <f>SUM($E$21:E21)</f>
        <v>0.75</v>
      </c>
      <c r="D22" t="s">
        <v>143</v>
      </c>
      <c r="E22">
        <v>0.2</v>
      </c>
    </row>
    <row r="23" spans="1:9">
      <c r="A23" t="s">
        <v>158</v>
      </c>
      <c r="C23">
        <f>SUM($E$21:E22)</f>
        <v>0.95</v>
      </c>
      <c r="D23" t="s">
        <v>144</v>
      </c>
      <c r="E23">
        <v>0.1</v>
      </c>
      <c r="G23" t="s">
        <v>159</v>
      </c>
      <c r="I23" t="s">
        <v>160</v>
      </c>
    </row>
    <row r="24" spans="1:9">
      <c r="A24" t="s">
        <v>161</v>
      </c>
      <c r="C24">
        <f>SUM($E$21:E23)</f>
        <v>1.05</v>
      </c>
      <c r="D24" t="s">
        <v>146</v>
      </c>
      <c r="E24">
        <v>0.05</v>
      </c>
      <c r="G24" t="str">
        <f>IF(Summary!$F$23=0,"No","Yes")</f>
        <v>No</v>
      </c>
      <c r="I24" t="str">
        <f>IF(Summary!G23=0,"No","Yes")</f>
        <v>No</v>
      </c>
    </row>
    <row r="25" spans="1:9">
      <c r="A25" t="s">
        <v>162</v>
      </c>
      <c r="C25">
        <f>SUM($E$21:E24)</f>
        <v>1.1000000000000001</v>
      </c>
      <c r="D25" t="s">
        <v>149</v>
      </c>
    </row>
    <row r="26" spans="1:9">
      <c r="A26" t="s">
        <v>163</v>
      </c>
      <c r="C26" t="str">
        <f>Errors_Corrected</f>
        <v>Errors to be corrected</v>
      </c>
      <c r="D26" t="str">
        <f>Errors_Corrected</f>
        <v>Errors to be corrected</v>
      </c>
      <c r="G26" t="s">
        <v>164</v>
      </c>
      <c r="I26" t="s">
        <v>165</v>
      </c>
    </row>
    <row r="27" spans="1:9">
      <c r="A27" t="s">
        <v>166</v>
      </c>
      <c r="G27" s="24" t="str">
        <f>IF(AND(Water_Pre[[#Totals],[Condition Score]]=3,Water_Loss[[#Totals],[Biodiversity Units]]=0),"Yes",IF(Water_Pre[[#Totals],[Biodiversity Units]]=0,"N/A","No"))</f>
        <v>N/A</v>
      </c>
      <c r="I27" t="str">
        <f>IF(AND((MIN('Linear (Foliage)'!$I$8:$I$32)=3),Foliage_Lost[[#Totals],[Biodiversity Units]]=0),"Yes",IF(Foliage_Pre[[#Totals],[Condition Score]]=0,"N/A","No"))</f>
        <v>N/A</v>
      </c>
    </row>
    <row r="28" spans="1:9">
      <c r="A28" t="s">
        <v>167</v>
      </c>
    </row>
    <row r="29" spans="1:9">
      <c r="G29" t="s">
        <v>168</v>
      </c>
      <c r="I29" t="s">
        <v>169</v>
      </c>
    </row>
    <row r="30" spans="1:9">
      <c r="A30" t="s">
        <v>170</v>
      </c>
      <c r="C30" t="s">
        <v>171</v>
      </c>
      <c r="E30" t="s">
        <v>172</v>
      </c>
      <c r="G30" t="str">
        <f>IF(Watercourse_Present[Watercourse Present]="No","Yes",IF(AND(Watercourse_Present[Watercourse Present]="No",Water_Enhanced[[#Totals],[Biodiversity Units]]&gt;0,LinearFilterSummary="Yes"),"Yes",IF(AND(Watercourse_Present[Watercourse Present]="Yes",WatercourseCondition[Watercourse Condition]="Yes",Water_Enhanced[[#Totals],[Biodiversity Units]]=0),"Yes",IF(AND(Watercourse_Present[Watercourse Present]="Yes",WatercourseCondition[Watercourse Condition]="Yes",Water_Enhanced[[#Totals],[Biodiversity Units]]&gt;0,WatercourseFilterDD[Watercourse Filter Drop Down]=1),"Yes","No"))))</f>
        <v>Yes</v>
      </c>
      <c r="I30" t="str">
        <f>IF(AND(Foliage_Present[Foliage Present]="No",FoliageFilterDD[Foliage Filter Drop Down]=1),"Yes",IF(AND(Foliage_Present[Foliage Present]="No",Water_Enhanced[[#Totals],[Biodiversity Units]]&gt;0,FoliageFilterDD[Foliage Filter Drop Down]=1),"Yes",IF(AND(Foliage_Present[Foliage Present]="Yes",Foliage_Condition[Foliage Condition]="Yes",Water_Enhanced[[#Totals],[Biodiversity Units]]=0),"Yes",IF(AND(Foliage_Present[Foliage Present]="Yes",Foliage_Condition[Foliage Condition]="Yes",Water_Enhanced[[#Totals],[Biodiversity Units]]&gt;0,FoliageFilterDD[Foliage Filter Drop Down]=1),"Yes","No"))))</f>
        <v>Yes</v>
      </c>
    </row>
    <row r="31" spans="1:9">
      <c r="A31" s="25">
        <f>Biodiversity_Units_Total[Pre Development Area 
Biodiversity Units]</f>
        <v>3291.3399999999997</v>
      </c>
      <c r="C31" s="27">
        <f>Water_Total[Pre Development Linear 
(Watercourse) Biodiversity Units]</f>
        <v>0</v>
      </c>
      <c r="E31" s="30">
        <f>Foliage_Total[Pre Development Linear 
(Foliage) Biodiversity Units]</f>
        <v>0</v>
      </c>
    </row>
    <row r="33" spans="1:9">
      <c r="A33" t="s">
        <v>173</v>
      </c>
      <c r="C33" t="s">
        <v>174</v>
      </c>
      <c r="E33" t="s">
        <v>175</v>
      </c>
      <c r="G33" s="8" t="s">
        <v>176</v>
      </c>
    </row>
    <row r="34" spans="1:9">
      <c r="A34" s="26">
        <f>Biodiversity_Units_Total[Total Post Development 
Area Biodiversity Units]</f>
        <v>3384.2011999999995</v>
      </c>
      <c r="C34" s="28">
        <f>IF(AND(Lookups!$C$31=0,Watercourse_Filter[]="Yes"),0,Water_Total[Total Post Development Linear 
(Watercourse) Biodiversity Units])</f>
        <v>0</v>
      </c>
      <c r="E34" s="31">
        <f>Foliage_Total[Total Post Development Linear 
(Foliage) Biodiversity Units]</f>
        <v>90</v>
      </c>
      <c r="G34" s="8">
        <f>SUM(Summary!$A$7:A20)</f>
        <v>14</v>
      </c>
    </row>
    <row r="36" spans="1:9">
      <c r="A36" t="s">
        <v>177</v>
      </c>
      <c r="C36" t="s">
        <v>178</v>
      </c>
      <c r="E36" t="s">
        <v>179</v>
      </c>
      <c r="G36" t="s">
        <v>180</v>
      </c>
      <c r="I36" t="s">
        <v>181</v>
      </c>
    </row>
    <row r="37" spans="1:9" ht="15.75" thickBot="1">
      <c r="A37" s="6">
        <f>IF(AND(Area_Pre[Area Pre]=0,Area_Post[Area Post]=0),0,IF(AND(Area_Pre[Area Pre]=0,Area_Post[Area Post]&gt;0,DistincAbove0[Area Created where distinctiveness &gt; 0]&gt;H14,DistincAbove0[Area Created where distinctiveness &gt; 0]&gt;H15),C24,IF(AND(Area_Pre[Area Pre]=0,Area_Post[Area Post]&gt;0,DistincAbove0[Area Created where distinctiveness &gt; 0]&gt;H14),C23,IF(AND(Area_Pre[Area Pre]=0,Area_Post[Area Post]&gt;0,DistincAbove0[Area Created where distinctiveness &gt; 0]&lt;H14),Insuff_Hab_Created,IF(AND(Area_Post[Area Post]=0,Area_Pre[Area Pre]=0),Incomplete_Habitat_Details,IF(Summary!$E$24=Errors_Corrected,Errors_Corrected,ROUNDDOWN((Summary!$E$24/Summary!$E$23),2)))))))</f>
        <v>1.02</v>
      </c>
      <c r="C37" s="123" t="str">
        <f>IF(Watercourse_Filter[Watercourse Filter]="Yes",Filter,IF(AND(WatercoursePre[]=0,ISNUMBER(Water_Enhanced[[#Totals],[Biodiversity Units]]),WatercoursePost[]&gt;WatercoursePre[]),$C$25,IF(Lookups!$C$34=Errors_Corrected,Errors_Corrected,ROUNDDOWN((Lookups!$C$34/Lookups!$C$31),2))))</f>
        <v>Filtered for purpose of credit award</v>
      </c>
      <c r="E37" s="32" t="str">
        <f>IF(Foliage_Filter="Yes",Filter,IF(FoliagePost[]=Errors_Corrected,Errors_Corrected,IF(AND(Lookups!$E$31=0,ISNUMBER(Foliage_Enhanced[[#Totals],[Biodiversity Units]]),Lookups!$E$34&gt;Lookups!$E$31),1.1,IF(Lookups!E31=0,0,ROUNDDOWN((FoliagePost[]/FoliagePre[]),2)))))</f>
        <v>Filtered for purpose of credit award</v>
      </c>
      <c r="G37">
        <f>IF(OR(LinearFilterSummary="Yes",AND(Water_Total[Pre Development Linear 
(Watercourse) Biodiversity Units]=0,Water_Total[Linear (Watercourse) Units 
Created and/or Enhanced]=0)),1,0)</f>
        <v>1</v>
      </c>
      <c r="I37">
        <f>IF(OR((Summary!$D$20="yes"),AND(Foliage_Total[Pre Development Linear 
(Foliage) Biodiversity Units]=0,Foliage_Total[Linear (Foliage) Units 
Created and/or Enhanced]=0)),1,0)</f>
        <v>1</v>
      </c>
    </row>
    <row r="39" spans="1:9">
      <c r="A39" t="s">
        <v>182</v>
      </c>
    </row>
    <row r="40" spans="1:9">
      <c r="A40">
        <f>SUMIF(Area_Created[Distinctiveness Score],"&gt;0",Area_Created[Area (ha or m2)])</f>
        <v>425.99</v>
      </c>
    </row>
  </sheetData>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Type1 xmlns="f4edfb27-fdcf-4944-9520-fd54d4f1d725">Supporting Documentation</FileType1>
    <_Flow_SignoffStatus xmlns="0cd06ba8-3d0c-4461-b1b9-cc99cc46e70a" xsi:nil="true"/>
    <CategoryDescription xmlns="http://schemas.microsoft.com/sharepoint.v3" xsi:nil="true"/>
    <Public xmlns="f4edfb27-fdcf-4944-9520-fd54d4f1d725">true</Public>
    <lcf76f155ced4ddcb4097134ff3c332f xmlns="0cd06ba8-3d0c-4461-b1b9-cc99cc46e70a">
      <Terms xmlns="http://schemas.microsoft.com/office/infopath/2007/PartnerControls"/>
    </lcf76f155ced4ddcb4097134ff3c332f>
    <TaxCatchAll xmlns="f4edfb27-fdcf-4944-9520-fd54d4f1d7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B0B66D-5CFB-4036-9050-2347BD7C0B2D}"/>
</file>

<file path=customXml/itemProps2.xml><?xml version="1.0" encoding="utf-8"?>
<ds:datastoreItem xmlns:ds="http://schemas.openxmlformats.org/officeDocument/2006/customXml" ds:itemID="{1E9C838F-349F-46CF-A3B1-48D304EFABD9}"/>
</file>

<file path=customXml/itemProps3.xml><?xml version="1.0" encoding="utf-8"?>
<ds:datastoreItem xmlns:ds="http://schemas.openxmlformats.org/officeDocument/2006/customXml" ds:itemID="{025AA99E-83FF-46CA-8CD0-B69CB7D9C7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Holden</dc:creator>
  <cp:keywords/>
  <dc:description/>
  <cp:lastModifiedBy>Willows , Helen (PLANNING OFFICER)</cp:lastModifiedBy>
  <cp:revision/>
  <dcterms:created xsi:type="dcterms:W3CDTF">2018-05-08T09:25:31Z</dcterms:created>
  <dcterms:modified xsi:type="dcterms:W3CDTF">2022-05-11T16:31:02Z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ies>
</file>