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64ffa5fd-0937-41f9-b416-ab56676147f2\"/>
    </mc:Choice>
  </mc:AlternateContent>
  <bookViews>
    <workbookView xWindow="-105" yWindow="-105" windowWidth="19425" windowHeight="10425" tabRatio="741" firstSheet="24" activeTab="24"/>
  </bookViews>
  <sheets>
    <sheet name="Introduction" sheetId="101" state="hidden" r:id="rId1"/>
    <sheet name="Start" sheetId="96" r:id="rId2"/>
    <sheet name="Instructions" sheetId="89" state="hidden" r:id="rId3"/>
    <sheet name="Irreplaceable Habitats" sheetId="106" r:id="rId4"/>
    <sheet name="Main Menu" sheetId="78" r:id="rId5"/>
    <sheet name="Results" sheetId="79" r:id="rId6"/>
    <sheet name="Headline Results" sheetId="73" r:id="rId7"/>
    <sheet name="Detailed Results" sheetId="36" r:id="rId8"/>
    <sheet name="Trading Summary Area Habitats" sheetId="72" state="hidden" r:id="rId9"/>
    <sheet name="Trading Summary Hedgerows" sheetId="104" state="hidden" r:id="rId10"/>
    <sheet name="Trading Summary WaterC's" sheetId="105" state="hidden" r:id="rId11"/>
    <sheet name="Off-site gain site summary" sheetId="107" state="hidden" r:id="rId12"/>
    <sheet name="A-1 On-Site Habitat Baseline" sheetId="11" r:id="rId13"/>
    <sheet name="A-2 On-Site Habitat Creation" sheetId="46" r:id="rId14"/>
    <sheet name="A-3 On-Site Habitat Enhancement" sheetId="32"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state="hidden" r:id="rId22"/>
    <sheet name="E-2 Off-Site Hedge Creation" sheetId="58" state="hidden" r:id="rId23"/>
    <sheet name="E-3 Off-Site Hedge Enhancement" sheetId="57" state="hidden" r:id="rId24"/>
    <sheet name="C-1 On-Site WaterC' Baseline" sheetId="63"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52511"/>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C108" i="72" l="1"/>
  <c r="B108" i="72"/>
  <c r="B134" i="22"/>
  <c r="B135" i="22"/>
  <c r="B76" i="22"/>
  <c r="G257" i="7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Q10" i="63"/>
  <c r="AD10" i="63"/>
  <c r="AE10" i="63"/>
  <c r="F10" i="63"/>
  <c r="G10" i="63"/>
  <c r="I10" i="63"/>
  <c r="L10" i="63"/>
  <c r="N10" i="63"/>
  <c r="P10" i="63"/>
  <c r="R10" i="63"/>
  <c r="Q11" i="63"/>
  <c r="AD11" i="63"/>
  <c r="AE11" i="63"/>
  <c r="F11" i="63"/>
  <c r="G11" i="63"/>
  <c r="I11" i="63"/>
  <c r="L11" i="63"/>
  <c r="N11" i="63"/>
  <c r="P11" i="63"/>
  <c r="R11" i="63"/>
  <c r="Q12" i="63"/>
  <c r="AD12" i="63"/>
  <c r="AE12" i="63"/>
  <c r="R12" i="63" s="1"/>
  <c r="F12" i="63"/>
  <c r="G12" i="63"/>
  <c r="I12" i="63"/>
  <c r="L12" i="63"/>
  <c r="N12" i="63"/>
  <c r="P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N7" i="107" a="1"/>
  <c r="N7" i="107"/>
  <c r="Q7" i="107"/>
  <c r="W7" i="107" a="1"/>
  <c r="W7" i="107"/>
  <c r="AC7" i="107"/>
  <c r="B7" i="107" a="1"/>
  <c r="B7" i="107"/>
  <c r="K7" i="107"/>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G17" i="11"/>
  <c r="P17" i="11"/>
  <c r="W17" i="11"/>
  <c r="G18" i="11"/>
  <c r="P18" i="11"/>
  <c r="W18" i="11"/>
  <c r="G19" i="11"/>
  <c r="P19" i="11"/>
  <c r="W19" i="11"/>
  <c r="G20" i="11"/>
  <c r="P20" i="11"/>
  <c r="W20" i="11"/>
  <c r="G21" i="11"/>
  <c r="P21" i="11"/>
  <c r="W21" i="11"/>
  <c r="G22" i="11"/>
  <c r="P22" i="11"/>
  <c r="W22" i="11"/>
  <c r="G23" i="11"/>
  <c r="P23" i="11"/>
  <c r="W23" i="11"/>
  <c r="G24" i="11"/>
  <c r="P24" i="11"/>
  <c r="W24" i="11"/>
  <c r="G25" i="11"/>
  <c r="P25" i="11"/>
  <c r="W25" i="11"/>
  <c r="G26" i="11"/>
  <c r="P26" i="11"/>
  <c r="W26" i="11"/>
  <c r="G27" i="11"/>
  <c r="P27" i="11"/>
  <c r="W27" i="11"/>
  <c r="G28" i="11"/>
  <c r="P28" i="11"/>
  <c r="W28" i="11"/>
  <c r="G29" i="11"/>
  <c r="P29" i="11"/>
  <c r="W29" i="11"/>
  <c r="G30" i="11"/>
  <c r="P30" i="11"/>
  <c r="W30" i="11"/>
  <c r="G31" i="11"/>
  <c r="P31" i="11"/>
  <c r="W31" i="11"/>
  <c r="G32" i="11"/>
  <c r="P32" i="11"/>
  <c r="W32" i="11"/>
  <c r="G33" i="11"/>
  <c r="P33" i="11"/>
  <c r="W33" i="11"/>
  <c r="G34" i="11"/>
  <c r="P34" i="11"/>
  <c r="W34" i="11"/>
  <c r="G35" i="11"/>
  <c r="P35" i="11"/>
  <c r="W35" i="11"/>
  <c r="G36" i="11"/>
  <c r="P36"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c r="AB107" i="107"/>
  <c r="AD107" i="107"/>
  <c r="AB99" i="107"/>
  <c r="AD99" i="107"/>
  <c r="AB91" i="107"/>
  <c r="AD91" i="107"/>
  <c r="AB83" i="107"/>
  <c r="AD83" i="107"/>
  <c r="AB75" i="107"/>
  <c r="AD75" i="107"/>
  <c r="AB67" i="107"/>
  <c r="AD67" i="107"/>
  <c r="AB59" i="107"/>
  <c r="AD59" i="107"/>
  <c r="AB51" i="107"/>
  <c r="AD51" i="107"/>
  <c r="AB43" i="107"/>
  <c r="AD43" i="107"/>
  <c r="AB35" i="107"/>
  <c r="AD35" i="107"/>
  <c r="AB27" i="107"/>
  <c r="AD27" i="107"/>
  <c r="AB19" i="107"/>
  <c r="AD19" i="107"/>
  <c r="AB11" i="107"/>
  <c r="AD11" i="107"/>
  <c r="AB98" i="107"/>
  <c r="AD98" i="107"/>
  <c r="AB34" i="107"/>
  <c r="AD34" i="107"/>
  <c r="AB105" i="107"/>
  <c r="AD105" i="107"/>
  <c r="AB97" i="107"/>
  <c r="AD97" i="107"/>
  <c r="AB89" i="107"/>
  <c r="AD89" i="107"/>
  <c r="AB81" i="107"/>
  <c r="AD81" i="107"/>
  <c r="AB73" i="107"/>
  <c r="AD73" i="107"/>
  <c r="AB65" i="107"/>
  <c r="AD65" i="107"/>
  <c r="AB57" i="107"/>
  <c r="AD57" i="107"/>
  <c r="AB49" i="107"/>
  <c r="AD49" i="107"/>
  <c r="AB41" i="107"/>
  <c r="AD41" i="107"/>
  <c r="AB33" i="107"/>
  <c r="AD33" i="107"/>
  <c r="AB25" i="107"/>
  <c r="AD25" i="107"/>
  <c r="AB17" i="107"/>
  <c r="AD17" i="107"/>
  <c r="AB42" i="107"/>
  <c r="AD42" i="107"/>
  <c r="AB104" i="107"/>
  <c r="AD104" i="107"/>
  <c r="AB96" i="107"/>
  <c r="AD96" i="107"/>
  <c r="AB88" i="107"/>
  <c r="AD88" i="107"/>
  <c r="AB80" i="107"/>
  <c r="AD80" i="107"/>
  <c r="AB72" i="107"/>
  <c r="AD72" i="107"/>
  <c r="AB64" i="107"/>
  <c r="AD64" i="107"/>
  <c r="AB56" i="107"/>
  <c r="AD56" i="107"/>
  <c r="AB48" i="107"/>
  <c r="AD48" i="107"/>
  <c r="AB40" i="107"/>
  <c r="AD40" i="107"/>
  <c r="AB32" i="107"/>
  <c r="AD32" i="107"/>
  <c r="AB24" i="107"/>
  <c r="AD24" i="107"/>
  <c r="AB16" i="107"/>
  <c r="AD16" i="107"/>
  <c r="AB82" i="107"/>
  <c r="AD82" i="107"/>
  <c r="AB50" i="107"/>
  <c r="AD50" i="107"/>
  <c r="AB18" i="107"/>
  <c r="AD18" i="107"/>
  <c r="AB103" i="107"/>
  <c r="AD103" i="107"/>
  <c r="AB95" i="107"/>
  <c r="AD95" i="107"/>
  <c r="AB87" i="107"/>
  <c r="AD87" i="107"/>
  <c r="AB79" i="107"/>
  <c r="AD79" i="107"/>
  <c r="AB71" i="107"/>
  <c r="AD71" i="107"/>
  <c r="AB63" i="107"/>
  <c r="AD63" i="107"/>
  <c r="AB55" i="107"/>
  <c r="AB47" i="107"/>
  <c r="AD47" i="107"/>
  <c r="AB39" i="107"/>
  <c r="AD39" i="107"/>
  <c r="AB31" i="107"/>
  <c r="AD31" i="107"/>
  <c r="AB23" i="107"/>
  <c r="AD23" i="107"/>
  <c r="AB15" i="107"/>
  <c r="AD15" i="107"/>
  <c r="AB74" i="107"/>
  <c r="AD74" i="107"/>
  <c r="AB102" i="107"/>
  <c r="AD102" i="107"/>
  <c r="AB94" i="107"/>
  <c r="AD94" i="107"/>
  <c r="AB86" i="107"/>
  <c r="AD86" i="107"/>
  <c r="AB78" i="107"/>
  <c r="AD78" i="107"/>
  <c r="AB70" i="107"/>
  <c r="AD70" i="107"/>
  <c r="AB62" i="107"/>
  <c r="AD62" i="107"/>
  <c r="AB54" i="107"/>
  <c r="AD54" i="107"/>
  <c r="AB46" i="107"/>
  <c r="AD46" i="107"/>
  <c r="AB38" i="107"/>
  <c r="AD38" i="107"/>
  <c r="AB30" i="107"/>
  <c r="AD30" i="107"/>
  <c r="AB22" i="107"/>
  <c r="AD22" i="107"/>
  <c r="AB14" i="107"/>
  <c r="AD14" i="107"/>
  <c r="AB90" i="107"/>
  <c r="AD90" i="107"/>
  <c r="AB58" i="107"/>
  <c r="AD58" i="107"/>
  <c r="AB26" i="107"/>
  <c r="AD26" i="107"/>
  <c r="AB101" i="107"/>
  <c r="AD101" i="107"/>
  <c r="AB93" i="107"/>
  <c r="AD93" i="107"/>
  <c r="AB85" i="107"/>
  <c r="AD85" i="107"/>
  <c r="AB77" i="107"/>
  <c r="AD77" i="107"/>
  <c r="AB69" i="107"/>
  <c r="AD69" i="107"/>
  <c r="AB61" i="107"/>
  <c r="AD61" i="107"/>
  <c r="AB53" i="107"/>
  <c r="AD53" i="107"/>
  <c r="AB45" i="107"/>
  <c r="AD45" i="107"/>
  <c r="AB37" i="107"/>
  <c r="AD37" i="107"/>
  <c r="AB29" i="107"/>
  <c r="AD29" i="107"/>
  <c r="AB21" i="107"/>
  <c r="AD21" i="107"/>
  <c r="AB13" i="107"/>
  <c r="AD13" i="107"/>
  <c r="AB106" i="107"/>
  <c r="AD106" i="107"/>
  <c r="AB66" i="107"/>
  <c r="AD66" i="107"/>
  <c r="AB100" i="107"/>
  <c r="AD100" i="107"/>
  <c r="AB92" i="107"/>
  <c r="AD92" i="107"/>
  <c r="AB84" i="107"/>
  <c r="AD84" i="107"/>
  <c r="AB76" i="107"/>
  <c r="AD76" i="107"/>
  <c r="AB68" i="107"/>
  <c r="AD68" i="107"/>
  <c r="AB60" i="107"/>
  <c r="AD60" i="107"/>
  <c r="AB52" i="107"/>
  <c r="AD52" i="107"/>
  <c r="AB44" i="107"/>
  <c r="AD44" i="107"/>
  <c r="AB36" i="107"/>
  <c r="AD36" i="107"/>
  <c r="AB28" i="107"/>
  <c r="AD28" i="107"/>
  <c r="AB20" i="107"/>
  <c r="AD20" i="107"/>
  <c r="AB12" i="107"/>
  <c r="AD12" i="107"/>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S82" i="107" s="1"/>
  <c r="U82" i="107" s="1"/>
  <c r="Q53" i="107"/>
  <c r="S53" i="107" s="1"/>
  <c r="U53" i="107" s="1"/>
  <c r="P26" i="107"/>
  <c r="O72" i="107"/>
  <c r="R103" i="107"/>
  <c r="R74" i="107"/>
  <c r="Q47" i="107"/>
  <c r="S47" i="107" s="1"/>
  <c r="U47" i="107" s="1"/>
  <c r="Q18" i="107"/>
  <c r="S18" i="107" s="1"/>
  <c r="U18" i="107" s="1"/>
  <c r="O49" i="107"/>
  <c r="Q103" i="107"/>
  <c r="S103" i="107" s="1"/>
  <c r="U103" i="107" s="1"/>
  <c r="Q74" i="107"/>
  <c r="S74" i="107" s="1"/>
  <c r="U74" i="107" s="1"/>
  <c r="Q45" i="107"/>
  <c r="S45" i="107" s="1"/>
  <c r="U45" i="107" s="1"/>
  <c r="P18" i="107"/>
  <c r="O48" i="107"/>
  <c r="P96" i="107"/>
  <c r="R68" i="107"/>
  <c r="R39" i="107"/>
  <c r="R10" i="107"/>
  <c r="O31" i="107"/>
  <c r="R95" i="107"/>
  <c r="R66" i="107"/>
  <c r="Q39" i="107"/>
  <c r="Q10" i="107"/>
  <c r="S10" i="107" s="1"/>
  <c r="U10" i="107" s="1"/>
  <c r="O25" i="107"/>
  <c r="Q101" i="107"/>
  <c r="S101" i="107" s="1"/>
  <c r="U101" i="107" s="1"/>
  <c r="Q95" i="107"/>
  <c r="S95" i="107" s="1"/>
  <c r="U95" i="107" s="1"/>
  <c r="R87" i="107"/>
  <c r="P80" i="107"/>
  <c r="P74" i="107"/>
  <c r="Q66" i="107"/>
  <c r="R58" i="107"/>
  <c r="R52" i="107"/>
  <c r="P45" i="107"/>
  <c r="Q37" i="107"/>
  <c r="S37" i="107" s="1"/>
  <c r="U37" i="107" s="1"/>
  <c r="Q31" i="107"/>
  <c r="S31" i="107" s="1"/>
  <c r="U31" i="107" s="1"/>
  <c r="R23" i="107"/>
  <c r="P16" i="107"/>
  <c r="P10" i="107"/>
  <c r="O88" i="107"/>
  <c r="O65" i="107"/>
  <c r="O47" i="107"/>
  <c r="O24" i="107"/>
  <c r="P101" i="107"/>
  <c r="Q93" i="107"/>
  <c r="S93" i="107" s="1"/>
  <c r="U93" i="107" s="1"/>
  <c r="Q87" i="107"/>
  <c r="S87" i="107" s="1"/>
  <c r="U87" i="107" s="1"/>
  <c r="R79" i="107"/>
  <c r="P72" i="107"/>
  <c r="P66" i="107"/>
  <c r="Q58" i="107"/>
  <c r="S58" i="107" s="1"/>
  <c r="U58" i="107" s="1"/>
  <c r="R50" i="107"/>
  <c r="R44" i="107"/>
  <c r="P37" i="107"/>
  <c r="Q29" i="107"/>
  <c r="S29" i="107" s="1"/>
  <c r="U29" i="107" s="1"/>
  <c r="Q23" i="107"/>
  <c r="R15" i="107"/>
  <c r="O105" i="107"/>
  <c r="O87" i="107"/>
  <c r="O64" i="107"/>
  <c r="O41" i="107"/>
  <c r="O23" i="107"/>
  <c r="R106" i="107"/>
  <c r="R100" i="107"/>
  <c r="P93" i="107"/>
  <c r="Q85" i="107"/>
  <c r="S85" i="107" s="1"/>
  <c r="U85" i="107" s="1"/>
  <c r="Q79" i="107"/>
  <c r="S79" i="107" s="1"/>
  <c r="U79" i="107" s="1"/>
  <c r="R71" i="107"/>
  <c r="P64" i="107"/>
  <c r="P58" i="107"/>
  <c r="Q50" i="107"/>
  <c r="S50" i="107" s="1"/>
  <c r="U50" i="107" s="1"/>
  <c r="R42" i="107"/>
  <c r="R36" i="107"/>
  <c r="P29" i="107"/>
  <c r="Q21" i="107"/>
  <c r="Q15" i="107"/>
  <c r="S15" i="107" s="1"/>
  <c r="U15" i="107" s="1"/>
  <c r="O104" i="107"/>
  <c r="O81" i="107"/>
  <c r="O63" i="107"/>
  <c r="O40" i="107"/>
  <c r="O17" i="107"/>
  <c r="Q106" i="107"/>
  <c r="S106" i="107" s="1"/>
  <c r="U106" i="107" s="1"/>
  <c r="R98" i="107"/>
  <c r="R92" i="107"/>
  <c r="P85" i="107"/>
  <c r="Q77" i="107"/>
  <c r="S77" i="107" s="1"/>
  <c r="U77" i="107" s="1"/>
  <c r="Q71" i="107"/>
  <c r="S71" i="107" s="1"/>
  <c r="U71" i="107" s="1"/>
  <c r="R63" i="107"/>
  <c r="P56" i="107"/>
  <c r="P50" i="107"/>
  <c r="Q42" i="107"/>
  <c r="S42" i="107" s="1"/>
  <c r="U42" i="107" s="1"/>
  <c r="R34" i="107"/>
  <c r="R28" i="107"/>
  <c r="P21" i="107"/>
  <c r="Q13" i="107"/>
  <c r="S13" i="107" s="1"/>
  <c r="U13" i="107" s="1"/>
  <c r="O103" i="107"/>
  <c r="O80" i="107"/>
  <c r="O57" i="107"/>
  <c r="O39" i="107"/>
  <c r="O16" i="107"/>
  <c r="P106" i="107"/>
  <c r="Q98" i="107"/>
  <c r="S98" i="107" s="1"/>
  <c r="U98" i="107" s="1"/>
  <c r="R90" i="107"/>
  <c r="R84" i="107"/>
  <c r="P77" i="107"/>
  <c r="Q69" i="107"/>
  <c r="S69" i="107" s="1"/>
  <c r="U69" i="107" s="1"/>
  <c r="Q63" i="107"/>
  <c r="S63" i="107" s="1"/>
  <c r="U63" i="107" s="1"/>
  <c r="R55" i="107"/>
  <c r="P48" i="107"/>
  <c r="P42" i="107"/>
  <c r="Q34" i="107"/>
  <c r="S34" i="107" s="1"/>
  <c r="U34" i="107" s="1"/>
  <c r="R26" i="107"/>
  <c r="R20" i="107"/>
  <c r="P13" i="107"/>
  <c r="O97" i="107"/>
  <c r="O79" i="107"/>
  <c r="O56" i="107"/>
  <c r="O33" i="107"/>
  <c r="O15" i="107"/>
  <c r="P104" i="107"/>
  <c r="P98" i="107"/>
  <c r="Q90" i="107"/>
  <c r="S90" i="107" s="1"/>
  <c r="U90" i="107" s="1"/>
  <c r="R82" i="107"/>
  <c r="R76" i="107"/>
  <c r="P69" i="107"/>
  <c r="Q61" i="107"/>
  <c r="S61" i="107" s="1"/>
  <c r="U61" i="107" s="1"/>
  <c r="Q55" i="107"/>
  <c r="R47" i="107"/>
  <c r="P40" i="107"/>
  <c r="P34" i="107"/>
  <c r="Q26" i="107"/>
  <c r="S26" i="107" s="1"/>
  <c r="U26" i="107" s="1"/>
  <c r="R18" i="107"/>
  <c r="R12" i="107"/>
  <c r="O96" i="107"/>
  <c r="O73" i="107"/>
  <c r="O55" i="107"/>
  <c r="O32" i="107"/>
  <c r="O9" i="107"/>
  <c r="R105" i="107"/>
  <c r="P103" i="107"/>
  <c r="Q100" i="107"/>
  <c r="S100" i="107" s="1"/>
  <c r="U100" i="107" s="1"/>
  <c r="R97" i="107"/>
  <c r="P95" i="107"/>
  <c r="Q92" i="107"/>
  <c r="R89" i="107"/>
  <c r="P87" i="107"/>
  <c r="Q84" i="107"/>
  <c r="S84" i="107" s="1"/>
  <c r="U84" i="107" s="1"/>
  <c r="R81" i="107"/>
  <c r="P79" i="107"/>
  <c r="Q76" i="107"/>
  <c r="S76" i="107" s="1"/>
  <c r="U76" i="107" s="1"/>
  <c r="R73" i="107"/>
  <c r="P71" i="107"/>
  <c r="Q68" i="107"/>
  <c r="R65" i="107"/>
  <c r="P63" i="107"/>
  <c r="Q60" i="107"/>
  <c r="S60" i="107" s="1"/>
  <c r="U60" i="107" s="1"/>
  <c r="R57" i="107"/>
  <c r="P55" i="107"/>
  <c r="Q52" i="107"/>
  <c r="S52" i="107" s="1"/>
  <c r="U52" i="107" s="1"/>
  <c r="R49" i="107"/>
  <c r="P47" i="107"/>
  <c r="Q44" i="107"/>
  <c r="S44" i="107" s="1"/>
  <c r="U44" i="107" s="1"/>
  <c r="R41" i="107"/>
  <c r="P39" i="107"/>
  <c r="Q36" i="107"/>
  <c r="S36" i="107" s="1"/>
  <c r="U36" i="107" s="1"/>
  <c r="R33" i="107"/>
  <c r="P31" i="107"/>
  <c r="Q28" i="107"/>
  <c r="R25" i="107"/>
  <c r="P23" i="107"/>
  <c r="Q20" i="107"/>
  <c r="S20" i="107" s="1"/>
  <c r="U20" i="107" s="1"/>
  <c r="R17" i="107"/>
  <c r="P15" i="107"/>
  <c r="Q12" i="107"/>
  <c r="S12" i="107" s="1"/>
  <c r="U12" i="107" s="1"/>
  <c r="R9" i="107"/>
  <c r="O102" i="107"/>
  <c r="O94" i="107"/>
  <c r="O86" i="107"/>
  <c r="O78" i="107"/>
  <c r="O70" i="107"/>
  <c r="O62" i="107"/>
  <c r="O54" i="107"/>
  <c r="O46" i="107"/>
  <c r="O38" i="107"/>
  <c r="O30" i="107"/>
  <c r="O22" i="107"/>
  <c r="O14" i="107"/>
  <c r="Q105" i="107"/>
  <c r="S105" i="107" s="1"/>
  <c r="U105" i="107" s="1"/>
  <c r="R102" i="107"/>
  <c r="P100" i="107"/>
  <c r="Q97" i="107"/>
  <c r="S97" i="107" s="1"/>
  <c r="U97" i="107" s="1"/>
  <c r="R94" i="107"/>
  <c r="P92" i="107"/>
  <c r="Q89" i="107"/>
  <c r="S89" i="107" s="1"/>
  <c r="U89" i="107" s="1"/>
  <c r="R86" i="107"/>
  <c r="P84" i="107"/>
  <c r="Q81" i="107"/>
  <c r="S81" i="107" s="1"/>
  <c r="U81" i="107" s="1"/>
  <c r="R78" i="107"/>
  <c r="P76" i="107"/>
  <c r="Q73" i="107"/>
  <c r="R70" i="107"/>
  <c r="P68" i="107"/>
  <c r="Q65" i="107"/>
  <c r="S65" i="107" s="1"/>
  <c r="U65" i="107" s="1"/>
  <c r="R62" i="107"/>
  <c r="P60" i="107"/>
  <c r="Q57" i="107"/>
  <c r="S57" i="107" s="1"/>
  <c r="U57" i="107" s="1"/>
  <c r="R54" i="107"/>
  <c r="P52" i="107"/>
  <c r="Q49" i="107"/>
  <c r="S49" i="107" s="1"/>
  <c r="U49" i="107" s="1"/>
  <c r="R46" i="107"/>
  <c r="P44" i="107"/>
  <c r="Q41" i="107"/>
  <c r="S41" i="107" s="1"/>
  <c r="U41" i="107" s="1"/>
  <c r="R38" i="107"/>
  <c r="P36" i="107"/>
  <c r="Q33" i="107"/>
  <c r="S33" i="107" s="1"/>
  <c r="U33" i="107" s="1"/>
  <c r="R30" i="107"/>
  <c r="P28" i="107"/>
  <c r="Q25" i="107"/>
  <c r="S25" i="107" s="1"/>
  <c r="U25" i="107" s="1"/>
  <c r="R22" i="107"/>
  <c r="P20" i="107"/>
  <c r="Q17" i="107"/>
  <c r="S17" i="107" s="1"/>
  <c r="U17" i="107" s="1"/>
  <c r="R14" i="107"/>
  <c r="P12" i="107"/>
  <c r="Q9" i="107"/>
  <c r="O101" i="107"/>
  <c r="O93" i="107"/>
  <c r="O85" i="107"/>
  <c r="O77" i="107"/>
  <c r="O69" i="107"/>
  <c r="O61" i="107"/>
  <c r="O53" i="107"/>
  <c r="O45" i="107"/>
  <c r="O37" i="107"/>
  <c r="O29" i="107"/>
  <c r="O21" i="107"/>
  <c r="O13" i="107"/>
  <c r="R107" i="107"/>
  <c r="P105" i="107"/>
  <c r="Q102" i="107"/>
  <c r="S102" i="107" s="1"/>
  <c r="U102" i="107" s="1"/>
  <c r="R99" i="107"/>
  <c r="P97" i="107"/>
  <c r="Q94" i="107"/>
  <c r="S94" i="107" s="1"/>
  <c r="U94" i="107" s="1"/>
  <c r="R91" i="107"/>
  <c r="P89" i="107"/>
  <c r="Q86" i="107"/>
  <c r="S86" i="107" s="1"/>
  <c r="U86" i="107" s="1"/>
  <c r="R83" i="107"/>
  <c r="P81" i="107"/>
  <c r="Q78" i="107"/>
  <c r="R75" i="107"/>
  <c r="P73" i="107"/>
  <c r="Q70" i="107"/>
  <c r="S70" i="107" s="1"/>
  <c r="U70" i="107" s="1"/>
  <c r="R67" i="107"/>
  <c r="P65" i="107"/>
  <c r="Q62" i="107"/>
  <c r="S62" i="107" s="1"/>
  <c r="U62" i="107" s="1"/>
  <c r="R59" i="107"/>
  <c r="P57" i="107"/>
  <c r="Q54" i="107"/>
  <c r="S54" i="107" s="1"/>
  <c r="U54" i="107" s="1"/>
  <c r="R51" i="107"/>
  <c r="P49" i="107"/>
  <c r="Q46" i="107"/>
  <c r="S46" i="107" s="1"/>
  <c r="U46" i="107" s="1"/>
  <c r="R43" i="107"/>
  <c r="P41" i="107"/>
  <c r="Q38" i="107"/>
  <c r="S38" i="107" s="1"/>
  <c r="U38" i="107" s="1"/>
  <c r="R35" i="107"/>
  <c r="P33" i="107"/>
  <c r="Q30" i="107"/>
  <c r="S30" i="107" s="1"/>
  <c r="U30" i="107" s="1"/>
  <c r="R27" i="107"/>
  <c r="P25" i="107"/>
  <c r="Q22" i="107"/>
  <c r="S22" i="107" s="1"/>
  <c r="U22" i="107" s="1"/>
  <c r="R19" i="107"/>
  <c r="P17" i="107"/>
  <c r="Q14" i="107"/>
  <c r="S14" i="107" s="1"/>
  <c r="U14" i="107" s="1"/>
  <c r="R11" i="107"/>
  <c r="P9" i="107"/>
  <c r="O100" i="107"/>
  <c r="O92" i="107"/>
  <c r="O84" i="107"/>
  <c r="O76" i="107"/>
  <c r="O68" i="107"/>
  <c r="O60" i="107"/>
  <c r="O52" i="107"/>
  <c r="O44" i="107"/>
  <c r="O36" i="107"/>
  <c r="O28" i="107"/>
  <c r="O20" i="107"/>
  <c r="O12" i="107"/>
  <c r="Q107" i="107"/>
  <c r="S107" i="107" s="1"/>
  <c r="U107" i="107" s="1"/>
  <c r="R104" i="107"/>
  <c r="P102" i="107"/>
  <c r="Q99" i="107"/>
  <c r="S99" i="107" s="1"/>
  <c r="U99" i="107" s="1"/>
  <c r="R96" i="107"/>
  <c r="P94" i="107"/>
  <c r="Q91" i="107"/>
  <c r="S91" i="107" s="1"/>
  <c r="U91" i="107" s="1"/>
  <c r="R88" i="107"/>
  <c r="P86" i="107"/>
  <c r="Q83" i="107"/>
  <c r="S83" i="107" s="1"/>
  <c r="U83" i="107" s="1"/>
  <c r="R80" i="107"/>
  <c r="P78" i="107"/>
  <c r="Q75" i="107"/>
  <c r="S75" i="107" s="1"/>
  <c r="U75" i="107" s="1"/>
  <c r="R72" i="107"/>
  <c r="P70" i="107"/>
  <c r="Q67" i="107"/>
  <c r="S67" i="107" s="1"/>
  <c r="U67" i="107" s="1"/>
  <c r="R64" i="107"/>
  <c r="P62" i="107"/>
  <c r="Q59" i="107"/>
  <c r="S59" i="107" s="1"/>
  <c r="U59" i="107" s="1"/>
  <c r="R56" i="107"/>
  <c r="P54" i="107"/>
  <c r="Q51" i="107"/>
  <c r="S51" i="107" s="1"/>
  <c r="U51" i="107" s="1"/>
  <c r="R48" i="107"/>
  <c r="P46" i="107"/>
  <c r="Q43" i="107"/>
  <c r="S43" i="107" s="1"/>
  <c r="U43" i="107" s="1"/>
  <c r="R40" i="107"/>
  <c r="P38" i="107"/>
  <c r="Q35" i="107"/>
  <c r="S35" i="107" s="1"/>
  <c r="U35" i="107" s="1"/>
  <c r="R32" i="107"/>
  <c r="P30" i="107"/>
  <c r="Q27" i="107"/>
  <c r="S27" i="107" s="1"/>
  <c r="U27" i="107" s="1"/>
  <c r="R24" i="107"/>
  <c r="P22" i="107"/>
  <c r="Q19" i="107"/>
  <c r="S19" i="107" s="1"/>
  <c r="U19" i="107" s="1"/>
  <c r="R16" i="107"/>
  <c r="P14" i="107"/>
  <c r="Q11" i="107"/>
  <c r="S11" i="107" s="1"/>
  <c r="U11" i="107" s="1"/>
  <c r="O107" i="107"/>
  <c r="O99" i="107"/>
  <c r="O91" i="107"/>
  <c r="O83" i="107"/>
  <c r="O75" i="107"/>
  <c r="O67" i="107"/>
  <c r="O59" i="107"/>
  <c r="O51" i="107"/>
  <c r="O43" i="107"/>
  <c r="O35" i="107"/>
  <c r="O27" i="107"/>
  <c r="O19" i="107"/>
  <c r="O11" i="107"/>
  <c r="P107" i="107"/>
  <c r="Q104" i="107"/>
  <c r="S104" i="107" s="1"/>
  <c r="U104" i="107" s="1"/>
  <c r="R101" i="107"/>
  <c r="P99" i="107"/>
  <c r="Q96" i="107"/>
  <c r="S96" i="107" s="1"/>
  <c r="U96" i="107" s="1"/>
  <c r="R93" i="107"/>
  <c r="P91" i="107"/>
  <c r="Q88" i="107"/>
  <c r="S88" i="107" s="1"/>
  <c r="U88" i="107" s="1"/>
  <c r="R85" i="107"/>
  <c r="P83" i="107"/>
  <c r="Q80" i="107"/>
  <c r="S80" i="107" s="1"/>
  <c r="U80" i="107" s="1"/>
  <c r="R77" i="107"/>
  <c r="P75" i="107"/>
  <c r="Q72" i="107"/>
  <c r="S72" i="107" s="1"/>
  <c r="U72" i="107" s="1"/>
  <c r="R69" i="107"/>
  <c r="P67" i="107"/>
  <c r="Q64" i="107"/>
  <c r="S64" i="107" s="1"/>
  <c r="U64" i="107" s="1"/>
  <c r="R61" i="107"/>
  <c r="P59" i="107"/>
  <c r="Q56" i="107"/>
  <c r="S56" i="107" s="1"/>
  <c r="U56" i="107" s="1"/>
  <c r="R53" i="107"/>
  <c r="P51" i="107"/>
  <c r="Q48" i="107"/>
  <c r="S48" i="107" s="1"/>
  <c r="U48" i="107" s="1"/>
  <c r="R45" i="107"/>
  <c r="P43" i="107"/>
  <c r="Q40" i="107"/>
  <c r="S40" i="107" s="1"/>
  <c r="U40" i="107" s="1"/>
  <c r="R37" i="107"/>
  <c r="P35" i="107"/>
  <c r="Q32" i="107"/>
  <c r="S32" i="107" s="1"/>
  <c r="U32" i="107" s="1"/>
  <c r="R29" i="107"/>
  <c r="P27" i="107"/>
  <c r="Q24" i="107"/>
  <c r="S24" i="107" s="1"/>
  <c r="U24" i="107" s="1"/>
  <c r="R21" i="107"/>
  <c r="P19" i="107"/>
  <c r="Q16" i="107"/>
  <c r="S16" i="107" s="1"/>
  <c r="U16" i="107" s="1"/>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AB10" i="107"/>
  <c r="AD10" i="107"/>
  <c r="AB8" i="107"/>
  <c r="AD8" i="107"/>
  <c r="AB9" i="107"/>
  <c r="AD9" i="107"/>
  <c r="S68" i="107"/>
  <c r="U68" i="107" s="1"/>
  <c r="S9" i="107"/>
  <c r="U9" i="107" s="1"/>
  <c r="S73" i="107"/>
  <c r="U73" i="107" s="1"/>
  <c r="S92" i="107"/>
  <c r="U92" i="107" s="1"/>
  <c r="S23" i="107"/>
  <c r="U23" i="107" s="1"/>
  <c r="S66" i="107"/>
  <c r="U66" i="107" s="1"/>
  <c r="S39" i="107"/>
  <c r="U39" i="107" s="1"/>
  <c r="S21" i="107"/>
  <c r="U21" i="107" s="1"/>
  <c r="S28" i="107"/>
  <c r="U28" i="107" s="1"/>
  <c r="S78" i="107"/>
  <c r="U78" i="107" s="1"/>
  <c r="S55" i="107"/>
  <c r="U55" i="107" s="1"/>
  <c r="X7" i="107"/>
  <c r="Y7" i="107"/>
  <c r="Z7" i="107"/>
  <c r="AA7" i="107"/>
  <c r="AB7" i="107"/>
  <c r="AD7" i="107"/>
  <c r="T11" i="67"/>
  <c r="AC8" i="107"/>
  <c r="T12" i="67"/>
  <c r="AC9" i="107"/>
  <c r="T13" i="67"/>
  <c r="AC10" i="107"/>
  <c r="T14" i="67"/>
  <c r="AC11" i="107"/>
  <c r="T15" i="67"/>
  <c r="AC12" i="107"/>
  <c r="T16" i="67"/>
  <c r="AC13" i="107"/>
  <c r="T17" i="67"/>
  <c r="AC14" i="107"/>
  <c r="T18" i="67"/>
  <c r="AC15" i="107"/>
  <c r="T19" i="67"/>
  <c r="AC16" i="107"/>
  <c r="T20" i="67"/>
  <c r="AC17" i="107"/>
  <c r="T21" i="67"/>
  <c r="AC18" i="107"/>
  <c r="T22" i="67"/>
  <c r="AC19" i="107"/>
  <c r="T23" i="67"/>
  <c r="AC20" i="107"/>
  <c r="T24" i="67"/>
  <c r="AC21" i="107"/>
  <c r="T25" i="67"/>
  <c r="AC22" i="107"/>
  <c r="T26" i="67"/>
  <c r="AC23" i="107"/>
  <c r="T27" i="67"/>
  <c r="AC24" i="107"/>
  <c r="T28" i="67"/>
  <c r="AC25" i="107"/>
  <c r="T29" i="67"/>
  <c r="AC26" i="107"/>
  <c r="T30" i="67"/>
  <c r="AC27" i="107"/>
  <c r="T31" i="67"/>
  <c r="AC28" i="107"/>
  <c r="T32" i="67"/>
  <c r="AC29" i="107"/>
  <c r="T33" i="67"/>
  <c r="AC30" i="107"/>
  <c r="T34" i="67"/>
  <c r="AC31" i="107"/>
  <c r="T35" i="67"/>
  <c r="AC32" i="107"/>
  <c r="T36" i="67"/>
  <c r="AC33" i="107"/>
  <c r="T37" i="67"/>
  <c r="AC34" i="107"/>
  <c r="T38" i="67"/>
  <c r="AC35" i="107"/>
  <c r="T39" i="67"/>
  <c r="AC36" i="107"/>
  <c r="T40" i="67"/>
  <c r="AC37" i="107"/>
  <c r="T41" i="67"/>
  <c r="AC38" i="107"/>
  <c r="T42" i="67"/>
  <c r="AC39" i="107"/>
  <c r="T43" i="67"/>
  <c r="AC40" i="107"/>
  <c r="T44" i="67"/>
  <c r="AC41" i="107"/>
  <c r="T45" i="67"/>
  <c r="AC42" i="107"/>
  <c r="T46" i="67"/>
  <c r="AC43" i="107"/>
  <c r="T47" i="67"/>
  <c r="AC44" i="107"/>
  <c r="T48" i="67"/>
  <c r="AC45" i="107"/>
  <c r="T49" i="67"/>
  <c r="AC46" i="107"/>
  <c r="T50" i="67"/>
  <c r="AC47" i="107"/>
  <c r="T51" i="67"/>
  <c r="AC48" i="107"/>
  <c r="T52" i="67"/>
  <c r="AC49" i="107"/>
  <c r="T53" i="67"/>
  <c r="AC50" i="107"/>
  <c r="T54" i="67"/>
  <c r="AC51" i="107"/>
  <c r="T55" i="67"/>
  <c r="AC52" i="107"/>
  <c r="T56" i="67"/>
  <c r="AC53" i="107"/>
  <c r="T57" i="67"/>
  <c r="AC54" i="107"/>
  <c r="T58" i="67"/>
  <c r="AC55" i="107"/>
  <c r="T59" i="67"/>
  <c r="AC56" i="107"/>
  <c r="T60" i="67"/>
  <c r="AC57" i="107"/>
  <c r="T61" i="67"/>
  <c r="AC58" i="107"/>
  <c r="T62" i="67"/>
  <c r="AC59" i="107"/>
  <c r="T63" i="67"/>
  <c r="AC60" i="107"/>
  <c r="T64" i="67"/>
  <c r="AC61" i="107"/>
  <c r="T65" i="67"/>
  <c r="AC62" i="107"/>
  <c r="T66" i="67"/>
  <c r="AC63" i="107"/>
  <c r="T67" i="67"/>
  <c r="AC64" i="107"/>
  <c r="T68" i="67"/>
  <c r="AC65" i="107"/>
  <c r="T69" i="67"/>
  <c r="AC66" i="107"/>
  <c r="T70" i="67"/>
  <c r="AC67" i="107"/>
  <c r="T71" i="67"/>
  <c r="AC68" i="107"/>
  <c r="T72" i="67"/>
  <c r="AC69" i="107"/>
  <c r="T73" i="67"/>
  <c r="AC70" i="107"/>
  <c r="T74" i="67"/>
  <c r="AC71" i="107"/>
  <c r="T75" i="67"/>
  <c r="AC72" i="107"/>
  <c r="T76" i="67"/>
  <c r="AC73" i="107"/>
  <c r="T77" i="67"/>
  <c r="AC74" i="107"/>
  <c r="T78" i="67"/>
  <c r="AC75" i="107"/>
  <c r="T79" i="67"/>
  <c r="AC76" i="107"/>
  <c r="T80" i="67"/>
  <c r="AC77" i="107"/>
  <c r="T81" i="67"/>
  <c r="AC78" i="107"/>
  <c r="T82" i="67"/>
  <c r="AC79" i="107"/>
  <c r="T83" i="67"/>
  <c r="AC80" i="107"/>
  <c r="T84" i="67"/>
  <c r="AC81" i="107"/>
  <c r="T85" i="67"/>
  <c r="AC82" i="107"/>
  <c r="T86" i="67"/>
  <c r="AC83" i="107"/>
  <c r="T87" i="67"/>
  <c r="AC84" i="107"/>
  <c r="T88" i="67"/>
  <c r="AC85" i="107"/>
  <c r="T89" i="67"/>
  <c r="AC86" i="107"/>
  <c r="T90" i="67"/>
  <c r="AC87" i="107"/>
  <c r="T91" i="67"/>
  <c r="AC88" i="107"/>
  <c r="T92" i="67"/>
  <c r="AC89" i="107"/>
  <c r="T93" i="67"/>
  <c r="AC90" i="107"/>
  <c r="T94" i="67"/>
  <c r="AC91" i="107"/>
  <c r="T95" i="67"/>
  <c r="AC92" i="107"/>
  <c r="T96" i="67"/>
  <c r="AC93" i="107"/>
  <c r="T97" i="67"/>
  <c r="AC94" i="107"/>
  <c r="T98" i="67"/>
  <c r="AC95" i="107"/>
  <c r="T99" i="67"/>
  <c r="AC96" i="107"/>
  <c r="T100" i="67"/>
  <c r="AC97" i="107"/>
  <c r="T101" i="67"/>
  <c r="AC98" i="107"/>
  <c r="T102" i="67"/>
  <c r="AC99" i="107"/>
  <c r="T103" i="67"/>
  <c r="AC100" i="107"/>
  <c r="T104" i="67"/>
  <c r="AC101" i="107"/>
  <c r="T105" i="67"/>
  <c r="AC102" i="107"/>
  <c r="T106" i="67"/>
  <c r="AC103" i="107"/>
  <c r="T107" i="67"/>
  <c r="AC104" i="107"/>
  <c r="T108" i="67"/>
  <c r="AC105" i="107"/>
  <c r="T109" i="67"/>
  <c r="AC106" i="107"/>
  <c r="T110" i="67"/>
  <c r="AC107" i="107"/>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c r="P8" i="107"/>
  <c r="Q8" i="107"/>
  <c r="S8" i="107" s="1"/>
  <c r="U8" i="107" s="1"/>
  <c r="R8" i="107"/>
  <c r="C9" i="107"/>
  <c r="H9" i="107"/>
  <c r="F9" i="107"/>
  <c r="F8" i="107"/>
  <c r="F7" i="107"/>
  <c r="Q257" i="67"/>
  <c r="E80" i="28"/>
  <c r="D80" i="28"/>
  <c r="C80" i="28"/>
  <c r="B80" i="28"/>
  <c r="A80" i="28"/>
  <c r="F17" i="46"/>
  <c r="H17" i="46"/>
  <c r="I17" i="46"/>
  <c r="O17" i="46"/>
  <c r="F18" i="46"/>
  <c r="H18" i="46"/>
  <c r="I18" i="46"/>
  <c r="R18" i="46"/>
  <c r="V18" i="46"/>
  <c r="W18" i="46" s="1"/>
  <c r="O18" i="46"/>
  <c r="F19" i="46"/>
  <c r="H19" i="46"/>
  <c r="I19" i="46"/>
  <c r="R19" i="46"/>
  <c r="V19" i="46" s="1"/>
  <c r="W19" i="46" s="1"/>
  <c r="O19" i="46"/>
  <c r="F20" i="46"/>
  <c r="H20" i="46"/>
  <c r="I20" i="46"/>
  <c r="R20" i="46"/>
  <c r="V20" i="46"/>
  <c r="O20" i="46"/>
  <c r="W20" i="46"/>
  <c r="F21" i="46"/>
  <c r="H21" i="46"/>
  <c r="I21" i="46"/>
  <c r="R21" i="46"/>
  <c r="V21" i="46" s="1"/>
  <c r="W21" i="46" s="1"/>
  <c r="O21" i="46"/>
  <c r="F22" i="46"/>
  <c r="H22" i="46"/>
  <c r="I22" i="46"/>
  <c r="O22" i="46"/>
  <c r="R22" i="46"/>
  <c r="V22" i="46" s="1"/>
  <c r="W22" i="46" s="1"/>
  <c r="F23" i="46"/>
  <c r="H23" i="46"/>
  <c r="I23" i="46"/>
  <c r="R23" i="46"/>
  <c r="V23" i="46"/>
  <c r="W23" i="46" s="1"/>
  <c r="O23" i="46"/>
  <c r="F24" i="46"/>
  <c r="H24" i="46"/>
  <c r="I24" i="46"/>
  <c r="R24" i="46"/>
  <c r="V24" i="46" s="1"/>
  <c r="W24" i="46" s="1"/>
  <c r="O24" i="46"/>
  <c r="F25" i="46"/>
  <c r="H25" i="46"/>
  <c r="I25" i="46"/>
  <c r="R25" i="46"/>
  <c r="V25" i="46"/>
  <c r="W25" i="46" s="1"/>
  <c r="O25" i="46"/>
  <c r="F26" i="46"/>
  <c r="H26" i="46"/>
  <c r="I26" i="46"/>
  <c r="R26" i="46"/>
  <c r="V26" i="46"/>
  <c r="W26" i="46" s="1"/>
  <c r="X26" i="46" s="1"/>
  <c r="O26" i="46"/>
  <c r="F27" i="46"/>
  <c r="H27" i="46"/>
  <c r="I27" i="46"/>
  <c r="R27" i="46"/>
  <c r="V27" i="46" s="1"/>
  <c r="W27" i="46" s="1"/>
  <c r="X27" i="46" s="1"/>
  <c r="O27" i="46"/>
  <c r="F28" i="46"/>
  <c r="H28" i="46"/>
  <c r="I28" i="46"/>
  <c r="R28" i="46"/>
  <c r="V28" i="46"/>
  <c r="O28" i="46"/>
  <c r="W28" i="46"/>
  <c r="F29" i="46"/>
  <c r="H29" i="46"/>
  <c r="I29" i="46"/>
  <c r="R29" i="46"/>
  <c r="V29" i="46" s="1"/>
  <c r="W29" i="46" s="1"/>
  <c r="X29" i="46" s="1"/>
  <c r="O29" i="46"/>
  <c r="F30" i="46"/>
  <c r="H30" i="46"/>
  <c r="I30" i="46"/>
  <c r="O30" i="46"/>
  <c r="F31" i="46"/>
  <c r="H31" i="46"/>
  <c r="I31" i="46"/>
  <c r="O31" i="46"/>
  <c r="F32" i="46"/>
  <c r="H32" i="46"/>
  <c r="I32" i="46"/>
  <c r="O32" i="46"/>
  <c r="F33" i="46"/>
  <c r="H33" i="46"/>
  <c r="I33" i="46"/>
  <c r="O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c r="AJ259" i="65"/>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a="1"/>
  <c r="B58" i="73"/>
  <c r="F2" i="73"/>
  <c r="I6" i="11" a="1"/>
  <c r="I6" i="11" s="1"/>
  <c r="S36" i="106"/>
  <c r="I39" i="106" s="1"/>
  <c r="I41" i="106" s="1"/>
  <c r="W35" i="106"/>
  <c r="I54" i="106"/>
  <c r="I47" i="106"/>
  <c r="I49" i="106"/>
  <c r="I48" i="106"/>
  <c r="I46" i="106"/>
  <c r="I42" i="106"/>
  <c r="I44" i="106"/>
  <c r="I43" i="106"/>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258" i="52" s="1"/>
  <c r="F30" i="36" s="1"/>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S36" i="52" s="1"/>
  <c r="I37" i="52"/>
  <c r="I38" i="52"/>
  <c r="I39" i="52"/>
  <c r="I40" i="52"/>
  <c r="I41" i="52"/>
  <c r="I42" i="52"/>
  <c r="I43" i="52"/>
  <c r="I44" i="52"/>
  <c r="S44" i="52" s="1"/>
  <c r="I45" i="52"/>
  <c r="I46" i="52"/>
  <c r="I47" i="52"/>
  <c r="I48" i="52"/>
  <c r="I49" i="52"/>
  <c r="I50" i="52"/>
  <c r="I51" i="52"/>
  <c r="I52" i="52"/>
  <c r="R52" i="52" s="1"/>
  <c r="I53" i="52"/>
  <c r="I54" i="52"/>
  <c r="I55" i="52"/>
  <c r="I56" i="52"/>
  <c r="I57" i="52"/>
  <c r="I58" i="52"/>
  <c r="I59" i="52"/>
  <c r="I60" i="52"/>
  <c r="S60" i="52" s="1"/>
  <c r="I61" i="52"/>
  <c r="I62" i="52"/>
  <c r="I63" i="52"/>
  <c r="I64" i="52"/>
  <c r="I65" i="52"/>
  <c r="I66" i="52"/>
  <c r="I67" i="52"/>
  <c r="I68" i="52"/>
  <c r="S68" i="52" s="1"/>
  <c r="I69" i="52"/>
  <c r="I70" i="52"/>
  <c r="I71" i="52"/>
  <c r="I72" i="52"/>
  <c r="I73" i="52"/>
  <c r="I74" i="52"/>
  <c r="I75" i="52"/>
  <c r="I76" i="52"/>
  <c r="R76" i="52" s="1"/>
  <c r="I77" i="52"/>
  <c r="I78" i="52"/>
  <c r="I79" i="52"/>
  <c r="I80" i="52"/>
  <c r="I81" i="52"/>
  <c r="I82" i="52"/>
  <c r="I83" i="52"/>
  <c r="I84" i="52"/>
  <c r="S84" i="52" s="1"/>
  <c r="I85" i="52"/>
  <c r="I86" i="52"/>
  <c r="I87" i="52"/>
  <c r="I88" i="52"/>
  <c r="I89" i="52"/>
  <c r="I90" i="52"/>
  <c r="I91" i="52"/>
  <c r="I92" i="52"/>
  <c r="N92" i="52" s="1"/>
  <c r="U92" i="52" s="1"/>
  <c r="I93" i="52"/>
  <c r="I94" i="52"/>
  <c r="I95" i="52"/>
  <c r="I96" i="52"/>
  <c r="I97" i="52"/>
  <c r="I98" i="52"/>
  <c r="I99" i="52"/>
  <c r="I100" i="52"/>
  <c r="S100" i="52" s="1"/>
  <c r="I101" i="52"/>
  <c r="I102" i="52"/>
  <c r="I103" i="52"/>
  <c r="I104" i="52"/>
  <c r="I105" i="52"/>
  <c r="I106" i="52"/>
  <c r="I107" i="52"/>
  <c r="I108" i="52"/>
  <c r="N108" i="52" s="1"/>
  <c r="U108" i="52" s="1"/>
  <c r="I109" i="52"/>
  <c r="I110" i="52"/>
  <c r="I111" i="52"/>
  <c r="I112" i="52"/>
  <c r="I113" i="52"/>
  <c r="I114" i="52"/>
  <c r="I115" i="52"/>
  <c r="I116" i="52"/>
  <c r="N116" i="52" s="1"/>
  <c r="U116" i="52" s="1"/>
  <c r="I117" i="52"/>
  <c r="I118" i="52"/>
  <c r="I119" i="52"/>
  <c r="I120" i="52"/>
  <c r="I121" i="52"/>
  <c r="I122" i="52"/>
  <c r="I123" i="52"/>
  <c r="I124" i="52"/>
  <c r="S124" i="52" s="1"/>
  <c r="I125" i="52"/>
  <c r="I126" i="52"/>
  <c r="I127" i="52"/>
  <c r="I128" i="52"/>
  <c r="I129" i="52"/>
  <c r="I130" i="52"/>
  <c r="I131" i="52"/>
  <c r="I132" i="52"/>
  <c r="N132" i="52" s="1"/>
  <c r="U132" i="52" s="1"/>
  <c r="I133" i="52"/>
  <c r="I134" i="52"/>
  <c r="I135" i="52"/>
  <c r="I136" i="52"/>
  <c r="I137" i="52"/>
  <c r="I138" i="52"/>
  <c r="I139" i="52"/>
  <c r="I140" i="52"/>
  <c r="R140" i="52" s="1"/>
  <c r="I141" i="52"/>
  <c r="I142" i="52"/>
  <c r="I143" i="52"/>
  <c r="I144" i="52"/>
  <c r="I145" i="52"/>
  <c r="I146" i="52"/>
  <c r="I147" i="52"/>
  <c r="I148" i="52"/>
  <c r="N148" i="52" s="1"/>
  <c r="U148" i="52" s="1"/>
  <c r="I149" i="52"/>
  <c r="I150" i="52"/>
  <c r="I151" i="52"/>
  <c r="I152" i="52"/>
  <c r="I153" i="52"/>
  <c r="I154" i="52"/>
  <c r="I155" i="52"/>
  <c r="I156" i="52"/>
  <c r="N156" i="52" s="1"/>
  <c r="U156" i="52" s="1"/>
  <c r="I157" i="52"/>
  <c r="I158" i="52"/>
  <c r="I159" i="52"/>
  <c r="I160" i="52"/>
  <c r="I161" i="52"/>
  <c r="I162" i="52"/>
  <c r="I163" i="52"/>
  <c r="I164" i="52"/>
  <c r="S164" i="52" s="1"/>
  <c r="I165" i="52"/>
  <c r="I166" i="52"/>
  <c r="I167" i="52"/>
  <c r="I168" i="52"/>
  <c r="I169" i="52"/>
  <c r="I170" i="52"/>
  <c r="I171" i="52"/>
  <c r="I172" i="52"/>
  <c r="S172" i="52" s="1"/>
  <c r="I173" i="52"/>
  <c r="I174" i="52"/>
  <c r="I175" i="52"/>
  <c r="I176" i="52"/>
  <c r="I177" i="52"/>
  <c r="I178" i="52"/>
  <c r="I179" i="52"/>
  <c r="I180" i="52"/>
  <c r="R180" i="52" s="1"/>
  <c r="I181" i="52"/>
  <c r="I182" i="52"/>
  <c r="I183" i="52"/>
  <c r="I184" i="52"/>
  <c r="I185" i="52"/>
  <c r="I186" i="52"/>
  <c r="I187" i="52"/>
  <c r="I188" i="52"/>
  <c r="S188" i="52" s="1"/>
  <c r="I189" i="52"/>
  <c r="I190" i="52"/>
  <c r="I191" i="52"/>
  <c r="I192" i="52"/>
  <c r="I193" i="52"/>
  <c r="I194" i="52"/>
  <c r="I195" i="52"/>
  <c r="I196" i="52"/>
  <c r="N196" i="52" s="1"/>
  <c r="U196" i="52" s="1"/>
  <c r="I197" i="52"/>
  <c r="I198" i="52"/>
  <c r="I199" i="52"/>
  <c r="I200" i="52"/>
  <c r="I201" i="52"/>
  <c r="I202" i="52"/>
  <c r="I203" i="52"/>
  <c r="I204" i="52"/>
  <c r="R204" i="52" s="1"/>
  <c r="I205" i="52"/>
  <c r="I206" i="52"/>
  <c r="I207" i="52"/>
  <c r="I208" i="52"/>
  <c r="I209" i="52"/>
  <c r="I210" i="52"/>
  <c r="I211" i="52"/>
  <c r="I212" i="52"/>
  <c r="S212" i="52" s="1"/>
  <c r="I213" i="52"/>
  <c r="I214" i="52"/>
  <c r="I215" i="52"/>
  <c r="I216" i="52"/>
  <c r="I217" i="52"/>
  <c r="I218" i="52"/>
  <c r="I219" i="52"/>
  <c r="I220" i="52"/>
  <c r="N220" i="52" s="1"/>
  <c r="U220" i="52" s="1"/>
  <c r="I221" i="52"/>
  <c r="I222" i="52"/>
  <c r="I223" i="52"/>
  <c r="I224" i="52"/>
  <c r="I225" i="52"/>
  <c r="I226" i="52"/>
  <c r="I227" i="52"/>
  <c r="I228" i="52"/>
  <c r="S228" i="52" s="1"/>
  <c r="I229" i="52"/>
  <c r="I230" i="52"/>
  <c r="I231" i="52"/>
  <c r="I232" i="52"/>
  <c r="I233" i="52"/>
  <c r="I234" i="52"/>
  <c r="I235" i="52"/>
  <c r="I236" i="52"/>
  <c r="N236" i="52" s="1"/>
  <c r="U236" i="52" s="1"/>
  <c r="I237" i="52"/>
  <c r="I238" i="52"/>
  <c r="I239" i="52"/>
  <c r="I240" i="52"/>
  <c r="I241" i="52"/>
  <c r="I242" i="52"/>
  <c r="I243" i="52"/>
  <c r="I244" i="52"/>
  <c r="R244" i="52" s="1"/>
  <c r="I245" i="52"/>
  <c r="I246" i="52"/>
  <c r="I247" i="52"/>
  <c r="I248" i="52"/>
  <c r="I249" i="52"/>
  <c r="I250" i="52"/>
  <c r="I251" i="52"/>
  <c r="I252" i="52"/>
  <c r="N252" i="52" s="1"/>
  <c r="U252" i="52" s="1"/>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AC17" i="11"/>
  <c r="L17" i="11"/>
  <c r="O17" i="11"/>
  <c r="V17" i="11" s="1"/>
  <c r="U17" i="11"/>
  <c r="AC18" i="11"/>
  <c r="L18" i="11"/>
  <c r="O18" i="11"/>
  <c r="Q18" i="11" s="1"/>
  <c r="V18" i="11"/>
  <c r="AC19" i="11"/>
  <c r="L19" i="11"/>
  <c r="O19" i="11"/>
  <c r="U19" i="11" s="1"/>
  <c r="AC20" i="11"/>
  <c r="L20" i="11"/>
  <c r="O20" i="11"/>
  <c r="Q20" i="11" s="1"/>
  <c r="AC21" i="11"/>
  <c r="I21" i="11"/>
  <c r="J21" i="11"/>
  <c r="L21" i="11"/>
  <c r="O21" i="11"/>
  <c r="Q21" i="11" s="1"/>
  <c r="AC22" i="11"/>
  <c r="L22" i="11"/>
  <c r="O22" i="11"/>
  <c r="Q22" i="11" s="1"/>
  <c r="V22" i="11"/>
  <c r="AC23" i="11"/>
  <c r="L23" i="11"/>
  <c r="O23" i="11"/>
  <c r="Q23" i="11" s="1"/>
  <c r="AC24" i="11"/>
  <c r="L24" i="11"/>
  <c r="O24" i="11"/>
  <c r="Q24" i="11" s="1"/>
  <c r="AC25" i="11"/>
  <c r="L25" i="11"/>
  <c r="O25" i="11"/>
  <c r="U25" i="11" s="1"/>
  <c r="Q25" i="11"/>
  <c r="AC26" i="11"/>
  <c r="L26" i="11"/>
  <c r="O26" i="11"/>
  <c r="Q26" i="11" s="1"/>
  <c r="V26" i="11"/>
  <c r="AC27" i="11"/>
  <c r="L27" i="11"/>
  <c r="O27" i="11"/>
  <c r="Q27" i="11" s="1"/>
  <c r="V27" i="11"/>
  <c r="AC28" i="11"/>
  <c r="L28" i="11"/>
  <c r="O28" i="11"/>
  <c r="Q28" i="11" s="1"/>
  <c r="AC29" i="11"/>
  <c r="O29" i="11"/>
  <c r="L29" i="11"/>
  <c r="I29" i="11"/>
  <c r="J29" i="11"/>
  <c r="Q29" i="11"/>
  <c r="X29" i="11" s="1"/>
  <c r="U29" i="11"/>
  <c r="V29" i="11"/>
  <c r="AC30" i="11"/>
  <c r="L30" i="11"/>
  <c r="O30" i="11"/>
  <c r="Q30" i="11"/>
  <c r="U30" i="11"/>
  <c r="V30" i="11"/>
  <c r="X30" i="11"/>
  <c r="AC31" i="11"/>
  <c r="L31" i="11"/>
  <c r="O31" i="11"/>
  <c r="Q31" i="11"/>
  <c r="X31" i="11" s="1"/>
  <c r="U31" i="11"/>
  <c r="V31" i="11"/>
  <c r="AC32" i="11"/>
  <c r="Q32" i="11"/>
  <c r="X32" i="11" s="1"/>
  <c r="AQ32" i="11" s="1"/>
  <c r="U32" i="11"/>
  <c r="V32" i="11"/>
  <c r="AC33" i="11"/>
  <c r="Q33" i="11"/>
  <c r="U33" i="11"/>
  <c r="V33" i="11"/>
  <c r="X33" i="11"/>
  <c r="AC34" i="11"/>
  <c r="L34" i="11"/>
  <c r="O34" i="11"/>
  <c r="Q34" i="11" s="1"/>
  <c r="AC35" i="11"/>
  <c r="L35" i="11"/>
  <c r="O35" i="11"/>
  <c r="Q35" i="11"/>
  <c r="U35" i="11"/>
  <c r="V35" i="11"/>
  <c r="X35" i="11"/>
  <c r="AC36" i="11"/>
  <c r="L36" i="11"/>
  <c r="O36" i="11"/>
  <c r="Q36" i="11"/>
  <c r="U36" i="11"/>
  <c r="V36"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c r="I262" i="71"/>
  <c r="J264" i="59"/>
  <c r="I264" i="59"/>
  <c r="I262" i="46"/>
  <c r="H262" i="46"/>
  <c r="J265" i="11"/>
  <c r="I265" i="11"/>
  <c r="F11" i="46"/>
  <c r="F12" i="46"/>
  <c r="F13" i="46"/>
  <c r="F14" i="46"/>
  <c r="F15" i="46"/>
  <c r="F16" i="46"/>
  <c r="U17" i="46"/>
  <c r="U24" i="46"/>
  <c r="U32" i="46"/>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c r="G13" i="59"/>
  <c r="P13" i="59"/>
  <c r="G14" i="59"/>
  <c r="P14" i="59"/>
  <c r="G15" i="59"/>
  <c r="P15" i="59"/>
  <c r="G16" i="59"/>
  <c r="P16" i="59"/>
  <c r="Q16" i="59"/>
  <c r="G17" i="59"/>
  <c r="P17" i="59"/>
  <c r="Q17" i="59"/>
  <c r="G18" i="59"/>
  <c r="P18" i="59"/>
  <c r="Q18" i="59"/>
  <c r="G19" i="59"/>
  <c r="P19" i="59"/>
  <c r="Q19" i="59"/>
  <c r="G20" i="59"/>
  <c r="P20" i="59"/>
  <c r="Q20" i="59"/>
  <c r="G21" i="59"/>
  <c r="P21" i="59"/>
  <c r="Q21" i="59"/>
  <c r="G22" i="59"/>
  <c r="P22" i="59"/>
  <c r="Q22" i="59"/>
  <c r="G23" i="59"/>
  <c r="P23" i="59"/>
  <c r="Q23" i="59"/>
  <c r="G24" i="59"/>
  <c r="P24" i="59"/>
  <c r="Q24" i="59"/>
  <c r="G25" i="59"/>
  <c r="P25" i="59"/>
  <c r="Q25" i="59"/>
  <c r="G26" i="59"/>
  <c r="P26" i="59"/>
  <c r="Q26" i="59"/>
  <c r="G27" i="59"/>
  <c r="P27" i="59"/>
  <c r="Q27" i="59"/>
  <c r="G28" i="59"/>
  <c r="P28" i="59"/>
  <c r="Q28" i="59"/>
  <c r="G29" i="59"/>
  <c r="P29" i="59"/>
  <c r="Q29" i="59"/>
  <c r="G30" i="59"/>
  <c r="P30" i="59"/>
  <c r="Q30" i="59"/>
  <c r="G31" i="59"/>
  <c r="P31" i="59"/>
  <c r="Q31" i="59"/>
  <c r="G32" i="59"/>
  <c r="P32" i="59"/>
  <c r="Q32" i="59"/>
  <c r="G33" i="59"/>
  <c r="P33" i="59"/>
  <c r="Q33" i="59"/>
  <c r="G34" i="59"/>
  <c r="P34" i="59"/>
  <c r="Q34" i="59"/>
  <c r="G35" i="59"/>
  <c r="P35" i="59"/>
  <c r="Q35" i="59"/>
  <c r="G36" i="59"/>
  <c r="P36" i="59"/>
  <c r="Q36" i="59"/>
  <c r="G37" i="59"/>
  <c r="P37" i="59"/>
  <c r="Q37" i="59"/>
  <c r="G38" i="59"/>
  <c r="P38" i="59"/>
  <c r="Q38" i="59"/>
  <c r="G39" i="59"/>
  <c r="P39" i="59"/>
  <c r="Q39" i="59"/>
  <c r="G40" i="59"/>
  <c r="P40" i="59"/>
  <c r="Q40" i="59"/>
  <c r="G41" i="59"/>
  <c r="P41" i="59"/>
  <c r="Q41" i="59"/>
  <c r="G42" i="59"/>
  <c r="P42" i="59"/>
  <c r="Q42" i="59"/>
  <c r="G43" i="59"/>
  <c r="P43" i="59"/>
  <c r="Q43" i="59"/>
  <c r="G44" i="59"/>
  <c r="P44" i="59"/>
  <c r="Q44" i="59"/>
  <c r="G45" i="59"/>
  <c r="P45" i="59"/>
  <c r="Q45" i="59"/>
  <c r="G46" i="59"/>
  <c r="P46" i="59"/>
  <c r="Q46" i="59"/>
  <c r="G47" i="59"/>
  <c r="P47" i="59"/>
  <c r="Q47" i="59"/>
  <c r="G48" i="59"/>
  <c r="P48" i="59"/>
  <c r="Q48" i="59"/>
  <c r="G49" i="59"/>
  <c r="P49" i="59"/>
  <c r="Q49" i="59"/>
  <c r="G50" i="59"/>
  <c r="P50" i="59"/>
  <c r="Q50" i="59"/>
  <c r="G51" i="59"/>
  <c r="P51" i="59"/>
  <c r="Q51" i="59"/>
  <c r="G52" i="59"/>
  <c r="P52" i="59"/>
  <c r="Q52" i="59"/>
  <c r="G53" i="59"/>
  <c r="P53" i="59"/>
  <c r="Q53" i="59"/>
  <c r="G54" i="59"/>
  <c r="P54" i="59"/>
  <c r="Q54" i="59"/>
  <c r="G55" i="59"/>
  <c r="P55" i="59"/>
  <c r="Q55" i="59"/>
  <c r="G56" i="59"/>
  <c r="P56" i="59"/>
  <c r="Q56" i="59"/>
  <c r="G57" i="59"/>
  <c r="P57" i="59"/>
  <c r="Q57" i="59"/>
  <c r="G58" i="59"/>
  <c r="P58" i="59"/>
  <c r="Q58" i="59"/>
  <c r="G59" i="59"/>
  <c r="P59" i="59"/>
  <c r="Q59" i="59"/>
  <c r="G60" i="59"/>
  <c r="P60" i="59"/>
  <c r="Q60" i="59"/>
  <c r="G61" i="59"/>
  <c r="P61" i="59"/>
  <c r="Q61" i="59"/>
  <c r="G62" i="59"/>
  <c r="P62" i="59"/>
  <c r="Q62" i="59"/>
  <c r="G63" i="59"/>
  <c r="P63" i="59"/>
  <c r="Q63" i="59"/>
  <c r="G64" i="59"/>
  <c r="P64" i="59"/>
  <c r="Q64" i="59"/>
  <c r="G65" i="59"/>
  <c r="P65" i="59"/>
  <c r="Q65" i="59"/>
  <c r="G66" i="59"/>
  <c r="P66" i="59"/>
  <c r="Q66" i="59"/>
  <c r="G67" i="59"/>
  <c r="P67" i="59"/>
  <c r="Q67" i="59"/>
  <c r="G68" i="59"/>
  <c r="P68" i="59"/>
  <c r="Q68" i="59"/>
  <c r="G69" i="59"/>
  <c r="P69" i="59"/>
  <c r="Q69" i="59"/>
  <c r="G70" i="59"/>
  <c r="P70" i="59"/>
  <c r="Q70" i="59"/>
  <c r="G71" i="59"/>
  <c r="P71" i="59"/>
  <c r="Q71" i="59"/>
  <c r="G72" i="59"/>
  <c r="P72" i="59"/>
  <c r="Q72" i="59"/>
  <c r="G73" i="59"/>
  <c r="P73" i="59"/>
  <c r="Q73" i="59"/>
  <c r="G74" i="59"/>
  <c r="P74" i="59"/>
  <c r="Q74" i="59"/>
  <c r="G75" i="59"/>
  <c r="P75" i="59"/>
  <c r="Q75" i="59"/>
  <c r="G76" i="59"/>
  <c r="P76" i="59"/>
  <c r="Q76" i="59"/>
  <c r="G77" i="59"/>
  <c r="P77" i="59"/>
  <c r="Q77" i="59"/>
  <c r="G78" i="59"/>
  <c r="P78" i="59"/>
  <c r="Q78" i="59"/>
  <c r="G79" i="59"/>
  <c r="P79" i="59"/>
  <c r="Q79" i="59"/>
  <c r="G80" i="59"/>
  <c r="P80" i="59"/>
  <c r="Q80" i="59"/>
  <c r="G81" i="59"/>
  <c r="P81" i="59"/>
  <c r="Q81" i="59"/>
  <c r="G82" i="59"/>
  <c r="P82" i="59"/>
  <c r="Q82" i="59"/>
  <c r="G83" i="59"/>
  <c r="P83" i="59"/>
  <c r="Q83" i="59"/>
  <c r="G84" i="59"/>
  <c r="P84" i="59"/>
  <c r="Q84" i="59"/>
  <c r="G85" i="59"/>
  <c r="P85" i="59"/>
  <c r="Q85" i="59"/>
  <c r="G86" i="59"/>
  <c r="P86" i="59"/>
  <c r="Q86" i="59"/>
  <c r="G87" i="59"/>
  <c r="P87" i="59"/>
  <c r="Q87" i="59"/>
  <c r="G88" i="59"/>
  <c r="P88" i="59"/>
  <c r="Q88" i="59"/>
  <c r="G89" i="59"/>
  <c r="P89" i="59"/>
  <c r="Q89" i="59"/>
  <c r="G90" i="59"/>
  <c r="P90" i="59"/>
  <c r="Q90" i="59"/>
  <c r="G91" i="59"/>
  <c r="P91" i="59"/>
  <c r="Q91" i="59"/>
  <c r="G92" i="59"/>
  <c r="P92" i="59"/>
  <c r="Q92" i="59"/>
  <c r="G93" i="59"/>
  <c r="P93" i="59"/>
  <c r="Q93" i="59"/>
  <c r="G94" i="59"/>
  <c r="P94" i="59"/>
  <c r="Q94" i="59"/>
  <c r="G95" i="59"/>
  <c r="P95" i="59"/>
  <c r="Q95" i="59"/>
  <c r="G96" i="59"/>
  <c r="P96" i="59"/>
  <c r="Q96" i="59"/>
  <c r="G97" i="59"/>
  <c r="P97" i="59"/>
  <c r="Q97" i="59"/>
  <c r="G98" i="59"/>
  <c r="P98" i="59"/>
  <c r="Q98" i="59"/>
  <c r="G99" i="59"/>
  <c r="P99" i="59"/>
  <c r="Q99" i="59"/>
  <c r="G100" i="59"/>
  <c r="P100" i="59"/>
  <c r="Q100" i="59"/>
  <c r="G101" i="59"/>
  <c r="P101" i="59"/>
  <c r="Q101" i="59"/>
  <c r="G102" i="59"/>
  <c r="P102" i="59"/>
  <c r="Q102" i="59"/>
  <c r="G103" i="59"/>
  <c r="P103" i="59"/>
  <c r="Q103" i="59"/>
  <c r="G104" i="59"/>
  <c r="P104" i="59"/>
  <c r="Q104" i="59"/>
  <c r="G105" i="59"/>
  <c r="P105" i="59"/>
  <c r="Q105" i="59"/>
  <c r="G106" i="59"/>
  <c r="P106" i="59"/>
  <c r="Q106" i="59"/>
  <c r="G107" i="59"/>
  <c r="P107" i="59"/>
  <c r="Q107" i="59"/>
  <c r="G108" i="59"/>
  <c r="P108" i="59"/>
  <c r="Q108" i="59"/>
  <c r="G109" i="59"/>
  <c r="P109" i="59"/>
  <c r="Q109" i="59"/>
  <c r="G110" i="59"/>
  <c r="P110" i="59"/>
  <c r="Q110" i="59"/>
  <c r="G111" i="59"/>
  <c r="P111" i="59"/>
  <c r="Q111" i="59"/>
  <c r="G112" i="59"/>
  <c r="P112" i="59"/>
  <c r="Q112" i="59"/>
  <c r="G113" i="59"/>
  <c r="P113" i="59"/>
  <c r="Q113" i="59"/>
  <c r="G114" i="59"/>
  <c r="P114" i="59"/>
  <c r="Q114" i="59"/>
  <c r="G115" i="59"/>
  <c r="P115" i="59"/>
  <c r="Q115" i="59"/>
  <c r="G116" i="59"/>
  <c r="P116" i="59"/>
  <c r="Q116" i="59"/>
  <c r="G117" i="59"/>
  <c r="P117" i="59"/>
  <c r="Q117" i="59"/>
  <c r="G118" i="59"/>
  <c r="P118" i="59"/>
  <c r="Q118" i="59"/>
  <c r="G119" i="59"/>
  <c r="P119" i="59"/>
  <c r="Q119" i="59"/>
  <c r="G120" i="59"/>
  <c r="P120" i="59"/>
  <c r="Q120" i="59"/>
  <c r="G121" i="59"/>
  <c r="P121" i="59"/>
  <c r="Q121" i="59"/>
  <c r="G122" i="59"/>
  <c r="P122" i="59"/>
  <c r="Q122" i="59"/>
  <c r="G123" i="59"/>
  <c r="P123" i="59"/>
  <c r="Q123" i="59"/>
  <c r="G124" i="59"/>
  <c r="P124" i="59"/>
  <c r="Q124" i="59"/>
  <c r="G125" i="59"/>
  <c r="P125" i="59"/>
  <c r="Q125" i="59"/>
  <c r="G126" i="59"/>
  <c r="P126" i="59"/>
  <c r="Q126" i="59"/>
  <c r="G127" i="59"/>
  <c r="P127" i="59"/>
  <c r="Q127" i="59"/>
  <c r="G128" i="59"/>
  <c r="P128" i="59"/>
  <c r="Q128" i="59"/>
  <c r="G129" i="59"/>
  <c r="P129" i="59"/>
  <c r="Q129" i="59"/>
  <c r="G130" i="59"/>
  <c r="P130" i="59"/>
  <c r="Q130" i="59"/>
  <c r="G131" i="59"/>
  <c r="P131" i="59"/>
  <c r="Q131" i="59"/>
  <c r="G132" i="59"/>
  <c r="P132" i="59"/>
  <c r="Q132" i="59"/>
  <c r="G133" i="59"/>
  <c r="P133" i="59"/>
  <c r="Q133" i="59"/>
  <c r="G134" i="59"/>
  <c r="P134" i="59"/>
  <c r="Q134" i="59"/>
  <c r="G135" i="59"/>
  <c r="P135" i="59"/>
  <c r="Q135" i="59"/>
  <c r="G136" i="59"/>
  <c r="P136" i="59"/>
  <c r="Q136" i="59"/>
  <c r="G137" i="59"/>
  <c r="P137" i="59"/>
  <c r="Q137" i="59"/>
  <c r="G138" i="59"/>
  <c r="P138" i="59"/>
  <c r="Q138" i="59"/>
  <c r="G139" i="59"/>
  <c r="P139" i="59"/>
  <c r="Q139" i="59"/>
  <c r="G140" i="59"/>
  <c r="P140" i="59"/>
  <c r="Q140" i="59"/>
  <c r="G141" i="59"/>
  <c r="P141" i="59"/>
  <c r="Q141" i="59"/>
  <c r="G142" i="59"/>
  <c r="P142" i="59"/>
  <c r="Q142" i="59"/>
  <c r="G143" i="59"/>
  <c r="P143" i="59"/>
  <c r="Q143" i="59"/>
  <c r="G144" i="59"/>
  <c r="P144" i="59"/>
  <c r="Q144" i="59"/>
  <c r="G145" i="59"/>
  <c r="P145" i="59"/>
  <c r="Q145" i="59"/>
  <c r="G146" i="59"/>
  <c r="P146" i="59"/>
  <c r="Q146" i="59"/>
  <c r="G147" i="59"/>
  <c r="P147" i="59"/>
  <c r="Q147" i="59"/>
  <c r="G148" i="59"/>
  <c r="P148" i="59"/>
  <c r="Q148" i="59"/>
  <c r="G149" i="59"/>
  <c r="P149" i="59"/>
  <c r="Q149" i="59"/>
  <c r="G150" i="59"/>
  <c r="P150" i="59"/>
  <c r="Q150" i="59"/>
  <c r="G151" i="59"/>
  <c r="P151" i="59"/>
  <c r="Q151" i="59"/>
  <c r="G152" i="59"/>
  <c r="P152" i="59"/>
  <c r="Q152" i="59"/>
  <c r="G153" i="59"/>
  <c r="P153" i="59"/>
  <c r="Q153" i="59"/>
  <c r="G154" i="59"/>
  <c r="P154" i="59"/>
  <c r="Q154" i="59"/>
  <c r="G155" i="59"/>
  <c r="P155" i="59"/>
  <c r="Q155" i="59"/>
  <c r="G156" i="59"/>
  <c r="P156" i="59"/>
  <c r="Q156" i="59"/>
  <c r="G157" i="59"/>
  <c r="P157" i="59"/>
  <c r="Q157" i="59"/>
  <c r="G158" i="59"/>
  <c r="P158" i="59"/>
  <c r="Q158" i="59"/>
  <c r="G159" i="59"/>
  <c r="P159" i="59"/>
  <c r="Q159" i="59"/>
  <c r="G160" i="59"/>
  <c r="P160" i="59"/>
  <c r="Q160" i="59"/>
  <c r="G161" i="59"/>
  <c r="P161" i="59"/>
  <c r="Q161" i="59"/>
  <c r="G162" i="59"/>
  <c r="P162" i="59"/>
  <c r="Q162" i="59"/>
  <c r="G163" i="59"/>
  <c r="P163" i="59"/>
  <c r="Q163" i="59"/>
  <c r="G164" i="59"/>
  <c r="P164" i="59"/>
  <c r="Q164" i="59"/>
  <c r="G165" i="59"/>
  <c r="P165" i="59"/>
  <c r="Q165" i="59"/>
  <c r="G166" i="59"/>
  <c r="P166" i="59"/>
  <c r="Q166" i="59"/>
  <c r="G167" i="59"/>
  <c r="P167" i="59"/>
  <c r="Q167" i="59"/>
  <c r="G168" i="59"/>
  <c r="P168" i="59"/>
  <c r="Q168" i="59"/>
  <c r="G169" i="59"/>
  <c r="P169" i="59"/>
  <c r="Q169" i="59"/>
  <c r="G170" i="59"/>
  <c r="P170" i="59"/>
  <c r="Q170" i="59"/>
  <c r="G171" i="59"/>
  <c r="P171" i="59"/>
  <c r="Q171" i="59"/>
  <c r="G172" i="59"/>
  <c r="P172" i="59"/>
  <c r="Q172" i="59"/>
  <c r="G173" i="59"/>
  <c r="P173" i="59"/>
  <c r="Q173" i="59"/>
  <c r="G174" i="59"/>
  <c r="P174" i="59"/>
  <c r="Q174" i="59"/>
  <c r="G175" i="59"/>
  <c r="P175" i="59"/>
  <c r="Q175" i="59"/>
  <c r="G176" i="59"/>
  <c r="P176" i="59"/>
  <c r="Q176" i="59"/>
  <c r="G177" i="59"/>
  <c r="P177" i="59"/>
  <c r="Q177" i="59"/>
  <c r="G178" i="59"/>
  <c r="P178" i="59"/>
  <c r="Q178" i="59"/>
  <c r="G179" i="59"/>
  <c r="P179" i="59"/>
  <c r="Q179" i="59"/>
  <c r="G180" i="59"/>
  <c r="P180" i="59"/>
  <c r="Q180" i="59"/>
  <c r="G181" i="59"/>
  <c r="P181" i="59"/>
  <c r="Q181" i="59"/>
  <c r="G182" i="59"/>
  <c r="P182" i="59"/>
  <c r="Q182" i="59"/>
  <c r="G183" i="59"/>
  <c r="P183" i="59"/>
  <c r="Q183" i="59"/>
  <c r="G184" i="59"/>
  <c r="P184" i="59"/>
  <c r="Q184" i="59"/>
  <c r="G185" i="59"/>
  <c r="P185" i="59"/>
  <c r="Q185" i="59"/>
  <c r="G186" i="59"/>
  <c r="P186" i="59"/>
  <c r="Q186" i="59"/>
  <c r="G187" i="59"/>
  <c r="P187" i="59"/>
  <c r="Q187" i="59"/>
  <c r="G188" i="59"/>
  <c r="P188" i="59"/>
  <c r="Q188" i="59"/>
  <c r="G189" i="59"/>
  <c r="P189" i="59"/>
  <c r="Q189" i="59"/>
  <c r="G190" i="59"/>
  <c r="P190" i="59"/>
  <c r="Q190" i="59"/>
  <c r="G191" i="59"/>
  <c r="P191" i="59"/>
  <c r="Q191" i="59"/>
  <c r="G192" i="59"/>
  <c r="P192" i="59"/>
  <c r="Q192" i="59"/>
  <c r="G193" i="59"/>
  <c r="P193" i="59"/>
  <c r="Q193" i="59"/>
  <c r="G194" i="59"/>
  <c r="P194" i="59"/>
  <c r="Q194" i="59"/>
  <c r="G195" i="59"/>
  <c r="P195" i="59"/>
  <c r="Q195" i="59"/>
  <c r="G196" i="59"/>
  <c r="P196" i="59"/>
  <c r="Q196" i="59"/>
  <c r="G197" i="59"/>
  <c r="P197" i="59"/>
  <c r="Q197" i="59"/>
  <c r="G198" i="59"/>
  <c r="P198" i="59"/>
  <c r="Q198" i="59"/>
  <c r="G199" i="59"/>
  <c r="P199" i="59"/>
  <c r="Q199" i="59"/>
  <c r="G200" i="59"/>
  <c r="P200" i="59"/>
  <c r="Q200" i="59"/>
  <c r="G201" i="59"/>
  <c r="P201" i="59"/>
  <c r="Q201" i="59"/>
  <c r="G202" i="59"/>
  <c r="P202" i="59"/>
  <c r="Q202" i="59"/>
  <c r="G203" i="59"/>
  <c r="P203" i="59"/>
  <c r="Q203" i="59"/>
  <c r="G204" i="59"/>
  <c r="P204" i="59"/>
  <c r="Q204" i="59"/>
  <c r="G205" i="59"/>
  <c r="P205" i="59"/>
  <c r="Q205" i="59"/>
  <c r="G206" i="59"/>
  <c r="P206" i="59"/>
  <c r="Q206" i="59"/>
  <c r="G207" i="59"/>
  <c r="P207" i="59"/>
  <c r="Q207" i="59"/>
  <c r="G208" i="59"/>
  <c r="P208" i="59"/>
  <c r="Q208" i="59"/>
  <c r="G209" i="59"/>
  <c r="P209" i="59"/>
  <c r="Q209" i="59"/>
  <c r="G210" i="59"/>
  <c r="P210" i="59"/>
  <c r="Q210" i="59"/>
  <c r="G211" i="59"/>
  <c r="P211" i="59"/>
  <c r="Q211" i="59"/>
  <c r="G212" i="59"/>
  <c r="P212" i="59"/>
  <c r="Q212" i="59"/>
  <c r="G213" i="59"/>
  <c r="P213" i="59"/>
  <c r="Q213" i="59"/>
  <c r="G214" i="59"/>
  <c r="P214" i="59"/>
  <c r="Q214" i="59"/>
  <c r="G215" i="59"/>
  <c r="P215" i="59"/>
  <c r="Q215" i="59"/>
  <c r="G216" i="59"/>
  <c r="P216" i="59"/>
  <c r="Q216" i="59"/>
  <c r="G217" i="59"/>
  <c r="P217" i="59"/>
  <c r="Q217" i="59"/>
  <c r="G218" i="59"/>
  <c r="P218" i="59"/>
  <c r="Q218" i="59"/>
  <c r="G219" i="59"/>
  <c r="P219" i="59"/>
  <c r="Q219" i="59"/>
  <c r="G220" i="59"/>
  <c r="P220" i="59"/>
  <c r="Q220" i="59"/>
  <c r="G221" i="59"/>
  <c r="P221" i="59"/>
  <c r="Q221" i="59"/>
  <c r="G222" i="59"/>
  <c r="P222" i="59"/>
  <c r="Q222" i="59"/>
  <c r="G223" i="59"/>
  <c r="P223" i="59"/>
  <c r="Q223" i="59"/>
  <c r="G224" i="59"/>
  <c r="P224" i="59"/>
  <c r="Q224" i="59"/>
  <c r="G225" i="59"/>
  <c r="P225" i="59"/>
  <c r="Q225" i="59"/>
  <c r="G226" i="59"/>
  <c r="P226" i="59"/>
  <c r="Q226" i="59"/>
  <c r="G227" i="59"/>
  <c r="P227" i="59"/>
  <c r="Q227" i="59"/>
  <c r="G228" i="59"/>
  <c r="P228" i="59"/>
  <c r="Q228" i="59"/>
  <c r="G229" i="59"/>
  <c r="P229" i="59"/>
  <c r="Q229" i="59"/>
  <c r="G230" i="59"/>
  <c r="P230" i="59"/>
  <c r="Q230" i="59"/>
  <c r="G231" i="59"/>
  <c r="P231" i="59"/>
  <c r="Q231" i="59"/>
  <c r="G232" i="59"/>
  <c r="P232" i="59"/>
  <c r="Q232" i="59"/>
  <c r="G233" i="59"/>
  <c r="P233" i="59"/>
  <c r="Q233" i="59"/>
  <c r="G234" i="59"/>
  <c r="P234" i="59"/>
  <c r="Q234" i="59"/>
  <c r="G235" i="59"/>
  <c r="P235" i="59"/>
  <c r="Q235" i="59"/>
  <c r="G236" i="59"/>
  <c r="P236" i="59"/>
  <c r="Q236" i="59"/>
  <c r="G237" i="59"/>
  <c r="P237" i="59"/>
  <c r="Q237" i="59"/>
  <c r="G238" i="59"/>
  <c r="P238" i="59"/>
  <c r="Q238" i="59"/>
  <c r="G239" i="59"/>
  <c r="P239" i="59"/>
  <c r="Q239" i="59"/>
  <c r="G240" i="59"/>
  <c r="P240" i="59"/>
  <c r="Q240" i="59"/>
  <c r="G241" i="59"/>
  <c r="P241" i="59"/>
  <c r="Q241" i="59"/>
  <c r="G242" i="59"/>
  <c r="P242" i="59"/>
  <c r="Q242" i="59"/>
  <c r="G243" i="59"/>
  <c r="P243" i="59"/>
  <c r="Q243" i="59"/>
  <c r="G244" i="59"/>
  <c r="P244" i="59"/>
  <c r="Q244" i="59"/>
  <c r="G245" i="59"/>
  <c r="P245" i="59"/>
  <c r="Q245" i="59"/>
  <c r="G246" i="59"/>
  <c r="P246" i="59"/>
  <c r="Q246" i="59"/>
  <c r="G247" i="59"/>
  <c r="P247" i="59"/>
  <c r="Q247" i="59"/>
  <c r="G248" i="59"/>
  <c r="P248" i="59"/>
  <c r="Q248" i="59"/>
  <c r="G249" i="59"/>
  <c r="P249" i="59"/>
  <c r="Q249" i="59"/>
  <c r="G250" i="59"/>
  <c r="P250" i="59"/>
  <c r="Q250" i="59"/>
  <c r="G251" i="59"/>
  <c r="P251" i="59"/>
  <c r="Q251" i="59"/>
  <c r="G252" i="59"/>
  <c r="P252" i="59"/>
  <c r="Q252" i="59"/>
  <c r="G253" i="59"/>
  <c r="P253" i="59"/>
  <c r="Q253" i="59"/>
  <c r="G254" i="59"/>
  <c r="P254" i="59"/>
  <c r="Q254" i="59"/>
  <c r="G255" i="59"/>
  <c r="P255" i="59"/>
  <c r="Q255" i="59"/>
  <c r="G256" i="59"/>
  <c r="P256" i="59"/>
  <c r="Q256" i="59"/>
  <c r="G257" i="59"/>
  <c r="P257" i="59"/>
  <c r="Q257" i="59"/>
  <c r="G258" i="59"/>
  <c r="P258" i="59"/>
  <c r="Q258" i="59"/>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U16" i="46"/>
  <c r="F36" i="46"/>
  <c r="F37" i="46"/>
  <c r="F38" i="46"/>
  <c r="F39" i="46"/>
  <c r="F40" i="46"/>
  <c r="F41" i="46"/>
  <c r="F42" i="46"/>
  <c r="F43" i="46"/>
  <c r="F44" i="46"/>
  <c r="H44" i="46" s="1"/>
  <c r="F45" i="46"/>
  <c r="F46" i="46"/>
  <c r="F47" i="46"/>
  <c r="F48" i="46"/>
  <c r="F49" i="46"/>
  <c r="F50" i="46"/>
  <c r="F51" i="46"/>
  <c r="F52" i="46"/>
  <c r="H52" i="46" s="1"/>
  <c r="F53" i="46"/>
  <c r="F54" i="46"/>
  <c r="F55" i="46"/>
  <c r="F56" i="46"/>
  <c r="F57" i="46"/>
  <c r="F58" i="46"/>
  <c r="F59" i="46"/>
  <c r="F60" i="46"/>
  <c r="H60" i="46" s="1"/>
  <c r="F61" i="46"/>
  <c r="F62" i="46"/>
  <c r="F63" i="46"/>
  <c r="F64" i="46"/>
  <c r="F65" i="46"/>
  <c r="F66" i="46"/>
  <c r="F67" i="46"/>
  <c r="F68" i="46"/>
  <c r="H68" i="46" s="1"/>
  <c r="F69" i="46"/>
  <c r="F70" i="46"/>
  <c r="F71" i="46"/>
  <c r="F72" i="46"/>
  <c r="F73" i="46"/>
  <c r="F74" i="46"/>
  <c r="F75" i="46"/>
  <c r="F76" i="46"/>
  <c r="U76" i="46" s="1"/>
  <c r="F77" i="46"/>
  <c r="F78" i="46"/>
  <c r="F79" i="46"/>
  <c r="F80" i="46"/>
  <c r="F81" i="46"/>
  <c r="F82" i="46"/>
  <c r="F83" i="46"/>
  <c r="F84" i="46"/>
  <c r="U84" i="46" s="1"/>
  <c r="F85" i="46"/>
  <c r="F86" i="46"/>
  <c r="F87" i="46"/>
  <c r="F88" i="46"/>
  <c r="F89" i="46"/>
  <c r="F90" i="46"/>
  <c r="F91" i="46"/>
  <c r="F92" i="46"/>
  <c r="U92" i="46" s="1"/>
  <c r="F93" i="46"/>
  <c r="F94" i="46"/>
  <c r="F95" i="46"/>
  <c r="F96" i="46"/>
  <c r="F97" i="46"/>
  <c r="F98" i="46"/>
  <c r="F99" i="46"/>
  <c r="F100" i="46"/>
  <c r="U100" i="46" s="1"/>
  <c r="F101" i="46"/>
  <c r="F102" i="46"/>
  <c r="F103" i="46"/>
  <c r="F104" i="46"/>
  <c r="F105" i="46"/>
  <c r="F106" i="46"/>
  <c r="F107" i="46"/>
  <c r="F108" i="46"/>
  <c r="U108" i="46" s="1"/>
  <c r="F109" i="46"/>
  <c r="F110" i="46"/>
  <c r="F111" i="46"/>
  <c r="F112" i="46"/>
  <c r="F113" i="46"/>
  <c r="F114" i="46"/>
  <c r="F115" i="46"/>
  <c r="F116" i="46"/>
  <c r="H116" i="46" s="1"/>
  <c r="F117" i="46"/>
  <c r="F118" i="46"/>
  <c r="F119" i="46"/>
  <c r="F120" i="46"/>
  <c r="F121" i="46"/>
  <c r="F122" i="46"/>
  <c r="F123" i="46"/>
  <c r="F124" i="46"/>
  <c r="U124" i="46" s="1"/>
  <c r="F125" i="46"/>
  <c r="F126" i="46"/>
  <c r="F127" i="46"/>
  <c r="F128" i="46"/>
  <c r="F129" i="46"/>
  <c r="F130" i="46"/>
  <c r="F131" i="46"/>
  <c r="F132" i="46"/>
  <c r="H132" i="46" s="1"/>
  <c r="F133" i="46"/>
  <c r="F134" i="46"/>
  <c r="F135" i="46"/>
  <c r="F136" i="46"/>
  <c r="F137" i="46"/>
  <c r="F138" i="46"/>
  <c r="F139" i="46"/>
  <c r="F140" i="46"/>
  <c r="U140" i="46" s="1"/>
  <c r="F141" i="46"/>
  <c r="F142" i="46"/>
  <c r="F143" i="46"/>
  <c r="F144" i="46"/>
  <c r="F145" i="46"/>
  <c r="F146" i="46"/>
  <c r="F147" i="46"/>
  <c r="F148" i="46"/>
  <c r="H148" i="46" s="1"/>
  <c r="F149" i="46"/>
  <c r="F150" i="46"/>
  <c r="F151" i="46"/>
  <c r="F152" i="46"/>
  <c r="F153" i="46"/>
  <c r="F154" i="46"/>
  <c r="F155" i="46"/>
  <c r="F156" i="46"/>
  <c r="U156" i="46" s="1"/>
  <c r="F157" i="46"/>
  <c r="F158" i="46"/>
  <c r="F159" i="46"/>
  <c r="F160" i="46"/>
  <c r="F161" i="46"/>
  <c r="F162" i="46"/>
  <c r="F163" i="46"/>
  <c r="F164" i="46"/>
  <c r="U164" i="46" s="1"/>
  <c r="F165" i="46"/>
  <c r="F166" i="46"/>
  <c r="F167" i="46"/>
  <c r="F168" i="46"/>
  <c r="F169" i="46"/>
  <c r="F170" i="46"/>
  <c r="F171" i="46"/>
  <c r="F172" i="46"/>
  <c r="U172" i="46" s="1"/>
  <c r="F173" i="46"/>
  <c r="F174" i="46"/>
  <c r="F175" i="46"/>
  <c r="F176" i="46"/>
  <c r="F177" i="46"/>
  <c r="F178" i="46"/>
  <c r="F179" i="46"/>
  <c r="F180" i="46"/>
  <c r="H180" i="46" s="1"/>
  <c r="F181" i="46"/>
  <c r="F182" i="46"/>
  <c r="F183" i="46"/>
  <c r="F184" i="46"/>
  <c r="F185" i="46"/>
  <c r="F186" i="46"/>
  <c r="F187" i="46"/>
  <c r="F188" i="46"/>
  <c r="H188" i="46" s="1"/>
  <c r="F189" i="46"/>
  <c r="F190" i="46"/>
  <c r="F191" i="46"/>
  <c r="F192" i="46"/>
  <c r="F193" i="46"/>
  <c r="F194" i="46"/>
  <c r="F195" i="46"/>
  <c r="F196" i="46"/>
  <c r="H196" i="46" s="1"/>
  <c r="F197" i="46"/>
  <c r="F198" i="46"/>
  <c r="F199" i="46"/>
  <c r="F200" i="46"/>
  <c r="F201" i="46"/>
  <c r="F202" i="46"/>
  <c r="F203" i="46"/>
  <c r="F204" i="46"/>
  <c r="H204" i="46" s="1"/>
  <c r="F205" i="46"/>
  <c r="F206" i="46"/>
  <c r="F207" i="46"/>
  <c r="F208" i="46"/>
  <c r="F209" i="46"/>
  <c r="F210" i="46"/>
  <c r="F211" i="46"/>
  <c r="F212" i="46"/>
  <c r="U212" i="46" s="1"/>
  <c r="F213" i="46"/>
  <c r="F214" i="46"/>
  <c r="F215" i="46"/>
  <c r="F216" i="46"/>
  <c r="F217" i="46"/>
  <c r="F218" i="46"/>
  <c r="F219" i="46"/>
  <c r="F220" i="46"/>
  <c r="U220" i="46" s="1"/>
  <c r="F221" i="46"/>
  <c r="F222" i="46"/>
  <c r="F223" i="46"/>
  <c r="F224" i="46"/>
  <c r="F225" i="46"/>
  <c r="F226" i="46"/>
  <c r="F227" i="46"/>
  <c r="F228" i="46"/>
  <c r="H228" i="46" s="1"/>
  <c r="F229" i="46"/>
  <c r="F230" i="46"/>
  <c r="F231" i="46"/>
  <c r="F232" i="46"/>
  <c r="F233" i="46"/>
  <c r="F234" i="46"/>
  <c r="F235" i="46"/>
  <c r="F236" i="46"/>
  <c r="H236" i="46" s="1"/>
  <c r="F237" i="46"/>
  <c r="F238" i="46"/>
  <c r="F239" i="46"/>
  <c r="H239" i="46" s="1"/>
  <c r="F240" i="46"/>
  <c r="F241" i="46"/>
  <c r="F242" i="46"/>
  <c r="F243" i="46"/>
  <c r="F244" i="46"/>
  <c r="U244" i="46" s="1"/>
  <c r="F245" i="46"/>
  <c r="F246" i="46"/>
  <c r="F247" i="46"/>
  <c r="F248" i="46"/>
  <c r="F249" i="46"/>
  <c r="F250" i="46"/>
  <c r="F251" i="46"/>
  <c r="F252" i="46"/>
  <c r="H252" i="46" s="1"/>
  <c r="F253" i="46"/>
  <c r="F254" i="46"/>
  <c r="F255" i="46"/>
  <c r="U255" i="46" s="1"/>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c r="O81" i="29"/>
  <c r="C134" i="28"/>
  <c r="M81" i="29"/>
  <c r="L81" i="29"/>
  <c r="D63" i="73"/>
  <c r="D62" i="73"/>
  <c r="D61" i="73"/>
  <c r="Z12" i="59"/>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16" i="11"/>
  <c r="W16" i="1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15" i="11"/>
  <c r="W15" i="1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I26" i="11"/>
  <c r="P14" i="11"/>
  <c r="W14" i="11"/>
  <c r="U256" i="46"/>
  <c r="U248" i="46"/>
  <c r="U240" i="46"/>
  <c r="U236" i="46"/>
  <c r="U232" i="46"/>
  <c r="U224" i="46"/>
  <c r="U216" i="46"/>
  <c r="U208" i="46"/>
  <c r="U200" i="46"/>
  <c r="U192" i="46"/>
  <c r="H176" i="46"/>
  <c r="H160" i="46"/>
  <c r="H156" i="46"/>
  <c r="U144" i="46"/>
  <c r="H12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U19" i="46"/>
  <c r="H255" i="46"/>
  <c r="H216" i="46"/>
  <c r="H203" i="46"/>
  <c r="H191"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U99" i="46"/>
  <c r="U26" i="46"/>
  <c r="U184" i="46"/>
  <c r="U176" i="46"/>
  <c r="U168" i="46"/>
  <c r="U160" i="46"/>
  <c r="U152" i="46"/>
  <c r="U128" i="46"/>
  <c r="U120" i="46"/>
  <c r="U112" i="46"/>
  <c r="U104" i="46"/>
  <c r="U96" i="46"/>
  <c r="U88" i="46"/>
  <c r="U64" i="46"/>
  <c r="U56" i="46"/>
  <c r="U48" i="46"/>
  <c r="U40" i="46"/>
  <c r="H250"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U23" i="46"/>
  <c r="U15" i="46"/>
  <c r="H15" i="46"/>
  <c r="H248" i="46"/>
  <c r="H235" i="46"/>
  <c r="H223" i="46"/>
  <c r="H210" i="46"/>
  <c r="H184" i="46"/>
  <c r="H171" i="46"/>
  <c r="H138" i="46"/>
  <c r="H119" i="46"/>
  <c r="H96" i="46"/>
  <c r="H74" i="46"/>
  <c r="H50"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U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U21" i="46"/>
  <c r="U13" i="46"/>
  <c r="H13" i="46"/>
  <c r="H232" i="46"/>
  <c r="H219" i="46"/>
  <c r="H207" i="46"/>
  <c r="H194" i="46"/>
  <c r="H168" i="46"/>
  <c r="H152" i="46"/>
  <c r="H135" i="46"/>
  <c r="H112" i="46"/>
  <c r="H90" i="46"/>
  <c r="H71" i="46"/>
  <c r="H42" i="46"/>
  <c r="U209" i="46"/>
  <c r="U136" i="46"/>
  <c r="U63" i="46"/>
  <c r="U252" i="46"/>
  <c r="U180" i="46"/>
  <c r="H124" i="46"/>
  <c r="H92" i="46"/>
  <c r="U60" i="46"/>
  <c r="U36" i="46"/>
  <c r="H36" i="46"/>
  <c r="U28" i="46"/>
  <c r="H256" i="46"/>
  <c r="H243" i="46"/>
  <c r="H231" i="46"/>
  <c r="H218" i="46"/>
  <c r="H192" i="46"/>
  <c r="H179" i="46"/>
  <c r="H167" i="46"/>
  <c r="H151" i="46"/>
  <c r="H130" i="46"/>
  <c r="H111" i="46"/>
  <c r="H88" i="46"/>
  <c r="H66" i="46"/>
  <c r="H40" i="46"/>
  <c r="U127" i="46"/>
  <c r="U53" i="46"/>
  <c r="U25" i="46"/>
  <c r="U33" i="46"/>
  <c r="U20" i="46"/>
  <c r="I253" i="59"/>
  <c r="I245" i="59"/>
  <c r="I237" i="59"/>
  <c r="I229" i="59"/>
  <c r="I221" i="59"/>
  <c r="I213" i="59"/>
  <c r="I205" i="59"/>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2" i="11"/>
  <c r="W12" i="11"/>
  <c r="AD14" i="11"/>
  <c r="AD15" i="1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J36" i="11"/>
  <c r="AD36" i="11"/>
  <c r="Q68" i="11"/>
  <c r="AD68" i="11"/>
  <c r="Q100" i="11"/>
  <c r="AD100" i="11"/>
  <c r="Q132" i="11"/>
  <c r="AD132" i="11"/>
  <c r="Q164" i="11"/>
  <c r="AD164" i="11"/>
  <c r="Q196" i="11"/>
  <c r="AD196" i="11"/>
  <c r="Q224" i="11"/>
  <c r="AD224" i="11"/>
  <c r="Q252" i="11"/>
  <c r="AD252" i="11"/>
  <c r="J33" i="11"/>
  <c r="L33" i="11"/>
  <c r="O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J25" i="11"/>
  <c r="AD25" i="11"/>
  <c r="Q97" i="11"/>
  <c r="AD97" i="11"/>
  <c r="Q165" i="11"/>
  <c r="AD165" i="11"/>
  <c r="Q229" i="11"/>
  <c r="AD229" i="11"/>
  <c r="Q231" i="11"/>
  <c r="AD231" i="11"/>
  <c r="J18" i="11"/>
  <c r="AD18" i="11"/>
  <c r="Q46" i="11"/>
  <c r="AD46" i="11"/>
  <c r="Q74" i="11"/>
  <c r="AD74" i="11"/>
  <c r="Q102" i="11"/>
  <c r="AD102" i="11"/>
  <c r="Q158" i="11"/>
  <c r="AD158" i="11"/>
  <c r="Q190" i="11"/>
  <c r="AD190" i="11"/>
  <c r="Q218" i="11"/>
  <c r="AD218" i="11"/>
  <c r="Q246" i="11"/>
  <c r="AD246" i="11"/>
  <c r="Q55" i="11"/>
  <c r="AD55" i="11"/>
  <c r="Q119" i="11"/>
  <c r="AD119" i="11"/>
  <c r="Q207" i="11"/>
  <c r="AD207" i="11"/>
  <c r="J19"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J22" i="11"/>
  <c r="AD22" i="11"/>
  <c r="Q50" i="11"/>
  <c r="AD50" i="11"/>
  <c r="Q106" i="11"/>
  <c r="AD106" i="11"/>
  <c r="Q134" i="11"/>
  <c r="AD134" i="11"/>
  <c r="Q162" i="11"/>
  <c r="AD162" i="11"/>
  <c r="Q194" i="11"/>
  <c r="AD194" i="11"/>
  <c r="Q222" i="11"/>
  <c r="AD222" i="11"/>
  <c r="Q250" i="11"/>
  <c r="AD250" i="11"/>
  <c r="Q63" i="11"/>
  <c r="AD63" i="11"/>
  <c r="Q127" i="11"/>
  <c r="AD127" i="11"/>
  <c r="Q219" i="11"/>
  <c r="AD219" i="11"/>
  <c r="J23"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J26" i="11"/>
  <c r="AD26" i="11"/>
  <c r="Q54" i="11"/>
  <c r="AD54" i="11"/>
  <c r="Q78" i="11"/>
  <c r="AD78" i="11"/>
  <c r="Q110" i="11"/>
  <c r="AD110" i="11"/>
  <c r="Q138" i="11"/>
  <c r="AD138" i="11"/>
  <c r="Q166" i="11"/>
  <c r="AD166" i="11"/>
  <c r="Q226" i="11"/>
  <c r="AD226" i="11"/>
  <c r="Q254" i="11"/>
  <c r="AD254" i="11"/>
  <c r="Q71" i="11"/>
  <c r="AD71" i="11"/>
  <c r="Q135" i="11"/>
  <c r="AD135" i="11"/>
  <c r="Q239" i="11"/>
  <c r="AD239" i="11"/>
  <c r="J31" i="11"/>
  <c r="AD31" i="11"/>
  <c r="Q91" i="11"/>
  <c r="AD91" i="11"/>
  <c r="Q155" i="11"/>
  <c r="AD155" i="11"/>
  <c r="J20"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J27" i="11"/>
  <c r="AD27"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J35" i="11"/>
  <c r="AD35" i="11"/>
  <c r="Q99" i="11"/>
  <c r="AD99" i="11"/>
  <c r="Q167" i="11"/>
  <c r="AD167" i="11"/>
  <c r="J24" i="11"/>
  <c r="AD24" i="11"/>
  <c r="Q56" i="11"/>
  <c r="AD56" i="11"/>
  <c r="Q88" i="11"/>
  <c r="AD88" i="11"/>
  <c r="Q120" i="11"/>
  <c r="AD120" i="11"/>
  <c r="Q152" i="11"/>
  <c r="AD152" i="11"/>
  <c r="Q184" i="11"/>
  <c r="AD184" i="11"/>
  <c r="Q216" i="11"/>
  <c r="AD216" i="11"/>
  <c r="Q244" i="11"/>
  <c r="AD244" i="11"/>
  <c r="J17" i="11"/>
  <c r="AD17" i="11"/>
  <c r="Q69" i="11"/>
  <c r="AD69" i="11"/>
  <c r="Q133" i="11"/>
  <c r="AD133" i="11"/>
  <c r="Q193" i="11"/>
  <c r="AD193" i="11"/>
  <c r="Q257" i="11"/>
  <c r="AD257" i="11"/>
  <c r="J34" i="11"/>
  <c r="AD34" i="11"/>
  <c r="Q234" i="11"/>
  <c r="AD234" i="11"/>
  <c r="J32" i="11"/>
  <c r="L32" i="11"/>
  <c r="O32" i="11"/>
  <c r="AD32" i="11"/>
  <c r="AD29" i="11"/>
  <c r="Q65" i="11"/>
  <c r="AD65" i="11"/>
  <c r="Q129" i="11"/>
  <c r="AD129" i="11"/>
  <c r="Q197" i="11"/>
  <c r="AD197" i="11"/>
  <c r="J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J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c r="H7" i="46" a="1"/>
  <c r="H7" i="46" s="1"/>
  <c r="J1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14" i="11"/>
  <c r="J103" i="11"/>
  <c r="J55" i="11"/>
  <c r="J39" i="11"/>
  <c r="J108" i="11"/>
  <c r="J88" i="11"/>
  <c r="J72" i="11"/>
  <c r="J40" i="11"/>
  <c r="J104" i="11"/>
  <c r="J92" i="11"/>
  <c r="J76" i="11"/>
  <c r="J60" i="11"/>
  <c r="J56" i="11"/>
  <c r="J48"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c r="K32" i="106"/>
  <c r="B47" i="72"/>
  <c r="B55" i="72"/>
  <c r="J24" i="9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c r="O2" i="59" a="1"/>
  <c r="O2" i="59"/>
  <c r="B2" i="69"/>
  <c r="B2" i="68"/>
  <c r="B2" i="67"/>
  <c r="B2" i="65"/>
  <c r="B2" i="64"/>
  <c r="B2" i="63"/>
  <c r="B2" i="57"/>
  <c r="B2" i="55"/>
  <c r="B2" i="58"/>
  <c r="B2" i="53"/>
  <c r="B2" i="42"/>
  <c r="B2" i="52"/>
  <c r="E2" i="50"/>
  <c r="D2" i="71"/>
  <c r="D2" i="59"/>
  <c r="E2" i="32"/>
  <c r="D2" i="46"/>
  <c r="D2" i="11"/>
  <c r="R3" i="69" a="1"/>
  <c r="R3" i="69"/>
  <c r="V2" i="68" a="1"/>
  <c r="V2" i="68"/>
  <c r="O2" i="67" a="1"/>
  <c r="O2" i="67"/>
  <c r="S2" i="65" a="1"/>
  <c r="S2" i="65"/>
  <c r="V5" i="64" a="1"/>
  <c r="V5" i="64"/>
  <c r="Q2" i="11" a="1"/>
  <c r="Q2" i="11" s="1"/>
  <c r="L2" i="63" a="1"/>
  <c r="L2" i="63" s="1"/>
  <c r="V2" i="50" a="1"/>
  <c r="V2" i="50"/>
  <c r="U2" i="71" a="1"/>
  <c r="U2" i="71"/>
  <c r="S2" i="46" a="1"/>
  <c r="S2" i="46" s="1"/>
  <c r="V2" i="32" a="1"/>
  <c r="V2" i="32"/>
  <c r="U22" i="64"/>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c r="M12" i="4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28" i="46"/>
  <c r="R172" i="58"/>
  <c r="R228" i="58"/>
  <c r="R236" i="58"/>
  <c r="O13" i="58"/>
  <c r="S13" i="58"/>
  <c r="O14" i="58"/>
  <c r="S14" i="58"/>
  <c r="O15" i="58"/>
  <c r="S15" i="58"/>
  <c r="O16" i="58"/>
  <c r="S16" i="58"/>
  <c r="O17" i="58"/>
  <c r="S17" i="58"/>
  <c r="O18" i="58"/>
  <c r="S18" i="58"/>
  <c r="O19" i="58"/>
  <c r="S19" i="58"/>
  <c r="O20" i="58"/>
  <c r="S20" i="58"/>
  <c r="O21" i="58"/>
  <c r="S21" i="58"/>
  <c r="O22" i="58"/>
  <c r="S22" i="58"/>
  <c r="O23" i="58"/>
  <c r="S23" i="58"/>
  <c r="O24" i="58"/>
  <c r="S24" i="58"/>
  <c r="O25" i="58"/>
  <c r="S25" i="58"/>
  <c r="O26" i="58"/>
  <c r="S26" i="58"/>
  <c r="O27" i="58"/>
  <c r="S27" i="58"/>
  <c r="O28" i="58"/>
  <c r="S28" i="58"/>
  <c r="O29" i="58"/>
  <c r="S29" i="58"/>
  <c r="O30" i="58"/>
  <c r="S30" i="58"/>
  <c r="O31" i="58"/>
  <c r="S31" i="58"/>
  <c r="O32" i="58"/>
  <c r="S32" i="58"/>
  <c r="O33" i="58"/>
  <c r="S33" i="58"/>
  <c r="O34" i="58"/>
  <c r="S34" i="58"/>
  <c r="O35" i="58"/>
  <c r="S35" i="58"/>
  <c r="O36" i="58"/>
  <c r="S36" i="58"/>
  <c r="O37" i="58"/>
  <c r="S37" i="58"/>
  <c r="O38" i="58"/>
  <c r="S38" i="58"/>
  <c r="O39" i="58"/>
  <c r="S39" i="58"/>
  <c r="O40" i="58"/>
  <c r="S40" i="58"/>
  <c r="O41" i="58"/>
  <c r="S41" i="58"/>
  <c r="O42" i="58"/>
  <c r="S42" i="58"/>
  <c r="O43" i="58"/>
  <c r="S43" i="58"/>
  <c r="O44" i="58"/>
  <c r="S44" i="58"/>
  <c r="O45" i="58"/>
  <c r="S45" i="58"/>
  <c r="O46" i="58"/>
  <c r="S46" i="58"/>
  <c r="O47" i="58"/>
  <c r="S47" i="58"/>
  <c r="O48" i="58"/>
  <c r="S48" i="58"/>
  <c r="O49" i="58"/>
  <c r="S49" i="58"/>
  <c r="O50" i="58"/>
  <c r="S50" i="58"/>
  <c r="O51" i="58"/>
  <c r="S51" i="58"/>
  <c r="O52" i="58"/>
  <c r="S52" i="58"/>
  <c r="O53" i="58"/>
  <c r="S53" i="58"/>
  <c r="O54" i="58"/>
  <c r="S54" i="58"/>
  <c r="O55" i="58"/>
  <c r="S55" i="58"/>
  <c r="O56" i="58"/>
  <c r="S56" i="58"/>
  <c r="O57" i="58"/>
  <c r="S57" i="58"/>
  <c r="O58" i="58"/>
  <c r="S58" i="58"/>
  <c r="O59" i="58"/>
  <c r="S59" i="58"/>
  <c r="O60" i="58"/>
  <c r="S60" i="58"/>
  <c r="O61" i="58"/>
  <c r="S61" i="58"/>
  <c r="O62" i="58"/>
  <c r="S62" i="58"/>
  <c r="O63" i="58"/>
  <c r="S63" i="58"/>
  <c r="O64" i="58"/>
  <c r="S64" i="58"/>
  <c r="O65" i="58"/>
  <c r="S65" i="58"/>
  <c r="O66" i="58"/>
  <c r="S66" i="58"/>
  <c r="O67" i="58"/>
  <c r="S67" i="58"/>
  <c r="O68" i="58"/>
  <c r="S68" i="58"/>
  <c r="O69" i="58"/>
  <c r="S69" i="58"/>
  <c r="O70" i="58"/>
  <c r="S70" i="58"/>
  <c r="O71" i="58"/>
  <c r="S71" i="58"/>
  <c r="O72" i="58"/>
  <c r="S72" i="58"/>
  <c r="O73" i="58"/>
  <c r="S73" i="58"/>
  <c r="O74" i="58"/>
  <c r="S74" i="58"/>
  <c r="O75" i="58"/>
  <c r="S75" i="58"/>
  <c r="O76" i="58"/>
  <c r="S76" i="58"/>
  <c r="O77" i="58"/>
  <c r="S77" i="58"/>
  <c r="O78" i="58"/>
  <c r="S78" i="58"/>
  <c r="O79" i="58"/>
  <c r="S79" i="58"/>
  <c r="O80" i="58"/>
  <c r="S80" i="58"/>
  <c r="O81" i="58"/>
  <c r="S81" i="58"/>
  <c r="O82" i="58"/>
  <c r="S82" i="58"/>
  <c r="O83" i="58"/>
  <c r="S83" i="58"/>
  <c r="O84" i="58"/>
  <c r="S84" i="58"/>
  <c r="O85" i="58"/>
  <c r="S85" i="58"/>
  <c r="O86" i="58"/>
  <c r="S86" i="58"/>
  <c r="O87" i="58"/>
  <c r="S87" i="58"/>
  <c r="O88" i="58"/>
  <c r="S88" i="58"/>
  <c r="O89" i="58"/>
  <c r="S89" i="58"/>
  <c r="O90" i="58"/>
  <c r="S90" i="58"/>
  <c r="O91" i="58"/>
  <c r="S91" i="58"/>
  <c r="O92" i="58"/>
  <c r="S92" i="58"/>
  <c r="O93" i="58"/>
  <c r="S93" i="58"/>
  <c r="O94" i="58"/>
  <c r="S94" i="58"/>
  <c r="O95" i="58"/>
  <c r="S95" i="58"/>
  <c r="O96" i="58"/>
  <c r="S96" i="58"/>
  <c r="O97" i="58"/>
  <c r="S97" i="58"/>
  <c r="O98" i="58"/>
  <c r="S98" i="58"/>
  <c r="O99" i="58"/>
  <c r="S99" i="58"/>
  <c r="O100" i="58"/>
  <c r="S100" i="58"/>
  <c r="O101" i="58"/>
  <c r="S101" i="58"/>
  <c r="O102" i="58"/>
  <c r="S102" i="58"/>
  <c r="O103" i="58"/>
  <c r="S103" i="58"/>
  <c r="O104" i="58"/>
  <c r="S104" i="58"/>
  <c r="O105" i="58"/>
  <c r="S105" i="58"/>
  <c r="O106" i="58"/>
  <c r="S106" i="58"/>
  <c r="O107" i="58"/>
  <c r="S107" i="58"/>
  <c r="O108" i="58"/>
  <c r="S108" i="58"/>
  <c r="O109" i="58"/>
  <c r="S109" i="58"/>
  <c r="O110" i="58"/>
  <c r="S110" i="58"/>
  <c r="O111" i="58"/>
  <c r="S111" i="58"/>
  <c r="O112" i="58"/>
  <c r="S112" i="58"/>
  <c r="O113" i="58"/>
  <c r="S113" i="58"/>
  <c r="O114" i="58"/>
  <c r="S114" i="58"/>
  <c r="O115" i="58"/>
  <c r="S115" i="58"/>
  <c r="O116" i="58"/>
  <c r="S116" i="58"/>
  <c r="O117" i="58"/>
  <c r="S117" i="58"/>
  <c r="O118" i="58"/>
  <c r="S118" i="58"/>
  <c r="O119" i="58"/>
  <c r="S119" i="58"/>
  <c r="O120" i="58"/>
  <c r="S120" i="58"/>
  <c r="O121" i="58"/>
  <c r="S121" i="58"/>
  <c r="O122" i="58"/>
  <c r="S122" i="58"/>
  <c r="O123" i="58"/>
  <c r="S123" i="58"/>
  <c r="O124" i="58"/>
  <c r="S124" i="58"/>
  <c r="O125" i="58"/>
  <c r="S125" i="58"/>
  <c r="O126" i="58"/>
  <c r="S126" i="58"/>
  <c r="O127" i="58"/>
  <c r="S127" i="58"/>
  <c r="O128" i="58"/>
  <c r="S128" i="58"/>
  <c r="O129" i="58"/>
  <c r="S129" i="58"/>
  <c r="O130" i="58"/>
  <c r="S130" i="58"/>
  <c r="O131" i="58"/>
  <c r="S131" i="58"/>
  <c r="O132" i="58"/>
  <c r="S132" i="58"/>
  <c r="O133" i="58"/>
  <c r="S133" i="58"/>
  <c r="O134" i="58"/>
  <c r="S134" i="58"/>
  <c r="O135" i="58"/>
  <c r="S135" i="58"/>
  <c r="O136" i="58"/>
  <c r="S136" i="58"/>
  <c r="O137" i="58"/>
  <c r="S137" i="58"/>
  <c r="O138" i="58"/>
  <c r="S138" i="58"/>
  <c r="O139" i="58"/>
  <c r="S139" i="58"/>
  <c r="O140" i="58"/>
  <c r="S140" i="58"/>
  <c r="O141" i="58"/>
  <c r="S141" i="58"/>
  <c r="O142" i="58"/>
  <c r="S142" i="58"/>
  <c r="O143" i="58"/>
  <c r="S143" i="58"/>
  <c r="O144" i="58"/>
  <c r="S144" i="58"/>
  <c r="O145" i="58"/>
  <c r="S145" i="58"/>
  <c r="O146" i="58"/>
  <c r="S146" i="58"/>
  <c r="O147" i="58"/>
  <c r="S147" i="58"/>
  <c r="O148" i="58"/>
  <c r="S148" i="58"/>
  <c r="O149" i="58"/>
  <c r="S149" i="58"/>
  <c r="O150" i="58"/>
  <c r="S150" i="58"/>
  <c r="O151" i="58"/>
  <c r="S151" i="58"/>
  <c r="O152" i="58"/>
  <c r="S152" i="58"/>
  <c r="O153" i="58"/>
  <c r="S153" i="58"/>
  <c r="O154" i="58"/>
  <c r="S154" i="58"/>
  <c r="O155" i="58"/>
  <c r="S155" i="58"/>
  <c r="O156" i="58"/>
  <c r="S156" i="58"/>
  <c r="O157" i="58"/>
  <c r="S157" i="58"/>
  <c r="O158" i="58"/>
  <c r="S158" i="58"/>
  <c r="O159" i="58"/>
  <c r="S159" i="58"/>
  <c r="O160" i="58"/>
  <c r="S160" i="58"/>
  <c r="O161" i="58"/>
  <c r="S161" i="58"/>
  <c r="O162" i="58"/>
  <c r="S162" i="58"/>
  <c r="O163" i="58"/>
  <c r="S163" i="58"/>
  <c r="O164" i="58"/>
  <c r="S164" i="58"/>
  <c r="O165" i="58"/>
  <c r="S165" i="58"/>
  <c r="O166" i="58"/>
  <c r="S166" i="58"/>
  <c r="O167" i="58"/>
  <c r="S167" i="58"/>
  <c r="O168" i="58"/>
  <c r="S168" i="58"/>
  <c r="O169" i="58"/>
  <c r="S169" i="58"/>
  <c r="O170" i="58"/>
  <c r="S170" i="58"/>
  <c r="O171" i="58"/>
  <c r="S171" i="58"/>
  <c r="O172" i="58"/>
  <c r="S172" i="58"/>
  <c r="O173" i="58"/>
  <c r="S173" i="58"/>
  <c r="O174" i="58"/>
  <c r="S174" i="58"/>
  <c r="O175" i="58"/>
  <c r="S175" i="58"/>
  <c r="O176" i="58"/>
  <c r="S176" i="58"/>
  <c r="O177" i="58"/>
  <c r="S177" i="58"/>
  <c r="O178" i="58"/>
  <c r="S178" i="58"/>
  <c r="O179" i="58"/>
  <c r="S179" i="58"/>
  <c r="O180" i="58"/>
  <c r="S180" i="58"/>
  <c r="O181" i="58"/>
  <c r="S181" i="58"/>
  <c r="O182" i="58"/>
  <c r="S182" i="58"/>
  <c r="O183" i="58"/>
  <c r="S183" i="58"/>
  <c r="O184" i="58"/>
  <c r="S184" i="58"/>
  <c r="O185" i="58"/>
  <c r="S185" i="58"/>
  <c r="O186" i="58"/>
  <c r="S186" i="58"/>
  <c r="O187" i="58"/>
  <c r="S187" i="58"/>
  <c r="O188" i="58"/>
  <c r="S188" i="58"/>
  <c r="O189" i="58"/>
  <c r="S189" i="58"/>
  <c r="O190" i="58"/>
  <c r="S190" i="58"/>
  <c r="O191" i="58"/>
  <c r="S191" i="58"/>
  <c r="O192" i="58"/>
  <c r="S192" i="58"/>
  <c r="O193" i="58"/>
  <c r="S193" i="58"/>
  <c r="O194" i="58"/>
  <c r="S194" i="58"/>
  <c r="O195" i="58"/>
  <c r="S195" i="58"/>
  <c r="O196" i="58"/>
  <c r="S196" i="58"/>
  <c r="O197" i="58"/>
  <c r="S197" i="58"/>
  <c r="O198" i="58"/>
  <c r="S198" i="58"/>
  <c r="O199" i="58"/>
  <c r="S199" i="58"/>
  <c r="O200" i="58"/>
  <c r="S200" i="58"/>
  <c r="O201" i="58"/>
  <c r="S201" i="58"/>
  <c r="O202" i="58"/>
  <c r="S202" i="58"/>
  <c r="O203" i="58"/>
  <c r="S203" i="58"/>
  <c r="O204" i="58"/>
  <c r="S204" i="58"/>
  <c r="O205" i="58"/>
  <c r="S205" i="58"/>
  <c r="O206" i="58"/>
  <c r="S206" i="58"/>
  <c r="O207" i="58"/>
  <c r="S207" i="58"/>
  <c r="O208" i="58"/>
  <c r="S208" i="58"/>
  <c r="O209" i="58"/>
  <c r="S209" i="58"/>
  <c r="O210" i="58"/>
  <c r="S210" i="58"/>
  <c r="O211" i="58"/>
  <c r="S211" i="58"/>
  <c r="O212" i="58"/>
  <c r="S212" i="58"/>
  <c r="O213" i="58"/>
  <c r="S213" i="58"/>
  <c r="O214" i="58"/>
  <c r="S214" i="58"/>
  <c r="O215" i="58"/>
  <c r="S215" i="58"/>
  <c r="O216" i="58"/>
  <c r="S216" i="58"/>
  <c r="O217" i="58"/>
  <c r="S217" i="58"/>
  <c r="O218" i="58"/>
  <c r="S218" i="58"/>
  <c r="O219" i="58"/>
  <c r="S219" i="58"/>
  <c r="O220" i="58"/>
  <c r="S220" i="58"/>
  <c r="O221" i="58"/>
  <c r="S221" i="58"/>
  <c r="O222" i="58"/>
  <c r="S222" i="58"/>
  <c r="O223" i="58"/>
  <c r="S223" i="58"/>
  <c r="O224" i="58"/>
  <c r="S224" i="58"/>
  <c r="O225" i="58"/>
  <c r="S225" i="58"/>
  <c r="O226" i="58"/>
  <c r="S226" i="58"/>
  <c r="O227" i="58"/>
  <c r="S227" i="58"/>
  <c r="O228" i="58"/>
  <c r="S228" i="58"/>
  <c r="O229" i="58"/>
  <c r="S229" i="58"/>
  <c r="O230" i="58"/>
  <c r="S230" i="58"/>
  <c r="O231" i="58"/>
  <c r="S231" i="58"/>
  <c r="O232" i="58"/>
  <c r="S232" i="58"/>
  <c r="O233" i="58"/>
  <c r="S233" i="58"/>
  <c r="O234" i="58"/>
  <c r="S234" i="58"/>
  <c r="O235" i="58"/>
  <c r="S235" i="58"/>
  <c r="O236" i="58"/>
  <c r="S236" i="58"/>
  <c r="O237" i="58"/>
  <c r="S237" i="58"/>
  <c r="O238" i="58"/>
  <c r="S238" i="58"/>
  <c r="O239" i="58"/>
  <c r="S239" i="58"/>
  <c r="O240" i="58"/>
  <c r="S240" i="58"/>
  <c r="O241" i="58"/>
  <c r="S241" i="58"/>
  <c r="O242" i="58"/>
  <c r="S242" i="58"/>
  <c r="O243" i="58"/>
  <c r="S243" i="58"/>
  <c r="O244" i="58"/>
  <c r="S244" i="58"/>
  <c r="O245" i="58"/>
  <c r="S245" i="58"/>
  <c r="O246" i="58"/>
  <c r="S246" i="58"/>
  <c r="O247" i="58"/>
  <c r="S247" i="58"/>
  <c r="O248" i="58"/>
  <c r="S248" i="58"/>
  <c r="O249" i="58"/>
  <c r="S249" i="58"/>
  <c r="O250" i="58"/>
  <c r="S250" i="58"/>
  <c r="O251" i="58"/>
  <c r="S251" i="58"/>
  <c r="O252" i="58"/>
  <c r="S252" i="58"/>
  <c r="O253" i="58"/>
  <c r="S253" i="58"/>
  <c r="O254" i="58"/>
  <c r="S254" i="58"/>
  <c r="O255" i="58"/>
  <c r="S255" i="58"/>
  <c r="O256" i="58"/>
  <c r="S256" i="58"/>
  <c r="O257" i="58"/>
  <c r="S257" i="58"/>
  <c r="O258" i="58"/>
  <c r="S258" i="58"/>
  <c r="O259" i="58"/>
  <c r="S259" i="58"/>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c r="R134" i="58"/>
  <c r="R220" i="58"/>
  <c r="R212" i="58"/>
  <c r="R204" i="58"/>
  <c r="R196" i="58"/>
  <c r="R164" i="58"/>
  <c r="R100" i="58"/>
  <c r="R36" i="58"/>
  <c r="R12" i="58"/>
  <c r="S12"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c r="R57" i="58"/>
  <c r="V57" i="58"/>
  <c r="R162" i="58"/>
  <c r="V259" i="58"/>
  <c r="V195" i="58"/>
  <c r="R244" i="58"/>
  <c r="V244" i="58"/>
  <c r="R180" i="58"/>
  <c r="V100" i="58"/>
  <c r="R141" i="58"/>
  <c r="V141" i="58"/>
  <c r="R119" i="58"/>
  <c r="V119" i="58"/>
  <c r="R111" i="58"/>
  <c r="R103" i="58"/>
  <c r="R95" i="58"/>
  <c r="V95" i="58"/>
  <c r="R87" i="58"/>
  <c r="V87" i="58"/>
  <c r="R79" i="58"/>
  <c r="R71" i="58"/>
  <c r="R63" i="58"/>
  <c r="V63" i="58"/>
  <c r="R55" i="58"/>
  <c r="V55" i="58"/>
  <c r="R47" i="58"/>
  <c r="R39" i="58"/>
  <c r="R31" i="58"/>
  <c r="V31" i="58"/>
  <c r="R23" i="58"/>
  <c r="R15" i="58"/>
  <c r="R254" i="58"/>
  <c r="R246" i="58"/>
  <c r="R238" i="58"/>
  <c r="R230" i="58"/>
  <c r="R222" i="58"/>
  <c r="R214" i="58"/>
  <c r="R206" i="58"/>
  <c r="R198" i="58"/>
  <c r="R190" i="58"/>
  <c r="R182" i="58"/>
  <c r="R174" i="58"/>
  <c r="R166" i="58"/>
  <c r="V166" i="58"/>
  <c r="R153" i="58"/>
  <c r="V153" i="58"/>
  <c r="R137" i="58"/>
  <c r="R121" i="58"/>
  <c r="V121" i="58"/>
  <c r="R98" i="58"/>
  <c r="R73" i="58"/>
  <c r="V86" i="58"/>
  <c r="R86" i="58"/>
  <c r="V78" i="58"/>
  <c r="R78" i="58"/>
  <c r="V70" i="58"/>
  <c r="R70" i="58"/>
  <c r="V62" i="58"/>
  <c r="R62" i="58"/>
  <c r="V54" i="58"/>
  <c r="R54" i="58"/>
  <c r="V46" i="58"/>
  <c r="R46" i="58"/>
  <c r="V38" i="58"/>
  <c r="R38" i="58"/>
  <c r="V30" i="58"/>
  <c r="R30" i="58"/>
  <c r="R22" i="58"/>
  <c r="V22" i="58"/>
  <c r="R14" i="58"/>
  <c r="R253" i="58"/>
  <c r="V253" i="58"/>
  <c r="R245" i="58"/>
  <c r="V245" i="58"/>
  <c r="R237" i="58"/>
  <c r="V237" i="58"/>
  <c r="R229" i="58"/>
  <c r="V229" i="58"/>
  <c r="R221" i="58"/>
  <c r="R213" i="58"/>
  <c r="R205" i="58"/>
  <c r="R197" i="58"/>
  <c r="V197" i="58"/>
  <c r="R189" i="58"/>
  <c r="V189" i="58"/>
  <c r="R181" i="58"/>
  <c r="V181" i="58"/>
  <c r="R173" i="58"/>
  <c r="V173" i="58"/>
  <c r="R165" i="58"/>
  <c r="V165" i="58"/>
  <c r="R151" i="58"/>
  <c r="R135" i="58"/>
  <c r="R118" i="58"/>
  <c r="V118" i="58"/>
  <c r="R97" i="58"/>
  <c r="V97" i="58"/>
  <c r="R65" i="58"/>
  <c r="V65" i="58"/>
  <c r="V164" i="58"/>
  <c r="R117" i="58"/>
  <c r="V77" i="58"/>
  <c r="R77" i="58"/>
  <c r="V61" i="58"/>
  <c r="R61" i="58"/>
  <c r="V29" i="58"/>
  <c r="R29" i="58"/>
  <c r="R156" i="58"/>
  <c r="V156" i="58"/>
  <c r="R148" i="58"/>
  <c r="V148" i="58"/>
  <c r="R140" i="58"/>
  <c r="V140" i="58"/>
  <c r="R132" i="58"/>
  <c r="V132" i="58"/>
  <c r="V124" i="58"/>
  <c r="R124" i="58"/>
  <c r="V116" i="58"/>
  <c r="R116" i="58"/>
  <c r="V108" i="58"/>
  <c r="R108" i="58"/>
  <c r="R92" i="58"/>
  <c r="V92" i="58"/>
  <c r="R84" i="58"/>
  <c r="V84" i="58"/>
  <c r="R76" i="58"/>
  <c r="V76" i="58"/>
  <c r="R68" i="58"/>
  <c r="V68" i="58"/>
  <c r="V60" i="58"/>
  <c r="R60" i="58"/>
  <c r="R52" i="58"/>
  <c r="V52" i="58"/>
  <c r="V44" i="58"/>
  <c r="R44" i="58"/>
  <c r="R28" i="58"/>
  <c r="V28" i="58"/>
  <c r="R20" i="58"/>
  <c r="R259" i="58"/>
  <c r="R251" i="58"/>
  <c r="R243" i="58"/>
  <c r="V243" i="58"/>
  <c r="R235" i="58"/>
  <c r="V235" i="58"/>
  <c r="R227" i="58"/>
  <c r="V227" i="58"/>
  <c r="R219" i="58"/>
  <c r="V219" i="58"/>
  <c r="R211" i="58"/>
  <c r="V211" i="58"/>
  <c r="R203" i="58"/>
  <c r="V203" i="58"/>
  <c r="R195" i="58"/>
  <c r="R187" i="58"/>
  <c r="R179" i="58"/>
  <c r="V179" i="58"/>
  <c r="R171" i="58"/>
  <c r="V171" i="58"/>
  <c r="R161" i="58"/>
  <c r="R146" i="58"/>
  <c r="R130" i="58"/>
  <c r="R113" i="58"/>
  <c r="R90" i="58"/>
  <c r="R49" i="58"/>
  <c r="V49" i="58"/>
  <c r="V36" i="58"/>
  <c r="V149" i="58"/>
  <c r="R149" i="58"/>
  <c r="R125" i="58"/>
  <c r="R101" i="58"/>
  <c r="V101" i="58"/>
  <c r="V69" i="58"/>
  <c r="R69" i="58"/>
  <c r="V37" i="58"/>
  <c r="R37" i="58"/>
  <c r="R163" i="58"/>
  <c r="R155" i="58"/>
  <c r="V155" i="58"/>
  <c r="V147" i="58"/>
  <c r="R147" i="58"/>
  <c r="V139" i="58"/>
  <c r="R139" i="58"/>
  <c r="R131" i="58"/>
  <c r="R123" i="58"/>
  <c r="V123" i="58"/>
  <c r="V115" i="58"/>
  <c r="R115" i="58"/>
  <c r="V107" i="58"/>
  <c r="R107" i="58"/>
  <c r="R99" i="58"/>
  <c r="R91" i="58"/>
  <c r="V83" i="58"/>
  <c r="R83" i="58"/>
  <c r="V75" i="58"/>
  <c r="R75" i="58"/>
  <c r="R67" i="58"/>
  <c r="R59" i="58"/>
  <c r="V51" i="58"/>
  <c r="R51" i="58"/>
  <c r="V43" i="58"/>
  <c r="R43" i="58"/>
  <c r="R35" i="58"/>
  <c r="R27" i="58"/>
  <c r="R19" i="58"/>
  <c r="R258" i="58"/>
  <c r="V258" i="58"/>
  <c r="R250" i="58"/>
  <c r="V250" i="58"/>
  <c r="R242" i="58"/>
  <c r="R234" i="58"/>
  <c r="R226" i="58"/>
  <c r="R218" i="58"/>
  <c r="R210" i="58"/>
  <c r="V210" i="58"/>
  <c r="R202" i="58"/>
  <c r="V202" i="58"/>
  <c r="R194" i="58"/>
  <c r="V194" i="58"/>
  <c r="R186" i="58"/>
  <c r="R178" i="58"/>
  <c r="R170" i="58"/>
  <c r="R159" i="58"/>
  <c r="R145" i="58"/>
  <c r="R129" i="58"/>
  <c r="R110" i="58"/>
  <c r="V110" i="58"/>
  <c r="R89" i="58"/>
  <c r="V89" i="58"/>
  <c r="R41" i="58"/>
  <c r="R93" i="58"/>
  <c r="R66" i="58"/>
  <c r="V58" i="58"/>
  <c r="R58" i="58"/>
  <c r="V50" i="58"/>
  <c r="R50" i="58"/>
  <c r="R42" i="58"/>
  <c r="R34" i="58"/>
  <c r="R26" i="58"/>
  <c r="V26" i="58"/>
  <c r="R18" i="58"/>
  <c r="R257" i="58"/>
  <c r="V257" i="58"/>
  <c r="R249" i="58"/>
  <c r="R241" i="58"/>
  <c r="V241" i="58"/>
  <c r="R233" i="58"/>
  <c r="R225" i="58"/>
  <c r="R217" i="58"/>
  <c r="V217" i="58"/>
  <c r="R209" i="58"/>
  <c r="R201" i="58"/>
  <c r="V201" i="58"/>
  <c r="R193" i="58"/>
  <c r="R185" i="58"/>
  <c r="R177" i="58"/>
  <c r="R169" i="58"/>
  <c r="R158" i="58"/>
  <c r="R143" i="58"/>
  <c r="V143" i="58"/>
  <c r="R127" i="58"/>
  <c r="V127" i="58"/>
  <c r="R106" i="58"/>
  <c r="V106" i="58"/>
  <c r="R82" i="58"/>
  <c r="R33" i="58"/>
  <c r="R133" i="58"/>
  <c r="V85" i="58"/>
  <c r="R85" i="58"/>
  <c r="V45" i="58"/>
  <c r="R45" i="58"/>
  <c r="R256" i="58"/>
  <c r="R248" i="58"/>
  <c r="R240" i="58"/>
  <c r="R232" i="58"/>
  <c r="R224" i="58"/>
  <c r="R216" i="58"/>
  <c r="V216" i="58"/>
  <c r="R208" i="58"/>
  <c r="V208" i="58"/>
  <c r="R200" i="58"/>
  <c r="V200" i="58"/>
  <c r="R192" i="58"/>
  <c r="R184" i="58"/>
  <c r="R176" i="58"/>
  <c r="R168" i="58"/>
  <c r="R157" i="58"/>
  <c r="R142" i="58"/>
  <c r="V142" i="58"/>
  <c r="R126" i="58"/>
  <c r="V126" i="58"/>
  <c r="R105" i="58"/>
  <c r="R81" i="58"/>
  <c r="V81" i="58"/>
  <c r="R25" i="58"/>
  <c r="R109" i="58"/>
  <c r="V53" i="58"/>
  <c r="R53" i="58"/>
  <c r="R21" i="58"/>
  <c r="V21" i="58"/>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c r="R16" i="58"/>
  <c r="R255" i="58"/>
  <c r="V255" i="58"/>
  <c r="R247" i="58"/>
  <c r="V247" i="58"/>
  <c r="R239" i="58"/>
  <c r="R231" i="58"/>
  <c r="R223" i="58"/>
  <c r="R215" i="58"/>
  <c r="V215" i="58"/>
  <c r="R207" i="58"/>
  <c r="V207" i="58"/>
  <c r="R199" i="58"/>
  <c r="V199" i="58"/>
  <c r="R191" i="58"/>
  <c r="V191" i="58"/>
  <c r="R183" i="58"/>
  <c r="V183" i="58"/>
  <c r="R175" i="58"/>
  <c r="R167" i="58"/>
  <c r="R154" i="58"/>
  <c r="R138" i="58"/>
  <c r="V138" i="58"/>
  <c r="R122" i="58"/>
  <c r="V122" i="58"/>
  <c r="R102" i="58"/>
  <c r="R74" i="58"/>
  <c r="V74" i="58"/>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S34" i="52" s="1"/>
  <c r="L35" i="52"/>
  <c r="L36" i="52"/>
  <c r="L37" i="52"/>
  <c r="L38" i="52"/>
  <c r="L39" i="52"/>
  <c r="L40" i="52"/>
  <c r="L41" i="52"/>
  <c r="L42" i="52"/>
  <c r="S42" i="52" s="1"/>
  <c r="L43" i="52"/>
  <c r="L44" i="52"/>
  <c r="L45" i="52"/>
  <c r="L46" i="52"/>
  <c r="L47" i="52"/>
  <c r="L48" i="52"/>
  <c r="L49" i="52"/>
  <c r="L50" i="52"/>
  <c r="R50" i="52" s="1"/>
  <c r="L51" i="52"/>
  <c r="L52" i="52"/>
  <c r="L53" i="52"/>
  <c r="L54" i="52"/>
  <c r="L55" i="52"/>
  <c r="L56" i="52"/>
  <c r="L57" i="52"/>
  <c r="L58" i="52"/>
  <c r="R58" i="52" s="1"/>
  <c r="L59" i="52"/>
  <c r="L60" i="52"/>
  <c r="L61" i="52"/>
  <c r="L62" i="52"/>
  <c r="L63" i="52"/>
  <c r="L64" i="52"/>
  <c r="L65" i="52"/>
  <c r="L66" i="52"/>
  <c r="N66" i="52" s="1"/>
  <c r="U66" i="52" s="1"/>
  <c r="L67" i="52"/>
  <c r="L68" i="52"/>
  <c r="L69" i="52"/>
  <c r="L70" i="52"/>
  <c r="L71" i="52"/>
  <c r="L72" i="52"/>
  <c r="L73" i="52"/>
  <c r="L74" i="52"/>
  <c r="N74" i="52" s="1"/>
  <c r="U74" i="52" s="1"/>
  <c r="L75" i="52"/>
  <c r="L76" i="52"/>
  <c r="L77" i="52"/>
  <c r="L78" i="52"/>
  <c r="L79" i="52"/>
  <c r="L80" i="52"/>
  <c r="L81" i="52"/>
  <c r="L82" i="52"/>
  <c r="S82" i="52" s="1"/>
  <c r="L83" i="52"/>
  <c r="L84" i="52"/>
  <c r="L85" i="52"/>
  <c r="L86" i="52"/>
  <c r="L87" i="52"/>
  <c r="L88" i="52"/>
  <c r="L89" i="52"/>
  <c r="L90" i="52"/>
  <c r="N90" i="52" s="1"/>
  <c r="U90" i="52" s="1"/>
  <c r="L91" i="52"/>
  <c r="L92" i="52"/>
  <c r="L93" i="52"/>
  <c r="L94" i="52"/>
  <c r="L95" i="52"/>
  <c r="L96" i="52"/>
  <c r="L97" i="52"/>
  <c r="L98" i="52"/>
  <c r="S98" i="52" s="1"/>
  <c r="L99" i="52"/>
  <c r="L100" i="52"/>
  <c r="L101" i="52"/>
  <c r="L102" i="52"/>
  <c r="L103" i="52"/>
  <c r="L104" i="52"/>
  <c r="L105" i="52"/>
  <c r="L106" i="52"/>
  <c r="N106" i="52" s="1"/>
  <c r="U106" i="52" s="1"/>
  <c r="L107" i="52"/>
  <c r="L108" i="52"/>
  <c r="L109" i="52"/>
  <c r="L110" i="52"/>
  <c r="L111" i="52"/>
  <c r="L112" i="52"/>
  <c r="L113" i="52"/>
  <c r="L114" i="52"/>
  <c r="R114" i="52" s="1"/>
  <c r="L115" i="52"/>
  <c r="L116" i="52"/>
  <c r="L117" i="52"/>
  <c r="L118" i="52"/>
  <c r="L119" i="52"/>
  <c r="L120" i="52"/>
  <c r="L121" i="52"/>
  <c r="L122" i="52"/>
  <c r="R122" i="52" s="1"/>
  <c r="L123" i="52"/>
  <c r="L124" i="52"/>
  <c r="L125" i="52"/>
  <c r="L126" i="52"/>
  <c r="L127" i="52"/>
  <c r="L128" i="52"/>
  <c r="L129" i="52"/>
  <c r="L130" i="52"/>
  <c r="N130" i="52" s="1"/>
  <c r="U130" i="52" s="1"/>
  <c r="L131" i="52"/>
  <c r="L132" i="52"/>
  <c r="L133" i="52"/>
  <c r="L134" i="52"/>
  <c r="L135" i="52"/>
  <c r="L136" i="52"/>
  <c r="L137" i="52"/>
  <c r="L138" i="52"/>
  <c r="N138" i="52" s="1"/>
  <c r="U138" i="52" s="1"/>
  <c r="L139" i="52"/>
  <c r="L140" i="52"/>
  <c r="L141" i="52"/>
  <c r="L142" i="52"/>
  <c r="L143" i="52"/>
  <c r="L144" i="52"/>
  <c r="L145" i="52"/>
  <c r="L146" i="52"/>
  <c r="N146" i="52" s="1"/>
  <c r="U146" i="52" s="1"/>
  <c r="L147" i="52"/>
  <c r="L148" i="52"/>
  <c r="L149" i="52"/>
  <c r="L150" i="52"/>
  <c r="L151" i="52"/>
  <c r="L152" i="52"/>
  <c r="L153" i="52"/>
  <c r="L154" i="52"/>
  <c r="N154" i="52" s="1"/>
  <c r="U154" i="52" s="1"/>
  <c r="L155" i="52"/>
  <c r="L156" i="52"/>
  <c r="L157" i="52"/>
  <c r="L158" i="52"/>
  <c r="L159" i="52"/>
  <c r="L160" i="52"/>
  <c r="L161" i="52"/>
  <c r="L162" i="52"/>
  <c r="N162" i="52" s="1"/>
  <c r="U162" i="52" s="1"/>
  <c r="L163" i="52"/>
  <c r="L164" i="52"/>
  <c r="L165" i="52"/>
  <c r="L166" i="52"/>
  <c r="L167" i="52"/>
  <c r="L168" i="52"/>
  <c r="L169" i="52"/>
  <c r="L170" i="52"/>
  <c r="S170" i="52" s="1"/>
  <c r="L171" i="52"/>
  <c r="L172" i="52"/>
  <c r="L173" i="52"/>
  <c r="L174" i="52"/>
  <c r="L175" i="52"/>
  <c r="L176" i="52"/>
  <c r="L177" i="52"/>
  <c r="L178" i="52"/>
  <c r="R178" i="52" s="1"/>
  <c r="L179" i="52"/>
  <c r="L180" i="52"/>
  <c r="L181" i="52"/>
  <c r="L182" i="52"/>
  <c r="L183" i="52"/>
  <c r="L184" i="52"/>
  <c r="L185" i="52"/>
  <c r="L186" i="52"/>
  <c r="R186" i="52" s="1"/>
  <c r="L187" i="52"/>
  <c r="L188" i="52"/>
  <c r="L189" i="52"/>
  <c r="L190" i="52"/>
  <c r="L191" i="52"/>
  <c r="L192" i="52"/>
  <c r="L193" i="52"/>
  <c r="L194" i="52"/>
  <c r="S194" i="52" s="1"/>
  <c r="L195" i="52"/>
  <c r="L196" i="52"/>
  <c r="L197" i="52"/>
  <c r="L198" i="52"/>
  <c r="L199" i="52"/>
  <c r="L200" i="52"/>
  <c r="L201" i="52"/>
  <c r="L202" i="52"/>
  <c r="N202" i="52" s="1"/>
  <c r="U202" i="52" s="1"/>
  <c r="L203" i="52"/>
  <c r="L204" i="52"/>
  <c r="L205" i="52"/>
  <c r="L206" i="52"/>
  <c r="L207" i="52"/>
  <c r="L208" i="52"/>
  <c r="L209" i="52"/>
  <c r="L210" i="52"/>
  <c r="S210" i="52" s="1"/>
  <c r="L211" i="52"/>
  <c r="L212" i="52"/>
  <c r="L213" i="52"/>
  <c r="L214" i="52"/>
  <c r="L215" i="52"/>
  <c r="L216" i="52"/>
  <c r="L217" i="52"/>
  <c r="L218" i="52"/>
  <c r="N218" i="52" s="1"/>
  <c r="U218" i="52" s="1"/>
  <c r="L219" i="52"/>
  <c r="L220" i="52"/>
  <c r="L221" i="52"/>
  <c r="L222" i="52"/>
  <c r="L223" i="52"/>
  <c r="L224" i="52"/>
  <c r="L225" i="52"/>
  <c r="L226" i="52"/>
  <c r="S226" i="52" s="1"/>
  <c r="L227" i="52"/>
  <c r="L228" i="52"/>
  <c r="L229" i="52"/>
  <c r="L230" i="52"/>
  <c r="L231" i="52"/>
  <c r="L232" i="52"/>
  <c r="L233" i="52"/>
  <c r="L234" i="52"/>
  <c r="S234" i="52" s="1"/>
  <c r="L235" i="52"/>
  <c r="L236" i="52"/>
  <c r="L237" i="52"/>
  <c r="L238" i="52"/>
  <c r="L239" i="52"/>
  <c r="L240" i="52"/>
  <c r="L241" i="52"/>
  <c r="L242" i="52"/>
  <c r="R242" i="52" s="1"/>
  <c r="L243" i="52"/>
  <c r="L244" i="52"/>
  <c r="L245" i="52"/>
  <c r="L246" i="52"/>
  <c r="L247" i="52"/>
  <c r="L248" i="52"/>
  <c r="L249" i="52"/>
  <c r="L250" i="52"/>
  <c r="R250" i="52" s="1"/>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c r="Q12" i="42" s="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c r="I75"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S41" i="52" s="1"/>
  <c r="G42" i="52"/>
  <c r="G43" i="52"/>
  <c r="G44" i="52"/>
  <c r="G45" i="52"/>
  <c r="G46" i="52"/>
  <c r="G47" i="52"/>
  <c r="G48" i="52"/>
  <c r="G49" i="52"/>
  <c r="S49" i="52" s="1"/>
  <c r="G50" i="52"/>
  <c r="G51" i="52"/>
  <c r="G52" i="52"/>
  <c r="G53" i="52"/>
  <c r="G54" i="52"/>
  <c r="G55" i="52"/>
  <c r="G56" i="52"/>
  <c r="G57" i="52"/>
  <c r="R57" i="52" s="1"/>
  <c r="G58" i="52"/>
  <c r="G59" i="52"/>
  <c r="G60" i="52"/>
  <c r="G61" i="52"/>
  <c r="G62" i="52"/>
  <c r="G63" i="52"/>
  <c r="G64" i="52"/>
  <c r="G65" i="52"/>
  <c r="S65" i="52" s="1"/>
  <c r="G66" i="52"/>
  <c r="G67" i="52"/>
  <c r="G68" i="52"/>
  <c r="G69" i="52"/>
  <c r="G70" i="52"/>
  <c r="G71" i="52"/>
  <c r="G72" i="52"/>
  <c r="G73" i="52"/>
  <c r="S73" i="52" s="1"/>
  <c r="G74" i="52"/>
  <c r="G75" i="52"/>
  <c r="G76" i="52"/>
  <c r="G77" i="52"/>
  <c r="G78" i="52"/>
  <c r="G79" i="52"/>
  <c r="G80" i="52"/>
  <c r="G81" i="52"/>
  <c r="S81" i="52" s="1"/>
  <c r="G82" i="52"/>
  <c r="G83" i="52"/>
  <c r="G84" i="52"/>
  <c r="G85" i="52"/>
  <c r="G86" i="52"/>
  <c r="G87" i="52"/>
  <c r="G88" i="52"/>
  <c r="G89" i="52"/>
  <c r="N89" i="52" s="1"/>
  <c r="U89" i="52" s="1"/>
  <c r="G90" i="52"/>
  <c r="G91" i="52"/>
  <c r="G92" i="52"/>
  <c r="G93" i="52"/>
  <c r="G94" i="52"/>
  <c r="G95" i="52"/>
  <c r="G96" i="52"/>
  <c r="G97" i="52"/>
  <c r="N97" i="52" s="1"/>
  <c r="U97" i="52" s="1"/>
  <c r="G98" i="52"/>
  <c r="G99" i="52"/>
  <c r="G100" i="52"/>
  <c r="G101" i="52"/>
  <c r="G102" i="52"/>
  <c r="G103" i="52"/>
  <c r="G104" i="52"/>
  <c r="G105" i="52"/>
  <c r="N105" i="52" s="1"/>
  <c r="U105" i="52" s="1"/>
  <c r="G106" i="52"/>
  <c r="G107" i="52"/>
  <c r="G108" i="52"/>
  <c r="G109" i="52"/>
  <c r="G110" i="52"/>
  <c r="G111" i="52"/>
  <c r="G112" i="52"/>
  <c r="G113" i="52"/>
  <c r="N113" i="52" s="1"/>
  <c r="U113" i="52" s="1"/>
  <c r="G114" i="52"/>
  <c r="G115" i="52"/>
  <c r="G116" i="52"/>
  <c r="G117" i="52"/>
  <c r="G118" i="52"/>
  <c r="G119" i="52"/>
  <c r="G120" i="52"/>
  <c r="G121" i="52"/>
  <c r="S121" i="52" s="1"/>
  <c r="G122" i="52"/>
  <c r="G123" i="52"/>
  <c r="G124" i="52"/>
  <c r="G125" i="52"/>
  <c r="G126" i="52"/>
  <c r="G127" i="52"/>
  <c r="G128" i="52"/>
  <c r="G129" i="52"/>
  <c r="S129" i="52" s="1"/>
  <c r="G130" i="52"/>
  <c r="G131" i="52"/>
  <c r="G132" i="52"/>
  <c r="G133" i="52"/>
  <c r="G134" i="52"/>
  <c r="G135" i="52"/>
  <c r="G136" i="52"/>
  <c r="G137" i="52"/>
  <c r="S137" i="52" s="1"/>
  <c r="G138" i="52"/>
  <c r="G139" i="52"/>
  <c r="G140" i="52"/>
  <c r="G141" i="52"/>
  <c r="G142" i="52"/>
  <c r="G143" i="52"/>
  <c r="G144" i="52"/>
  <c r="G145" i="52"/>
  <c r="S145" i="52" s="1"/>
  <c r="G146" i="52"/>
  <c r="G147" i="52"/>
  <c r="G148" i="52"/>
  <c r="G149" i="52"/>
  <c r="G150" i="52"/>
  <c r="G151" i="52"/>
  <c r="G152" i="52"/>
  <c r="G153" i="52"/>
  <c r="N153" i="52" s="1"/>
  <c r="U153" i="52" s="1"/>
  <c r="G154" i="52"/>
  <c r="G155" i="52"/>
  <c r="G156" i="52"/>
  <c r="G157" i="52"/>
  <c r="G158" i="52"/>
  <c r="G159" i="52"/>
  <c r="G160" i="52"/>
  <c r="G161" i="52"/>
  <c r="N161" i="52" s="1"/>
  <c r="U161" i="52" s="1"/>
  <c r="G162" i="52"/>
  <c r="G163" i="52"/>
  <c r="G164" i="52"/>
  <c r="G165" i="52"/>
  <c r="G166" i="52"/>
  <c r="G167" i="52"/>
  <c r="G168" i="52"/>
  <c r="G169" i="52"/>
  <c r="S169" i="52" s="1"/>
  <c r="G170" i="52"/>
  <c r="G171" i="52"/>
  <c r="G172" i="52"/>
  <c r="G173" i="52"/>
  <c r="G174" i="52"/>
  <c r="G175" i="52"/>
  <c r="G176" i="52"/>
  <c r="G177" i="52"/>
  <c r="S177" i="52" s="1"/>
  <c r="G178" i="52"/>
  <c r="G179" i="52"/>
  <c r="G180" i="52"/>
  <c r="G181" i="52"/>
  <c r="G182" i="52"/>
  <c r="G183" i="52"/>
  <c r="G184" i="52"/>
  <c r="G185" i="52"/>
  <c r="R185" i="52" s="1"/>
  <c r="G186" i="52"/>
  <c r="G187" i="52"/>
  <c r="G188" i="52"/>
  <c r="G189" i="52"/>
  <c r="G190" i="52"/>
  <c r="G191" i="52"/>
  <c r="G192" i="52"/>
  <c r="G193" i="52"/>
  <c r="N193" i="52" s="1"/>
  <c r="U193" i="52" s="1"/>
  <c r="G194" i="52"/>
  <c r="G195" i="52"/>
  <c r="G196" i="52"/>
  <c r="G197" i="52"/>
  <c r="G198" i="52"/>
  <c r="G199" i="52"/>
  <c r="G200" i="52"/>
  <c r="G201" i="52"/>
  <c r="S201" i="52" s="1"/>
  <c r="G202" i="52"/>
  <c r="G203" i="52"/>
  <c r="G204" i="52"/>
  <c r="G205" i="52"/>
  <c r="G206" i="52"/>
  <c r="G207" i="52"/>
  <c r="G208" i="52"/>
  <c r="G209" i="52"/>
  <c r="S209" i="52" s="1"/>
  <c r="G210" i="52"/>
  <c r="G211" i="52"/>
  <c r="G212" i="52"/>
  <c r="G213" i="52"/>
  <c r="G214" i="52"/>
  <c r="G215" i="52"/>
  <c r="G216" i="52"/>
  <c r="G217" i="52"/>
  <c r="N217" i="52" s="1"/>
  <c r="U217" i="52" s="1"/>
  <c r="G218" i="52"/>
  <c r="G219" i="52"/>
  <c r="G220" i="52"/>
  <c r="G221" i="52"/>
  <c r="G222" i="52"/>
  <c r="G223" i="52"/>
  <c r="G224" i="52"/>
  <c r="G225" i="52"/>
  <c r="N225" i="52" s="1"/>
  <c r="U225" i="52" s="1"/>
  <c r="G226" i="52"/>
  <c r="G227" i="52"/>
  <c r="G228" i="52"/>
  <c r="G229" i="52"/>
  <c r="G230" i="52"/>
  <c r="G231" i="52"/>
  <c r="G232" i="52"/>
  <c r="G233" i="52"/>
  <c r="N233" i="52" s="1"/>
  <c r="U233" i="52" s="1"/>
  <c r="G234" i="52"/>
  <c r="G235" i="52"/>
  <c r="G236" i="52"/>
  <c r="G237" i="52"/>
  <c r="G238" i="52"/>
  <c r="G239" i="52"/>
  <c r="G240" i="52"/>
  <c r="G241" i="52"/>
  <c r="N241" i="52" s="1"/>
  <c r="U241" i="52" s="1"/>
  <c r="G242" i="52"/>
  <c r="G243" i="52"/>
  <c r="G244" i="52"/>
  <c r="G245" i="52"/>
  <c r="G246" i="52"/>
  <c r="G247" i="52"/>
  <c r="G248" i="52"/>
  <c r="G249" i="52"/>
  <c r="S249" i="52" s="1"/>
  <c r="G250" i="52"/>
  <c r="G251" i="52"/>
  <c r="G252" i="52"/>
  <c r="G253" i="52"/>
  <c r="G254" i="52"/>
  <c r="G255" i="52"/>
  <c r="G256" i="52"/>
  <c r="G257" i="52"/>
  <c r="S257" i="52" s="1"/>
  <c r="G10" i="52"/>
  <c r="F10" i="52"/>
  <c r="Q10" i="55"/>
  <c r="O7" i="107"/>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Z20" i="67"/>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c r="J170" i="36"/>
  <c r="J168" i="36"/>
  <c r="J166" i="36"/>
  <c r="J164" i="36"/>
  <c r="J105" i="36"/>
  <c r="D176" i="22"/>
  <c r="D175" i="22"/>
  <c r="D174" i="22"/>
  <c r="D173" i="22"/>
  <c r="D172" i="22"/>
  <c r="C176" i="22"/>
  <c r="C175" i="22"/>
  <c r="C174" i="22"/>
  <c r="C173" i="22"/>
  <c r="C172" i="22"/>
  <c r="A176" i="22"/>
  <c r="A175" i="22"/>
  <c r="A174" i="22"/>
  <c r="A173" i="22"/>
  <c r="A172" i="22"/>
  <c r="B42" i="105"/>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c r="S173" i="22"/>
  <c r="C184" i="36"/>
  <c r="S174" i="22"/>
  <c r="C185" i="36"/>
  <c r="S175" i="22"/>
  <c r="C186" i="36"/>
  <c r="K173" i="22"/>
  <c r="S176" i="22"/>
  <c r="C187" i="36"/>
  <c r="J109" i="36"/>
  <c r="J107" i="36"/>
  <c r="J103" i="36"/>
  <c r="J101" i="36"/>
  <c r="A150" i="22"/>
  <c r="W150" i="22"/>
  <c r="A151" i="22"/>
  <c r="A152" i="22"/>
  <c r="A153" i="22"/>
  <c r="A154" i="22"/>
  <c r="A155" i="22"/>
  <c r="A156" i="22"/>
  <c r="A157" i="22"/>
  <c r="A158" i="22"/>
  <c r="A159" i="22"/>
  <c r="A160" i="22"/>
  <c r="A161" i="22"/>
  <c r="A162" i="22"/>
  <c r="W158" i="22"/>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C148" i="36" s="1"/>
  <c r="B36" i="104"/>
  <c r="I158" i="22"/>
  <c r="B37" i="104"/>
  <c r="G150" i="22"/>
  <c r="E150" i="22"/>
  <c r="C100" i="36" s="1"/>
  <c r="C140" i="36" s="1"/>
  <c r="S156" i="22"/>
  <c r="C126" i="36"/>
  <c r="S155" i="22"/>
  <c r="C125" i="36"/>
  <c r="E162" i="22"/>
  <c r="C112" i="36" s="1"/>
  <c r="C152" i="36" s="1"/>
  <c r="B47" i="104"/>
  <c r="I161" i="22"/>
  <c r="B46" i="104"/>
  <c r="S158" i="22"/>
  <c r="C128" i="36"/>
  <c r="B25" i="104"/>
  <c r="K157" i="22"/>
  <c r="G154" i="22"/>
  <c r="S153" i="22"/>
  <c r="C123" i="36"/>
  <c r="B24" i="104"/>
  <c r="E151" i="22"/>
  <c r="C101" i="36" s="1"/>
  <c r="C141" i="36" s="1"/>
  <c r="B22" i="104"/>
  <c r="S150" i="22"/>
  <c r="C120" i="36"/>
  <c r="B14" i="104"/>
  <c r="G158" i="22"/>
  <c r="K158" i="22"/>
  <c r="G156" i="22"/>
  <c r="E156" i="22"/>
  <c r="C106" i="36" s="1"/>
  <c r="C146" i="36" s="1"/>
  <c r="K156" i="22"/>
  <c r="G155" i="22"/>
  <c r="E154" i="22"/>
  <c r="C104" i="36"/>
  <c r="C144" i="36" s="1"/>
  <c r="E155" i="22"/>
  <c r="C105" i="36" s="1"/>
  <c r="C145" i="36" s="1"/>
  <c r="K155" i="22"/>
  <c r="G159" i="22"/>
  <c r="E160" i="22"/>
  <c r="C110" i="36" s="1"/>
  <c r="C150" i="36" s="1"/>
  <c r="I159" i="22"/>
  <c r="E161" i="22"/>
  <c r="C111" i="36" s="1"/>
  <c r="C151" i="36" s="1"/>
  <c r="G161" i="22"/>
  <c r="K153" i="22"/>
  <c r="E153" i="22"/>
  <c r="C103" i="36" s="1"/>
  <c r="C143" i="36" s="1"/>
  <c r="S161" i="22"/>
  <c r="C131" i="36"/>
  <c r="G153" i="22"/>
  <c r="K161" i="22"/>
  <c r="E152" i="22"/>
  <c r="C102" i="36" s="1"/>
  <c r="C142" i="36" s="1"/>
  <c r="K154" i="22"/>
  <c r="K162" i="22"/>
  <c r="S154" i="22"/>
  <c r="C124" i="36"/>
  <c r="S159" i="22"/>
  <c r="C129" i="36"/>
  <c r="S157" i="22"/>
  <c r="C127" i="36"/>
  <c r="G151" i="22"/>
  <c r="G160" i="22"/>
  <c r="G152" i="22"/>
  <c r="G162" i="22"/>
  <c r="K151" i="22"/>
  <c r="K159" i="22"/>
  <c r="S151" i="22"/>
  <c r="C121" i="36"/>
  <c r="S160" i="22"/>
  <c r="C130" i="36"/>
  <c r="E159" i="22"/>
  <c r="C109" i="36" s="1"/>
  <c r="C149" i="36" s="1"/>
  <c r="K152" i="22"/>
  <c r="K160" i="22"/>
  <c r="S152" i="22"/>
  <c r="C122" i="36"/>
  <c r="U156" i="22"/>
  <c r="U157" i="22"/>
  <c r="U155" i="22"/>
  <c r="G157" i="22"/>
  <c r="U162" i="22"/>
  <c r="U154" i="22"/>
  <c r="U161" i="22"/>
  <c r="U153" i="22"/>
  <c r="I157" i="22"/>
  <c r="U160" i="22"/>
  <c r="U152" i="22"/>
  <c r="E157" i="22"/>
  <c r="C107" i="36" s="1"/>
  <c r="C147" i="36" s="1"/>
  <c r="S162" i="22"/>
  <c r="C132" i="36"/>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AJ258" i="65"/>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c r="U259" i="58"/>
  <c r="U12" i="58"/>
  <c r="S13" i="42"/>
  <c r="V13" i="42"/>
  <c r="S14" i="42"/>
  <c r="V14" i="42"/>
  <c r="S15" i="42"/>
  <c r="V15" i="42"/>
  <c r="S16" i="42"/>
  <c r="V16" i="42"/>
  <c r="S17" i="42"/>
  <c r="V17" i="42"/>
  <c r="S18" i="42"/>
  <c r="V18" i="42"/>
  <c r="S19" i="42"/>
  <c r="V19" i="42"/>
  <c r="S20" i="42"/>
  <c r="V20" i="42"/>
  <c r="S21" i="42"/>
  <c r="V21" i="42"/>
  <c r="S22" i="42"/>
  <c r="V22" i="42"/>
  <c r="S23" i="42"/>
  <c r="V23" i="42"/>
  <c r="S24" i="42"/>
  <c r="V24" i="42"/>
  <c r="S25" i="42"/>
  <c r="V25" i="42"/>
  <c r="S26" i="42"/>
  <c r="V26" i="42"/>
  <c r="S27" i="42"/>
  <c r="V27" i="42"/>
  <c r="S28" i="42"/>
  <c r="V28" i="42"/>
  <c r="S29" i="42"/>
  <c r="V29" i="42"/>
  <c r="S30" i="42"/>
  <c r="V30" i="42"/>
  <c r="S31" i="42"/>
  <c r="V31" i="42"/>
  <c r="S32" i="42"/>
  <c r="V32" i="42"/>
  <c r="S33" i="42"/>
  <c r="V33" i="42"/>
  <c r="S34" i="42"/>
  <c r="V34" i="42"/>
  <c r="S35" i="42"/>
  <c r="V35" i="42"/>
  <c r="S36" i="42"/>
  <c r="V36" i="42"/>
  <c r="S37" i="42"/>
  <c r="V37" i="42"/>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c r="I154" i="22"/>
  <c r="I153" i="22"/>
  <c r="I152" i="22"/>
  <c r="I151" i="22"/>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H134" i="22"/>
  <c r="G134" i="22"/>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J152" i="22"/>
  <c r="J159" i="22"/>
  <c r="J161" i="22"/>
  <c r="J155" i="22"/>
  <c r="J153" i="22"/>
  <c r="J154" i="22"/>
  <c r="J151" i="22"/>
  <c r="J158" i="22"/>
  <c r="J162" i="22"/>
  <c r="J156" i="22"/>
  <c r="J160" i="22"/>
  <c r="J157" i="22"/>
  <c r="L259" i="58"/>
  <c r="K259" i="58"/>
  <c r="F259" i="58"/>
  <c r="I259" i="58"/>
  <c r="L258" i="58"/>
  <c r="K258" i="58"/>
  <c r="F258" i="58"/>
  <c r="I258" i="58"/>
  <c r="L257" i="58"/>
  <c r="K257" i="58"/>
  <c r="F257" i="58"/>
  <c r="I257" i="58"/>
  <c r="L256" i="58"/>
  <c r="K256" i="58"/>
  <c r="F256" i="58"/>
  <c r="I256" i="58"/>
  <c r="L255" i="58"/>
  <c r="K255" i="58"/>
  <c r="F255" i="58"/>
  <c r="I255" i="58"/>
  <c r="L254" i="58"/>
  <c r="K254" i="58"/>
  <c r="F254" i="58"/>
  <c r="I254" i="58"/>
  <c r="L253" i="58"/>
  <c r="K253" i="58"/>
  <c r="F253" i="58"/>
  <c r="I253" i="58"/>
  <c r="L252" i="58"/>
  <c r="K252" i="58"/>
  <c r="F252" i="58"/>
  <c r="I252" i="58"/>
  <c r="L251" i="58"/>
  <c r="K251" i="58"/>
  <c r="F251" i="58"/>
  <c r="I251" i="58"/>
  <c r="L250" i="58"/>
  <c r="K250" i="58"/>
  <c r="F250" i="58"/>
  <c r="I250" i="58"/>
  <c r="L249" i="58"/>
  <c r="K249" i="58"/>
  <c r="F249" i="58"/>
  <c r="I249" i="58"/>
  <c r="L248" i="58"/>
  <c r="K248" i="58"/>
  <c r="F248" i="58"/>
  <c r="I248" i="58"/>
  <c r="L247" i="58"/>
  <c r="K247" i="58"/>
  <c r="F247" i="58"/>
  <c r="I247" i="58"/>
  <c r="L246" i="58"/>
  <c r="K246" i="58"/>
  <c r="F246" i="58"/>
  <c r="I246" i="58"/>
  <c r="L245" i="58"/>
  <c r="K245" i="58"/>
  <c r="F245" i="58"/>
  <c r="I245" i="58"/>
  <c r="L244" i="58"/>
  <c r="K244" i="58"/>
  <c r="F244" i="58"/>
  <c r="I244" i="58"/>
  <c r="L243" i="58"/>
  <c r="K243" i="58"/>
  <c r="F243" i="58"/>
  <c r="I243" i="58"/>
  <c r="L242" i="58"/>
  <c r="K242" i="58"/>
  <c r="F242" i="58"/>
  <c r="I242" i="58"/>
  <c r="L241" i="58"/>
  <c r="K241" i="58"/>
  <c r="F241" i="58"/>
  <c r="I241" i="58"/>
  <c r="L240" i="58"/>
  <c r="K240" i="58"/>
  <c r="F240" i="58"/>
  <c r="I240" i="58"/>
  <c r="L239" i="58"/>
  <c r="K239" i="58"/>
  <c r="F239" i="58"/>
  <c r="I239" i="58"/>
  <c r="L238" i="58"/>
  <c r="K238" i="58"/>
  <c r="F238" i="58"/>
  <c r="I238" i="58"/>
  <c r="L237" i="58"/>
  <c r="K237" i="58"/>
  <c r="F237" i="58"/>
  <c r="I237" i="58"/>
  <c r="L236" i="58"/>
  <c r="K236" i="58"/>
  <c r="F236" i="58"/>
  <c r="I236" i="58"/>
  <c r="L235" i="58"/>
  <c r="K235" i="58"/>
  <c r="F235" i="58"/>
  <c r="I235" i="58"/>
  <c r="L234" i="58"/>
  <c r="K234" i="58"/>
  <c r="F234" i="58"/>
  <c r="I234" i="58"/>
  <c r="L233" i="58"/>
  <c r="K233" i="58"/>
  <c r="F233" i="58"/>
  <c r="I233" i="58"/>
  <c r="L232" i="58"/>
  <c r="K232" i="58"/>
  <c r="F232" i="58"/>
  <c r="I232" i="58"/>
  <c r="L231" i="58"/>
  <c r="K231" i="58"/>
  <c r="F231" i="58"/>
  <c r="I231" i="58"/>
  <c r="L230" i="58"/>
  <c r="K230" i="58"/>
  <c r="F230" i="58"/>
  <c r="I230" i="58"/>
  <c r="L229" i="58"/>
  <c r="K229" i="58"/>
  <c r="F229" i="58"/>
  <c r="I229" i="58"/>
  <c r="L228" i="58"/>
  <c r="K228" i="58"/>
  <c r="F228" i="58"/>
  <c r="I228" i="58"/>
  <c r="L227" i="58"/>
  <c r="K227" i="58"/>
  <c r="F227" i="58"/>
  <c r="I227" i="58"/>
  <c r="L226" i="58"/>
  <c r="K226" i="58"/>
  <c r="F226" i="58"/>
  <c r="I226" i="58"/>
  <c r="L225" i="58"/>
  <c r="K225" i="58"/>
  <c r="F225" i="58"/>
  <c r="I225" i="58"/>
  <c r="L224" i="58"/>
  <c r="K224" i="58"/>
  <c r="F224" i="58"/>
  <c r="I224" i="58"/>
  <c r="L223" i="58"/>
  <c r="K223" i="58"/>
  <c r="F223" i="58"/>
  <c r="I223" i="58"/>
  <c r="L222" i="58"/>
  <c r="K222" i="58"/>
  <c r="F222" i="58"/>
  <c r="I222" i="58"/>
  <c r="L221" i="58"/>
  <c r="K221" i="58"/>
  <c r="F221" i="58"/>
  <c r="I221" i="58"/>
  <c r="L220" i="58"/>
  <c r="K220" i="58"/>
  <c r="F220" i="58"/>
  <c r="I220" i="58"/>
  <c r="L219" i="58"/>
  <c r="K219" i="58"/>
  <c r="F219" i="58"/>
  <c r="I219" i="58"/>
  <c r="L218" i="58"/>
  <c r="K218" i="58"/>
  <c r="F218" i="58"/>
  <c r="I218" i="58"/>
  <c r="L217" i="58"/>
  <c r="K217" i="58"/>
  <c r="F217" i="58"/>
  <c r="I217" i="58"/>
  <c r="L216" i="58"/>
  <c r="K216" i="58"/>
  <c r="F216" i="58"/>
  <c r="I216" i="58"/>
  <c r="L215" i="58"/>
  <c r="K215" i="58"/>
  <c r="F215" i="58"/>
  <c r="I215" i="58"/>
  <c r="L214" i="58"/>
  <c r="K214" i="58"/>
  <c r="F214" i="58"/>
  <c r="I214" i="58"/>
  <c r="L213" i="58"/>
  <c r="K213" i="58"/>
  <c r="F213" i="58"/>
  <c r="I213" i="58"/>
  <c r="L212" i="58"/>
  <c r="K212" i="58"/>
  <c r="F212" i="58"/>
  <c r="I212" i="58"/>
  <c r="L211" i="58"/>
  <c r="K211" i="58"/>
  <c r="F211" i="58"/>
  <c r="I211" i="58"/>
  <c r="L210" i="58"/>
  <c r="K210" i="58"/>
  <c r="F210" i="58"/>
  <c r="I210" i="58"/>
  <c r="L209" i="58"/>
  <c r="K209" i="58"/>
  <c r="F209" i="58"/>
  <c r="I209" i="58"/>
  <c r="L208" i="58"/>
  <c r="K208" i="58"/>
  <c r="F208" i="58"/>
  <c r="I208" i="58"/>
  <c r="L207" i="58"/>
  <c r="K207" i="58"/>
  <c r="F207" i="58"/>
  <c r="I207" i="58"/>
  <c r="L206" i="58"/>
  <c r="K206" i="58"/>
  <c r="F206" i="58"/>
  <c r="I206" i="58"/>
  <c r="L205" i="58"/>
  <c r="K205" i="58"/>
  <c r="F205" i="58"/>
  <c r="I205" i="58"/>
  <c r="L204" i="58"/>
  <c r="K204" i="58"/>
  <c r="F204" i="58"/>
  <c r="I204" i="58"/>
  <c r="L203" i="58"/>
  <c r="K203" i="58"/>
  <c r="F203" i="58"/>
  <c r="I203" i="58"/>
  <c r="L202" i="58"/>
  <c r="K202" i="58"/>
  <c r="F202" i="58"/>
  <c r="I202" i="58"/>
  <c r="L201" i="58"/>
  <c r="K201" i="58"/>
  <c r="F201" i="58"/>
  <c r="I201" i="58"/>
  <c r="L200" i="58"/>
  <c r="K200" i="58"/>
  <c r="F200" i="58"/>
  <c r="I200" i="58"/>
  <c r="L199" i="58"/>
  <c r="K199" i="58"/>
  <c r="F199" i="58"/>
  <c r="I199" i="58"/>
  <c r="L198" i="58"/>
  <c r="K198" i="58"/>
  <c r="F198" i="58"/>
  <c r="I198" i="58"/>
  <c r="L197" i="58"/>
  <c r="K197" i="58"/>
  <c r="F197" i="58"/>
  <c r="I197" i="58"/>
  <c r="L196" i="58"/>
  <c r="K196" i="58"/>
  <c r="F196" i="58"/>
  <c r="I196" i="58"/>
  <c r="L195" i="58"/>
  <c r="K195" i="58"/>
  <c r="F195" i="58"/>
  <c r="I195" i="58"/>
  <c r="L194" i="58"/>
  <c r="K194" i="58"/>
  <c r="F194" i="58"/>
  <c r="I194" i="58"/>
  <c r="L193" i="58"/>
  <c r="K193" i="58"/>
  <c r="F193" i="58"/>
  <c r="I193" i="58"/>
  <c r="L192" i="58"/>
  <c r="K192" i="58"/>
  <c r="F192" i="58"/>
  <c r="I192" i="58"/>
  <c r="L191" i="58"/>
  <c r="K191" i="58"/>
  <c r="F191" i="58"/>
  <c r="I191" i="58"/>
  <c r="L190" i="58"/>
  <c r="K190" i="58"/>
  <c r="F190" i="58"/>
  <c r="I190" i="58"/>
  <c r="L189" i="58"/>
  <c r="K189" i="58"/>
  <c r="F189" i="58"/>
  <c r="I189" i="58"/>
  <c r="L188" i="58"/>
  <c r="K188" i="58"/>
  <c r="F188" i="58"/>
  <c r="I188" i="58"/>
  <c r="L187" i="58"/>
  <c r="K187" i="58"/>
  <c r="F187" i="58"/>
  <c r="I187" i="58"/>
  <c r="L186" i="58"/>
  <c r="K186" i="58"/>
  <c r="F186" i="58"/>
  <c r="I186" i="58"/>
  <c r="L185" i="58"/>
  <c r="K185" i="58"/>
  <c r="F185" i="58"/>
  <c r="I185" i="58"/>
  <c r="L184" i="58"/>
  <c r="K184" i="58"/>
  <c r="F184" i="58"/>
  <c r="I184" i="58"/>
  <c r="L183" i="58"/>
  <c r="K183" i="58"/>
  <c r="F183" i="58"/>
  <c r="I183" i="58"/>
  <c r="L182" i="58"/>
  <c r="K182" i="58"/>
  <c r="F182" i="58"/>
  <c r="I182" i="58"/>
  <c r="L181" i="58"/>
  <c r="K181" i="58"/>
  <c r="F181" i="58"/>
  <c r="I181" i="58"/>
  <c r="L180" i="58"/>
  <c r="K180" i="58"/>
  <c r="F180" i="58"/>
  <c r="I180" i="58"/>
  <c r="L179" i="58"/>
  <c r="K179" i="58"/>
  <c r="F179" i="58"/>
  <c r="I179" i="58"/>
  <c r="L178" i="58"/>
  <c r="K178" i="58"/>
  <c r="F178" i="58"/>
  <c r="I178" i="58"/>
  <c r="L177" i="58"/>
  <c r="K177" i="58"/>
  <c r="F177" i="58"/>
  <c r="I177" i="58"/>
  <c r="L176" i="58"/>
  <c r="K176" i="58"/>
  <c r="F176" i="58"/>
  <c r="I176" i="58"/>
  <c r="L175" i="58"/>
  <c r="K175" i="58"/>
  <c r="F175" i="58"/>
  <c r="I175" i="58"/>
  <c r="L174" i="58"/>
  <c r="K174" i="58"/>
  <c r="F174" i="58"/>
  <c r="I174" i="58"/>
  <c r="L173" i="58"/>
  <c r="K173" i="58"/>
  <c r="F173" i="58"/>
  <c r="I173" i="58"/>
  <c r="L172" i="58"/>
  <c r="K172" i="58"/>
  <c r="F172" i="58"/>
  <c r="I172" i="58"/>
  <c r="L171" i="58"/>
  <c r="K171" i="58"/>
  <c r="F171" i="58"/>
  <c r="I171" i="58"/>
  <c r="L170" i="58"/>
  <c r="K170" i="58"/>
  <c r="F170" i="58"/>
  <c r="I170" i="58"/>
  <c r="L169" i="58"/>
  <c r="K169" i="58"/>
  <c r="F169" i="58"/>
  <c r="I169" i="58"/>
  <c r="L168" i="58"/>
  <c r="K168" i="58"/>
  <c r="F168" i="58"/>
  <c r="I168" i="58"/>
  <c r="L167" i="58"/>
  <c r="K167" i="58"/>
  <c r="F167" i="58"/>
  <c r="I167" i="58"/>
  <c r="L166" i="58"/>
  <c r="K166" i="58"/>
  <c r="F166" i="58"/>
  <c r="I166" i="58"/>
  <c r="L165" i="58"/>
  <c r="K165" i="58"/>
  <c r="F165" i="58"/>
  <c r="I165" i="58"/>
  <c r="L164" i="58"/>
  <c r="K164" i="58"/>
  <c r="F164" i="58"/>
  <c r="I164" i="58"/>
  <c r="L163" i="58"/>
  <c r="K163" i="58"/>
  <c r="F163" i="58"/>
  <c r="I163" i="58"/>
  <c r="L162" i="58"/>
  <c r="K162" i="58"/>
  <c r="F162" i="58"/>
  <c r="I162" i="58"/>
  <c r="L161" i="58"/>
  <c r="K161" i="58"/>
  <c r="F161" i="58"/>
  <c r="I161" i="58"/>
  <c r="L160" i="58"/>
  <c r="K160" i="58"/>
  <c r="F160" i="58"/>
  <c r="I160" i="58"/>
  <c r="L159" i="58"/>
  <c r="K159" i="58"/>
  <c r="F159" i="58"/>
  <c r="I159" i="58"/>
  <c r="L158" i="58"/>
  <c r="K158" i="58"/>
  <c r="F158" i="58"/>
  <c r="I158" i="58"/>
  <c r="L157" i="58"/>
  <c r="K157" i="58"/>
  <c r="F157" i="58"/>
  <c r="I157" i="58"/>
  <c r="L156" i="58"/>
  <c r="K156" i="58"/>
  <c r="F156" i="58"/>
  <c r="I156" i="58"/>
  <c r="L155" i="58"/>
  <c r="K155" i="58"/>
  <c r="F155" i="58"/>
  <c r="I155" i="58"/>
  <c r="L154" i="58"/>
  <c r="K154" i="58"/>
  <c r="F154" i="58"/>
  <c r="I154" i="58"/>
  <c r="L153" i="58"/>
  <c r="K153" i="58"/>
  <c r="F153" i="58"/>
  <c r="I153" i="58"/>
  <c r="L152" i="58"/>
  <c r="K152" i="58"/>
  <c r="F152" i="58"/>
  <c r="I152" i="58"/>
  <c r="L151" i="58"/>
  <c r="K151" i="58"/>
  <c r="F151" i="58"/>
  <c r="I151" i="58"/>
  <c r="L150" i="58"/>
  <c r="K150" i="58"/>
  <c r="F150" i="58"/>
  <c r="I150" i="58"/>
  <c r="L149" i="58"/>
  <c r="K149" i="58"/>
  <c r="F149" i="58"/>
  <c r="I149" i="58"/>
  <c r="L148" i="58"/>
  <c r="K148" i="58"/>
  <c r="F148" i="58"/>
  <c r="I148" i="58"/>
  <c r="L147" i="58"/>
  <c r="K147" i="58"/>
  <c r="F147" i="58"/>
  <c r="I147" i="58"/>
  <c r="L146" i="58"/>
  <c r="K146" i="58"/>
  <c r="F146" i="58"/>
  <c r="I146" i="58"/>
  <c r="L145" i="58"/>
  <c r="K145" i="58"/>
  <c r="F145" i="58"/>
  <c r="I145" i="58"/>
  <c r="L144" i="58"/>
  <c r="K144" i="58"/>
  <c r="F144" i="58"/>
  <c r="I144" i="58"/>
  <c r="L143" i="58"/>
  <c r="K143" i="58"/>
  <c r="F143" i="58"/>
  <c r="I143" i="58"/>
  <c r="L142" i="58"/>
  <c r="K142" i="58"/>
  <c r="F142" i="58"/>
  <c r="I142" i="58"/>
  <c r="L141" i="58"/>
  <c r="K141" i="58"/>
  <c r="F141" i="58"/>
  <c r="I141" i="58"/>
  <c r="L140" i="58"/>
  <c r="K140" i="58"/>
  <c r="F140" i="58"/>
  <c r="I140" i="58"/>
  <c r="L139" i="58"/>
  <c r="K139" i="58"/>
  <c r="F139" i="58"/>
  <c r="I139" i="58"/>
  <c r="L138" i="58"/>
  <c r="K138" i="58"/>
  <c r="F138" i="58"/>
  <c r="I138" i="58"/>
  <c r="L137" i="58"/>
  <c r="K137" i="58"/>
  <c r="F137" i="58"/>
  <c r="I137" i="58"/>
  <c r="L136" i="58"/>
  <c r="K136" i="58"/>
  <c r="F136" i="58"/>
  <c r="I136" i="58"/>
  <c r="L135" i="58"/>
  <c r="K135" i="58"/>
  <c r="F135" i="58"/>
  <c r="I135" i="58"/>
  <c r="L134" i="58"/>
  <c r="K134" i="58"/>
  <c r="F134" i="58"/>
  <c r="I134" i="58"/>
  <c r="L133" i="58"/>
  <c r="K133" i="58"/>
  <c r="F133" i="58"/>
  <c r="I133" i="58"/>
  <c r="L132" i="58"/>
  <c r="K132" i="58"/>
  <c r="F132" i="58"/>
  <c r="I132" i="58"/>
  <c r="L131" i="58"/>
  <c r="K131" i="58"/>
  <c r="F131" i="58"/>
  <c r="I131" i="58"/>
  <c r="L130" i="58"/>
  <c r="K130" i="58"/>
  <c r="F130" i="58"/>
  <c r="I130" i="58"/>
  <c r="L129" i="58"/>
  <c r="K129" i="58"/>
  <c r="F129" i="58"/>
  <c r="I129" i="58"/>
  <c r="L128" i="58"/>
  <c r="K128" i="58"/>
  <c r="F128" i="58"/>
  <c r="I128" i="58"/>
  <c r="L127" i="58"/>
  <c r="K127" i="58"/>
  <c r="F127" i="58"/>
  <c r="I127" i="58"/>
  <c r="L126" i="58"/>
  <c r="K126" i="58"/>
  <c r="F126" i="58"/>
  <c r="I126" i="58"/>
  <c r="L125" i="58"/>
  <c r="K125" i="58"/>
  <c r="F125" i="58"/>
  <c r="I125" i="58"/>
  <c r="L124" i="58"/>
  <c r="K124" i="58"/>
  <c r="F124" i="58"/>
  <c r="I124" i="58"/>
  <c r="L123" i="58"/>
  <c r="K123" i="58"/>
  <c r="F123" i="58"/>
  <c r="I123" i="58"/>
  <c r="L122" i="58"/>
  <c r="K122" i="58"/>
  <c r="F122" i="58"/>
  <c r="I122" i="58"/>
  <c r="L121" i="58"/>
  <c r="K121" i="58"/>
  <c r="F121" i="58"/>
  <c r="I121" i="58"/>
  <c r="L120" i="58"/>
  <c r="K120" i="58"/>
  <c r="F120" i="58"/>
  <c r="I120" i="58"/>
  <c r="L119" i="58"/>
  <c r="K119" i="58"/>
  <c r="F119" i="58"/>
  <c r="I119" i="58"/>
  <c r="L118" i="58"/>
  <c r="K118" i="58"/>
  <c r="F118" i="58"/>
  <c r="I118" i="58"/>
  <c r="L117" i="58"/>
  <c r="K117" i="58"/>
  <c r="F117" i="58"/>
  <c r="I117" i="58"/>
  <c r="L116" i="58"/>
  <c r="K116" i="58"/>
  <c r="F116" i="58"/>
  <c r="I116" i="58"/>
  <c r="L115" i="58"/>
  <c r="K115" i="58"/>
  <c r="F115" i="58"/>
  <c r="I115" i="58"/>
  <c r="L114" i="58"/>
  <c r="K114" i="58"/>
  <c r="F114" i="58"/>
  <c r="I114" i="58"/>
  <c r="L113" i="58"/>
  <c r="K113" i="58"/>
  <c r="F113" i="58"/>
  <c r="I113" i="58"/>
  <c r="L112" i="58"/>
  <c r="K112" i="58"/>
  <c r="F112" i="58"/>
  <c r="I112" i="58"/>
  <c r="L111" i="58"/>
  <c r="K111" i="58"/>
  <c r="F111" i="58"/>
  <c r="I111" i="58"/>
  <c r="L110" i="58"/>
  <c r="K110" i="58"/>
  <c r="F110" i="58"/>
  <c r="I110" i="58"/>
  <c r="L109" i="58"/>
  <c r="K109" i="58"/>
  <c r="F109" i="58"/>
  <c r="I109" i="58"/>
  <c r="L108" i="58"/>
  <c r="K108" i="58"/>
  <c r="F108" i="58"/>
  <c r="I108" i="58"/>
  <c r="L107" i="58"/>
  <c r="K107" i="58"/>
  <c r="F107" i="58"/>
  <c r="I107" i="58"/>
  <c r="L106" i="58"/>
  <c r="K106" i="58"/>
  <c r="F106" i="58"/>
  <c r="I106" i="58"/>
  <c r="L105" i="58"/>
  <c r="K105" i="58"/>
  <c r="F105" i="58"/>
  <c r="I105" i="58"/>
  <c r="L104" i="58"/>
  <c r="K104" i="58"/>
  <c r="F104" i="58"/>
  <c r="I104" i="58"/>
  <c r="L103" i="58"/>
  <c r="K103" i="58"/>
  <c r="F103" i="58"/>
  <c r="I103" i="58"/>
  <c r="L102" i="58"/>
  <c r="K102" i="58"/>
  <c r="F102" i="58"/>
  <c r="I102" i="58"/>
  <c r="L101" i="58"/>
  <c r="K101" i="58"/>
  <c r="F101" i="58"/>
  <c r="I101" i="58"/>
  <c r="L100" i="58"/>
  <c r="K100" i="58"/>
  <c r="F100" i="58"/>
  <c r="I100" i="58"/>
  <c r="L99" i="58"/>
  <c r="K99" i="58"/>
  <c r="F99" i="58"/>
  <c r="I99" i="58"/>
  <c r="L98" i="58"/>
  <c r="K98" i="58"/>
  <c r="F98" i="58"/>
  <c r="I98" i="58"/>
  <c r="L97" i="58"/>
  <c r="K97" i="58"/>
  <c r="F97" i="58"/>
  <c r="I97" i="58"/>
  <c r="L96" i="58"/>
  <c r="K96" i="58"/>
  <c r="F96" i="58"/>
  <c r="I96" i="58"/>
  <c r="L95" i="58"/>
  <c r="K95" i="58"/>
  <c r="F95" i="58"/>
  <c r="I95" i="58"/>
  <c r="L94" i="58"/>
  <c r="K94" i="58"/>
  <c r="F94" i="58"/>
  <c r="I94" i="58"/>
  <c r="L93" i="58"/>
  <c r="K93" i="58"/>
  <c r="F93" i="58"/>
  <c r="I93" i="58"/>
  <c r="L92" i="58"/>
  <c r="K92" i="58"/>
  <c r="F92" i="58"/>
  <c r="I92" i="58"/>
  <c r="L91" i="58"/>
  <c r="K91" i="58"/>
  <c r="F91" i="58"/>
  <c r="I91" i="58"/>
  <c r="L90" i="58"/>
  <c r="K90" i="58"/>
  <c r="F90" i="58"/>
  <c r="I90" i="58"/>
  <c r="L89" i="58"/>
  <c r="K89" i="58"/>
  <c r="F89" i="58"/>
  <c r="I89" i="58"/>
  <c r="L88" i="58"/>
  <c r="K88" i="58"/>
  <c r="F88" i="58"/>
  <c r="I88" i="58"/>
  <c r="L87" i="58"/>
  <c r="K87" i="58"/>
  <c r="F87" i="58"/>
  <c r="I87" i="58"/>
  <c r="L86" i="58"/>
  <c r="K86" i="58"/>
  <c r="F86" i="58"/>
  <c r="I86" i="58"/>
  <c r="L85" i="58"/>
  <c r="K85" i="58"/>
  <c r="F85" i="58"/>
  <c r="I85" i="58"/>
  <c r="L84" i="58"/>
  <c r="K84" i="58"/>
  <c r="F84" i="58"/>
  <c r="I84" i="58"/>
  <c r="L83" i="58"/>
  <c r="K83" i="58"/>
  <c r="F83" i="58"/>
  <c r="I83" i="58"/>
  <c r="L82" i="58"/>
  <c r="K82" i="58"/>
  <c r="F82" i="58"/>
  <c r="I82" i="58"/>
  <c r="L81" i="58"/>
  <c r="K81" i="58"/>
  <c r="F81" i="58"/>
  <c r="I81" i="58"/>
  <c r="L80" i="58"/>
  <c r="K80" i="58"/>
  <c r="F80" i="58"/>
  <c r="I80" i="58"/>
  <c r="L79" i="58"/>
  <c r="K79" i="58"/>
  <c r="F79" i="58"/>
  <c r="I79" i="58"/>
  <c r="L78" i="58"/>
  <c r="K78" i="58"/>
  <c r="F78" i="58"/>
  <c r="I78" i="58"/>
  <c r="L77" i="58"/>
  <c r="K77" i="58"/>
  <c r="F77" i="58"/>
  <c r="I77" i="58"/>
  <c r="L76" i="58"/>
  <c r="K76" i="58"/>
  <c r="F76" i="58"/>
  <c r="I76" i="58"/>
  <c r="L75" i="58"/>
  <c r="K75" i="58"/>
  <c r="F75" i="58"/>
  <c r="I75" i="58"/>
  <c r="L74" i="58"/>
  <c r="K74" i="58"/>
  <c r="F74" i="58"/>
  <c r="I74" i="58"/>
  <c r="L73" i="58"/>
  <c r="K73" i="58"/>
  <c r="F73" i="58"/>
  <c r="I73" i="58"/>
  <c r="L72" i="58"/>
  <c r="K72" i="58"/>
  <c r="F72" i="58"/>
  <c r="I72" i="58"/>
  <c r="L71" i="58"/>
  <c r="K71" i="58"/>
  <c r="F71" i="58"/>
  <c r="I71" i="58"/>
  <c r="L70" i="58"/>
  <c r="K70" i="58"/>
  <c r="F70" i="58"/>
  <c r="I70" i="58"/>
  <c r="L69" i="58"/>
  <c r="K69" i="58"/>
  <c r="F69" i="58"/>
  <c r="I69" i="58"/>
  <c r="L68" i="58"/>
  <c r="K68" i="58"/>
  <c r="F68" i="58"/>
  <c r="I68" i="58"/>
  <c r="L67" i="58"/>
  <c r="K67" i="58"/>
  <c r="F67" i="58"/>
  <c r="I67" i="58"/>
  <c r="L66" i="58"/>
  <c r="K66" i="58"/>
  <c r="F66" i="58"/>
  <c r="I66" i="58"/>
  <c r="L65" i="58"/>
  <c r="K65" i="58"/>
  <c r="F65" i="58"/>
  <c r="I65" i="58"/>
  <c r="L64" i="58"/>
  <c r="K64" i="58"/>
  <c r="F64" i="58"/>
  <c r="I64" i="58"/>
  <c r="L63" i="58"/>
  <c r="K63" i="58"/>
  <c r="F63" i="58"/>
  <c r="I63" i="58"/>
  <c r="L62" i="58"/>
  <c r="K62" i="58"/>
  <c r="F62" i="58"/>
  <c r="I62" i="58"/>
  <c r="L61" i="58"/>
  <c r="K61" i="58"/>
  <c r="F61" i="58"/>
  <c r="I61" i="58"/>
  <c r="L60" i="58"/>
  <c r="K60" i="58"/>
  <c r="F60" i="58"/>
  <c r="I60" i="58"/>
  <c r="L59" i="58"/>
  <c r="K59" i="58"/>
  <c r="F59" i="58"/>
  <c r="I59" i="58"/>
  <c r="L58" i="58"/>
  <c r="K58" i="58"/>
  <c r="F58" i="58"/>
  <c r="I58" i="58"/>
  <c r="L57" i="58"/>
  <c r="K57" i="58"/>
  <c r="F57" i="58"/>
  <c r="I57" i="58"/>
  <c r="L56" i="58"/>
  <c r="K56" i="58"/>
  <c r="F56" i="58"/>
  <c r="I56" i="58"/>
  <c r="L55" i="58"/>
  <c r="K55" i="58"/>
  <c r="F55" i="58"/>
  <c r="I55" i="58"/>
  <c r="L54" i="58"/>
  <c r="K54" i="58"/>
  <c r="F54" i="58"/>
  <c r="I54" i="58"/>
  <c r="L53" i="58"/>
  <c r="K53" i="58"/>
  <c r="F53" i="58"/>
  <c r="I53" i="58"/>
  <c r="L52" i="58"/>
  <c r="K52" i="58"/>
  <c r="F52" i="58"/>
  <c r="I52" i="58"/>
  <c r="L51" i="58"/>
  <c r="K51" i="58"/>
  <c r="F51" i="58"/>
  <c r="I51" i="58"/>
  <c r="L50" i="58"/>
  <c r="K50" i="58"/>
  <c r="F50" i="58"/>
  <c r="I50" i="58"/>
  <c r="L49" i="58"/>
  <c r="K49" i="58"/>
  <c r="F49" i="58"/>
  <c r="I49" i="58"/>
  <c r="L48" i="58"/>
  <c r="K48" i="58"/>
  <c r="F48" i="58"/>
  <c r="I48" i="58"/>
  <c r="L47" i="58"/>
  <c r="K47" i="58"/>
  <c r="F47" i="58"/>
  <c r="I47" i="58"/>
  <c r="L46" i="58"/>
  <c r="K46" i="58"/>
  <c r="F46" i="58"/>
  <c r="I46" i="58"/>
  <c r="L45" i="58"/>
  <c r="K45" i="58"/>
  <c r="F45" i="58"/>
  <c r="I45" i="58"/>
  <c r="L44" i="58"/>
  <c r="K44" i="58"/>
  <c r="F44" i="58"/>
  <c r="I44" i="58"/>
  <c r="L43" i="58"/>
  <c r="K43" i="58"/>
  <c r="F43" i="58"/>
  <c r="I43" i="58"/>
  <c r="L42" i="58"/>
  <c r="K42" i="58"/>
  <c r="F42" i="58"/>
  <c r="I42" i="58"/>
  <c r="L41" i="58"/>
  <c r="K41" i="58"/>
  <c r="F41" i="58"/>
  <c r="I41" i="58"/>
  <c r="L40" i="58"/>
  <c r="K40" i="58"/>
  <c r="F40" i="58"/>
  <c r="I40" i="58"/>
  <c r="L39" i="58"/>
  <c r="K39" i="58"/>
  <c r="F39" i="58"/>
  <c r="I39" i="58"/>
  <c r="L38" i="58"/>
  <c r="K38" i="58"/>
  <c r="F38" i="58"/>
  <c r="I38" i="58"/>
  <c r="L37" i="58"/>
  <c r="K37" i="58"/>
  <c r="F37" i="58"/>
  <c r="I37" i="58"/>
  <c r="L36" i="58"/>
  <c r="K36" i="58"/>
  <c r="F36" i="58"/>
  <c r="I36" i="58"/>
  <c r="L35" i="58"/>
  <c r="K35" i="58"/>
  <c r="F35" i="58"/>
  <c r="I35" i="58"/>
  <c r="L34" i="58"/>
  <c r="K34" i="58"/>
  <c r="F34" i="58"/>
  <c r="I34" i="58"/>
  <c r="L33" i="58"/>
  <c r="K33" i="58"/>
  <c r="F33" i="58"/>
  <c r="I33" i="58"/>
  <c r="L32" i="58"/>
  <c r="K32" i="58"/>
  <c r="F32" i="58"/>
  <c r="I32" i="58"/>
  <c r="L31" i="58"/>
  <c r="K31" i="58"/>
  <c r="F31" i="58"/>
  <c r="I31" i="58"/>
  <c r="L30" i="58"/>
  <c r="K30" i="58"/>
  <c r="F30" i="58"/>
  <c r="I30" i="58"/>
  <c r="L29" i="58"/>
  <c r="K29" i="58"/>
  <c r="F29" i="58"/>
  <c r="I29" i="58"/>
  <c r="L28" i="58"/>
  <c r="K28" i="58"/>
  <c r="F28" i="58"/>
  <c r="I28" i="58"/>
  <c r="L27" i="58"/>
  <c r="K27" i="58"/>
  <c r="F27" i="58"/>
  <c r="I27" i="58"/>
  <c r="L26" i="58"/>
  <c r="K26" i="58"/>
  <c r="F26" i="58"/>
  <c r="I26" i="58"/>
  <c r="L25" i="58"/>
  <c r="K25" i="58"/>
  <c r="F25" i="58"/>
  <c r="I25" i="58"/>
  <c r="L24" i="58"/>
  <c r="K24" i="58"/>
  <c r="F24" i="58"/>
  <c r="I24" i="58"/>
  <c r="L23" i="58"/>
  <c r="K23" i="58"/>
  <c r="F23" i="58"/>
  <c r="I23" i="58"/>
  <c r="L22" i="58"/>
  <c r="K22" i="58"/>
  <c r="F22" i="58"/>
  <c r="I22" i="58"/>
  <c r="L21" i="58"/>
  <c r="K21" i="58"/>
  <c r="F21" i="58"/>
  <c r="I21" i="58"/>
  <c r="L20" i="58"/>
  <c r="K20" i="58"/>
  <c r="F20" i="58"/>
  <c r="I20" i="58"/>
  <c r="L19" i="58"/>
  <c r="K19" i="58"/>
  <c r="F19" i="58"/>
  <c r="I19" i="58"/>
  <c r="L18" i="58"/>
  <c r="K18" i="58"/>
  <c r="F18" i="58"/>
  <c r="I18" i="58"/>
  <c r="L17" i="58"/>
  <c r="K17" i="58"/>
  <c r="F17" i="58"/>
  <c r="I17" i="58"/>
  <c r="L16" i="58"/>
  <c r="K16" i="58"/>
  <c r="F16" i="58"/>
  <c r="I16" i="58"/>
  <c r="L15" i="58"/>
  <c r="K15" i="58"/>
  <c r="F15" i="58"/>
  <c r="I15" i="58"/>
  <c r="L14" i="58"/>
  <c r="K14" i="58"/>
  <c r="F14" i="58"/>
  <c r="I14" i="58"/>
  <c r="L13" i="58"/>
  <c r="K13" i="58"/>
  <c r="F13" i="58"/>
  <c r="I13" i="58"/>
  <c r="X112" i="58"/>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c r="X208" i="58"/>
  <c r="X227" i="58"/>
  <c r="X238" i="58"/>
  <c r="X246" i="58"/>
  <c r="X254" i="58"/>
  <c r="X23" i="58"/>
  <c r="X31" i="58"/>
  <c r="X39" i="58"/>
  <c r="X47" i="58"/>
  <c r="X50" i="58"/>
  <c r="X58" i="58"/>
  <c r="X66" i="58"/>
  <c r="Y66" i="58"/>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K103" i="36" s="1"/>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c r="AY11" i="55"/>
  <c r="F12" i="55"/>
  <c r="I12" i="55"/>
  <c r="AY12" i="55"/>
  <c r="F13" i="55"/>
  <c r="I13" i="55"/>
  <c r="AY13" i="55"/>
  <c r="F14" i="55"/>
  <c r="I14" i="55"/>
  <c r="AY14" i="55"/>
  <c r="F15" i="55"/>
  <c r="I15" i="55"/>
  <c r="AY15" i="55"/>
  <c r="F16" i="55"/>
  <c r="I16" i="55"/>
  <c r="AY16" i="55"/>
  <c r="F17" i="55"/>
  <c r="I17" i="55"/>
  <c r="AY17" i="55"/>
  <c r="F18" i="55"/>
  <c r="I18" i="55"/>
  <c r="AY18" i="55"/>
  <c r="F19" i="55"/>
  <c r="I19" i="55"/>
  <c r="AY19" i="55"/>
  <c r="F20" i="55"/>
  <c r="I20" i="55"/>
  <c r="AY20" i="55"/>
  <c r="F21" i="55"/>
  <c r="I21" i="55"/>
  <c r="AY21" i="55"/>
  <c r="F22" i="55"/>
  <c r="I22" i="55"/>
  <c r="AY22" i="55"/>
  <c r="F23" i="55"/>
  <c r="I23" i="55"/>
  <c r="AY23" i="55"/>
  <c r="F24" i="55"/>
  <c r="I24" i="55"/>
  <c r="AY24" i="55"/>
  <c r="F25" i="55"/>
  <c r="I25" i="55"/>
  <c r="AY25" i="55"/>
  <c r="F26" i="55"/>
  <c r="I26" i="55"/>
  <c r="AY26" i="55"/>
  <c r="F27" i="55"/>
  <c r="I27" i="55"/>
  <c r="AY27" i="55"/>
  <c r="F28" i="55"/>
  <c r="I28" i="55"/>
  <c r="AY28" i="55"/>
  <c r="F29" i="55"/>
  <c r="I29" i="55"/>
  <c r="AY29" i="55"/>
  <c r="F30" i="55"/>
  <c r="I30" i="55"/>
  <c r="AY30" i="55"/>
  <c r="F31" i="55"/>
  <c r="I31" i="55"/>
  <c r="AY31" i="55"/>
  <c r="F32" i="55"/>
  <c r="I32" i="55"/>
  <c r="AY32" i="55"/>
  <c r="F33" i="55"/>
  <c r="I33" i="55"/>
  <c r="AY33" i="55"/>
  <c r="F34" i="55"/>
  <c r="I34" i="55"/>
  <c r="AY34" i="55"/>
  <c r="F35" i="55"/>
  <c r="I35" i="55"/>
  <c r="AY35" i="55"/>
  <c r="F36" i="55"/>
  <c r="I36" i="55"/>
  <c r="AY36" i="55"/>
  <c r="F37" i="55"/>
  <c r="I37" i="55"/>
  <c r="AY37" i="55"/>
  <c r="F38" i="55"/>
  <c r="I38" i="55"/>
  <c r="AY38" i="55"/>
  <c r="F39" i="55"/>
  <c r="I39" i="55"/>
  <c r="AY39" i="55"/>
  <c r="F40" i="55"/>
  <c r="I40" i="55"/>
  <c r="AY40" i="55"/>
  <c r="F41" i="55"/>
  <c r="I41" i="55"/>
  <c r="AY41" i="55"/>
  <c r="F42" i="55"/>
  <c r="I42" i="55"/>
  <c r="AY42" i="55"/>
  <c r="F43" i="55"/>
  <c r="I43" i="55"/>
  <c r="AY43" i="55"/>
  <c r="F44" i="55"/>
  <c r="I44" i="55"/>
  <c r="AY44" i="55"/>
  <c r="F45" i="55"/>
  <c r="I45" i="55"/>
  <c r="AY45" i="55"/>
  <c r="F46" i="55"/>
  <c r="I46" i="55"/>
  <c r="AY46" i="55"/>
  <c r="F47" i="55"/>
  <c r="I47" i="55"/>
  <c r="AY47" i="55"/>
  <c r="F48" i="55"/>
  <c r="I48" i="55"/>
  <c r="AY48" i="55"/>
  <c r="F49" i="55"/>
  <c r="I49" i="55"/>
  <c r="AY49" i="55"/>
  <c r="F50" i="55"/>
  <c r="I50" i="55"/>
  <c r="AY50" i="55"/>
  <c r="F51" i="55"/>
  <c r="I51" i="55"/>
  <c r="AY51" i="55"/>
  <c r="F52" i="55"/>
  <c r="I52" i="55"/>
  <c r="AY52" i="55"/>
  <c r="F53" i="55"/>
  <c r="I53" i="55"/>
  <c r="AY53" i="55"/>
  <c r="F54" i="55"/>
  <c r="I54" i="55"/>
  <c r="AY54" i="55"/>
  <c r="F55" i="55"/>
  <c r="I55" i="55"/>
  <c r="AY55" i="55"/>
  <c r="F56" i="55"/>
  <c r="I56" i="55"/>
  <c r="AY56" i="55"/>
  <c r="F57" i="55"/>
  <c r="I57" i="55"/>
  <c r="AY57" i="55"/>
  <c r="F58" i="55"/>
  <c r="I58" i="55"/>
  <c r="AY58" i="55"/>
  <c r="F59" i="55"/>
  <c r="I59" i="55"/>
  <c r="AY59" i="55"/>
  <c r="F60" i="55"/>
  <c r="I60" i="55"/>
  <c r="AY60" i="55"/>
  <c r="F61" i="55"/>
  <c r="I61" i="55"/>
  <c r="AY61" i="55"/>
  <c r="F62" i="55"/>
  <c r="I62" i="55"/>
  <c r="AY62" i="55"/>
  <c r="F63" i="55"/>
  <c r="I63" i="55"/>
  <c r="AY63" i="55"/>
  <c r="F64" i="55"/>
  <c r="I64" i="55"/>
  <c r="AY64" i="55"/>
  <c r="F65" i="55"/>
  <c r="I65" i="55"/>
  <c r="AY65" i="55"/>
  <c r="F66" i="55"/>
  <c r="I66" i="55"/>
  <c r="AY66" i="55"/>
  <c r="F67" i="55"/>
  <c r="I67" i="55"/>
  <c r="AY67" i="55"/>
  <c r="F68" i="55"/>
  <c r="I68" i="55"/>
  <c r="AY68" i="55"/>
  <c r="F69" i="55"/>
  <c r="I69" i="55"/>
  <c r="AY69" i="55"/>
  <c r="F70" i="55"/>
  <c r="I70" i="55"/>
  <c r="AY70" i="55"/>
  <c r="F71" i="55"/>
  <c r="I71" i="55"/>
  <c r="AY71" i="55"/>
  <c r="F72" i="55"/>
  <c r="I72" i="55"/>
  <c r="AY72" i="55"/>
  <c r="F73" i="55"/>
  <c r="I73" i="55"/>
  <c r="AY73" i="55"/>
  <c r="F74" i="55"/>
  <c r="I74" i="55"/>
  <c r="AY74" i="55"/>
  <c r="F75" i="55"/>
  <c r="I75" i="55"/>
  <c r="AY75" i="55"/>
  <c r="F76" i="55"/>
  <c r="I76" i="55"/>
  <c r="AY76" i="55"/>
  <c r="F77" i="55"/>
  <c r="I77" i="55"/>
  <c r="AY77" i="55"/>
  <c r="F78" i="55"/>
  <c r="I78" i="55"/>
  <c r="AY78" i="55"/>
  <c r="F79" i="55"/>
  <c r="I79" i="55"/>
  <c r="AY79" i="55"/>
  <c r="F80" i="55"/>
  <c r="I80" i="55"/>
  <c r="AY80" i="55"/>
  <c r="F81" i="55"/>
  <c r="I81" i="55"/>
  <c r="AY81" i="55"/>
  <c r="F82" i="55"/>
  <c r="I82" i="55"/>
  <c r="AY82" i="55"/>
  <c r="F83" i="55"/>
  <c r="I83" i="55"/>
  <c r="AY83" i="55"/>
  <c r="F84" i="55"/>
  <c r="I84" i="55"/>
  <c r="AY84" i="55"/>
  <c r="F85" i="55"/>
  <c r="I85" i="55"/>
  <c r="AY85" i="55"/>
  <c r="F86" i="55"/>
  <c r="I86" i="55"/>
  <c r="AY86" i="55"/>
  <c r="F87" i="55"/>
  <c r="I87" i="55"/>
  <c r="AY87" i="55"/>
  <c r="F88" i="55"/>
  <c r="I88" i="55"/>
  <c r="AY88" i="55"/>
  <c r="F89" i="55"/>
  <c r="I89" i="55"/>
  <c r="AY89" i="55"/>
  <c r="F90" i="55"/>
  <c r="I90" i="55"/>
  <c r="AY90" i="55"/>
  <c r="F91" i="55"/>
  <c r="I91" i="55"/>
  <c r="AY91" i="55"/>
  <c r="F92" i="55"/>
  <c r="I92" i="55"/>
  <c r="AY92" i="55"/>
  <c r="F93" i="55"/>
  <c r="I93" i="55"/>
  <c r="AY93" i="55"/>
  <c r="F94" i="55"/>
  <c r="I94" i="55"/>
  <c r="AY94" i="55"/>
  <c r="F95" i="55"/>
  <c r="I95" i="55"/>
  <c r="AY95" i="55"/>
  <c r="F96" i="55"/>
  <c r="I96" i="55"/>
  <c r="AY96" i="55"/>
  <c r="F97" i="55"/>
  <c r="I97" i="55"/>
  <c r="AY97" i="55"/>
  <c r="F98" i="55"/>
  <c r="I98" i="55"/>
  <c r="AY98" i="55"/>
  <c r="F99" i="55"/>
  <c r="I99" i="55"/>
  <c r="AY99" i="55"/>
  <c r="F100" i="55"/>
  <c r="I100" i="55"/>
  <c r="AY100" i="55"/>
  <c r="F101" i="55"/>
  <c r="I101" i="55"/>
  <c r="AY101" i="55"/>
  <c r="F102" i="55"/>
  <c r="I102" i="55"/>
  <c r="AY102" i="55"/>
  <c r="F103" i="55"/>
  <c r="I103" i="55"/>
  <c r="AY103" i="55"/>
  <c r="F104" i="55"/>
  <c r="I104" i="55"/>
  <c r="AY104" i="55"/>
  <c r="F105" i="55"/>
  <c r="I105" i="55"/>
  <c r="AY105" i="55"/>
  <c r="F106" i="55"/>
  <c r="I106" i="55"/>
  <c r="AY106" i="55"/>
  <c r="F107" i="55"/>
  <c r="I107" i="55"/>
  <c r="AY107" i="55"/>
  <c r="F108" i="55"/>
  <c r="I108" i="55"/>
  <c r="AY108" i="55"/>
  <c r="F109" i="55"/>
  <c r="I109" i="55"/>
  <c r="AY109" i="55"/>
  <c r="F110" i="55"/>
  <c r="I110" i="55"/>
  <c r="AY110" i="55"/>
  <c r="F111" i="55"/>
  <c r="I111" i="55"/>
  <c r="AY111" i="55"/>
  <c r="F112" i="55"/>
  <c r="I112" i="55"/>
  <c r="AY112" i="55"/>
  <c r="F113" i="55"/>
  <c r="I113" i="55"/>
  <c r="AY113" i="55"/>
  <c r="F114" i="55"/>
  <c r="I114" i="55"/>
  <c r="AY114" i="55"/>
  <c r="F115" i="55"/>
  <c r="I115" i="55"/>
  <c r="AY115" i="55"/>
  <c r="F116" i="55"/>
  <c r="I116" i="55"/>
  <c r="AY116" i="55"/>
  <c r="F117" i="55"/>
  <c r="I117" i="55"/>
  <c r="AY117" i="55"/>
  <c r="F118" i="55"/>
  <c r="I118" i="55"/>
  <c r="AY118" i="55"/>
  <c r="F119" i="55"/>
  <c r="I119" i="55"/>
  <c r="AY119" i="55"/>
  <c r="F120" i="55"/>
  <c r="I120" i="55"/>
  <c r="AY120" i="55"/>
  <c r="F121" i="55"/>
  <c r="I121" i="55"/>
  <c r="AY121" i="55"/>
  <c r="F122" i="55"/>
  <c r="I122" i="55"/>
  <c r="AY122" i="55"/>
  <c r="F123" i="55"/>
  <c r="I123" i="55"/>
  <c r="AY123" i="55"/>
  <c r="F124" i="55"/>
  <c r="I124" i="55"/>
  <c r="AY124" i="55"/>
  <c r="F125" i="55"/>
  <c r="I125" i="55"/>
  <c r="AY125" i="55"/>
  <c r="F126" i="55"/>
  <c r="I126" i="55"/>
  <c r="AY126" i="55"/>
  <c r="F127" i="55"/>
  <c r="I127" i="55"/>
  <c r="AY127" i="55"/>
  <c r="F128" i="55"/>
  <c r="I128" i="55"/>
  <c r="AY128" i="55"/>
  <c r="F129" i="55"/>
  <c r="I129" i="55"/>
  <c r="AY129" i="55"/>
  <c r="F130" i="55"/>
  <c r="I130" i="55"/>
  <c r="AY130" i="55"/>
  <c r="F131" i="55"/>
  <c r="I131" i="55"/>
  <c r="AY131" i="55"/>
  <c r="F132" i="55"/>
  <c r="I132" i="55"/>
  <c r="AY132" i="55"/>
  <c r="F133" i="55"/>
  <c r="I133" i="55"/>
  <c r="AY133" i="55"/>
  <c r="F134" i="55"/>
  <c r="I134" i="55"/>
  <c r="AY134" i="55"/>
  <c r="F135" i="55"/>
  <c r="I135" i="55"/>
  <c r="AY135" i="55"/>
  <c r="F136" i="55"/>
  <c r="I136" i="55"/>
  <c r="AY136" i="55"/>
  <c r="F137" i="55"/>
  <c r="I137" i="55"/>
  <c r="AY137" i="55"/>
  <c r="F138" i="55"/>
  <c r="I138" i="55"/>
  <c r="AY138" i="55"/>
  <c r="F139" i="55"/>
  <c r="I139" i="55"/>
  <c r="AY139" i="55"/>
  <c r="F140" i="55"/>
  <c r="I140" i="55"/>
  <c r="AY140" i="55"/>
  <c r="F141" i="55"/>
  <c r="I141" i="55"/>
  <c r="AY141" i="55"/>
  <c r="F142" i="55"/>
  <c r="I142" i="55"/>
  <c r="AY142" i="55"/>
  <c r="F143" i="55"/>
  <c r="I143" i="55"/>
  <c r="AY143" i="55"/>
  <c r="F144" i="55"/>
  <c r="I144" i="55"/>
  <c r="AY144" i="55"/>
  <c r="F145" i="55"/>
  <c r="I145" i="55"/>
  <c r="AY145" i="55"/>
  <c r="F146" i="55"/>
  <c r="I146" i="55"/>
  <c r="AY146" i="55"/>
  <c r="F147" i="55"/>
  <c r="I147" i="55"/>
  <c r="AY147" i="55"/>
  <c r="F148" i="55"/>
  <c r="I148" i="55"/>
  <c r="AY148" i="55"/>
  <c r="F149" i="55"/>
  <c r="I149" i="55"/>
  <c r="AY149" i="55"/>
  <c r="F150" i="55"/>
  <c r="I150" i="55"/>
  <c r="AY150" i="55"/>
  <c r="F151" i="55"/>
  <c r="I151" i="55"/>
  <c r="AY151" i="55"/>
  <c r="F152" i="55"/>
  <c r="I152" i="55"/>
  <c r="AY152" i="55"/>
  <c r="F153" i="55"/>
  <c r="I153" i="55"/>
  <c r="AY153" i="55"/>
  <c r="F154" i="55"/>
  <c r="I154" i="55"/>
  <c r="AY154" i="55"/>
  <c r="F155" i="55"/>
  <c r="I155" i="55"/>
  <c r="AY155" i="55"/>
  <c r="F156" i="55"/>
  <c r="I156" i="55"/>
  <c r="AY156" i="55"/>
  <c r="F157" i="55"/>
  <c r="I157" i="55"/>
  <c r="AY157" i="55"/>
  <c r="F158" i="55"/>
  <c r="I158" i="55"/>
  <c r="AY158" i="55"/>
  <c r="F159" i="55"/>
  <c r="I159" i="55"/>
  <c r="AY159" i="55"/>
  <c r="F160" i="55"/>
  <c r="I160" i="55"/>
  <c r="AY160" i="55"/>
  <c r="F161" i="55"/>
  <c r="I161" i="55"/>
  <c r="AY161" i="55"/>
  <c r="F162" i="55"/>
  <c r="I162" i="55"/>
  <c r="AY162" i="55"/>
  <c r="F163" i="55"/>
  <c r="I163" i="55"/>
  <c r="AY163" i="55"/>
  <c r="F164" i="55"/>
  <c r="I164" i="55"/>
  <c r="AY164" i="55"/>
  <c r="F165" i="55"/>
  <c r="I165" i="55"/>
  <c r="AY165" i="55"/>
  <c r="F166" i="55"/>
  <c r="I166" i="55"/>
  <c r="AY166" i="55"/>
  <c r="F167" i="55"/>
  <c r="I167" i="55"/>
  <c r="AY167" i="55"/>
  <c r="F168" i="55"/>
  <c r="I168" i="55"/>
  <c r="AY168" i="55"/>
  <c r="F169" i="55"/>
  <c r="I169" i="55"/>
  <c r="AY169" i="55"/>
  <c r="F170" i="55"/>
  <c r="I170" i="55"/>
  <c r="AY170" i="55"/>
  <c r="F171" i="55"/>
  <c r="I171" i="55"/>
  <c r="AY171" i="55"/>
  <c r="F172" i="55"/>
  <c r="I172" i="55"/>
  <c r="AY172" i="55"/>
  <c r="F173" i="55"/>
  <c r="I173" i="55"/>
  <c r="AY173" i="55"/>
  <c r="F174" i="55"/>
  <c r="I174" i="55"/>
  <c r="AY174" i="55"/>
  <c r="F175" i="55"/>
  <c r="I175" i="55"/>
  <c r="AY175" i="55"/>
  <c r="F176" i="55"/>
  <c r="I176" i="55"/>
  <c r="AY176" i="55"/>
  <c r="F177" i="55"/>
  <c r="I177" i="55"/>
  <c r="AY177" i="55"/>
  <c r="F178" i="55"/>
  <c r="I178" i="55"/>
  <c r="AY178" i="55"/>
  <c r="F179" i="55"/>
  <c r="I179" i="55"/>
  <c r="AY179" i="55"/>
  <c r="F180" i="55"/>
  <c r="I180" i="55"/>
  <c r="AY180" i="55"/>
  <c r="F181" i="55"/>
  <c r="I181" i="55"/>
  <c r="AY181" i="55"/>
  <c r="F182" i="55"/>
  <c r="I182" i="55"/>
  <c r="AY182" i="55"/>
  <c r="F183" i="55"/>
  <c r="I183" i="55"/>
  <c r="AY183" i="55"/>
  <c r="F184" i="55"/>
  <c r="I184" i="55"/>
  <c r="AY184" i="55"/>
  <c r="F185" i="55"/>
  <c r="I185" i="55"/>
  <c r="AY185" i="55"/>
  <c r="F186" i="55"/>
  <c r="I186" i="55"/>
  <c r="AY186" i="55"/>
  <c r="F187" i="55"/>
  <c r="I187" i="55"/>
  <c r="AY187" i="55"/>
  <c r="F188" i="55"/>
  <c r="I188" i="55"/>
  <c r="AY188" i="55"/>
  <c r="F189" i="55"/>
  <c r="I189" i="55"/>
  <c r="AY189" i="55"/>
  <c r="F190" i="55"/>
  <c r="I190" i="55"/>
  <c r="AY190" i="55"/>
  <c r="F191" i="55"/>
  <c r="I191" i="55"/>
  <c r="AY191" i="55"/>
  <c r="F192" i="55"/>
  <c r="I192" i="55"/>
  <c r="AY192" i="55"/>
  <c r="F193" i="55"/>
  <c r="I193" i="55"/>
  <c r="AY193" i="55"/>
  <c r="F194" i="55"/>
  <c r="I194" i="55"/>
  <c r="AY194" i="55"/>
  <c r="F195" i="55"/>
  <c r="I195" i="55"/>
  <c r="AY195" i="55"/>
  <c r="F196" i="55"/>
  <c r="I196" i="55"/>
  <c r="AY196" i="55"/>
  <c r="F197" i="55"/>
  <c r="I197" i="55"/>
  <c r="AY197" i="55"/>
  <c r="F198" i="55"/>
  <c r="I198" i="55"/>
  <c r="AY198" i="55"/>
  <c r="F199" i="55"/>
  <c r="I199" i="55"/>
  <c r="AY199" i="55"/>
  <c r="F200" i="55"/>
  <c r="I200" i="55"/>
  <c r="AY200" i="55"/>
  <c r="F201" i="55"/>
  <c r="I201" i="55"/>
  <c r="AY201" i="55"/>
  <c r="F202" i="55"/>
  <c r="I202" i="55"/>
  <c r="AY202" i="55"/>
  <c r="F203" i="55"/>
  <c r="I203" i="55"/>
  <c r="AY203" i="55"/>
  <c r="F204" i="55"/>
  <c r="I204" i="55"/>
  <c r="AY204" i="55"/>
  <c r="F205" i="55"/>
  <c r="I205" i="55"/>
  <c r="AY205" i="55"/>
  <c r="F206" i="55"/>
  <c r="I206" i="55"/>
  <c r="AY206" i="55"/>
  <c r="F207" i="55"/>
  <c r="I207" i="55"/>
  <c r="AY207" i="55"/>
  <c r="F208" i="55"/>
  <c r="I208" i="55"/>
  <c r="AY208" i="55"/>
  <c r="F209" i="55"/>
  <c r="I209" i="55"/>
  <c r="AY209" i="55"/>
  <c r="F210" i="55"/>
  <c r="I210" i="55"/>
  <c r="AY210" i="55"/>
  <c r="F211" i="55"/>
  <c r="I211" i="55"/>
  <c r="AY211" i="55"/>
  <c r="F212" i="55"/>
  <c r="I212" i="55"/>
  <c r="AY212" i="55"/>
  <c r="F213" i="55"/>
  <c r="I213" i="55"/>
  <c r="AY213" i="55"/>
  <c r="F214" i="55"/>
  <c r="I214" i="55"/>
  <c r="AY214" i="55"/>
  <c r="F215" i="55"/>
  <c r="I215" i="55"/>
  <c r="AY215" i="55"/>
  <c r="F216" i="55"/>
  <c r="I216" i="55"/>
  <c r="AY216" i="55"/>
  <c r="F217" i="55"/>
  <c r="I217" i="55"/>
  <c r="AY217" i="55"/>
  <c r="F218" i="55"/>
  <c r="I218" i="55"/>
  <c r="AY218" i="55"/>
  <c r="F219" i="55"/>
  <c r="I219" i="55"/>
  <c r="AY219" i="55"/>
  <c r="F220" i="55"/>
  <c r="I220" i="55"/>
  <c r="AY220" i="55"/>
  <c r="F221" i="55"/>
  <c r="I221" i="55"/>
  <c r="AY221" i="55"/>
  <c r="F222" i="55"/>
  <c r="I222" i="55"/>
  <c r="AY222" i="55"/>
  <c r="F223" i="55"/>
  <c r="I223" i="55"/>
  <c r="AY223" i="55"/>
  <c r="F224" i="55"/>
  <c r="I224" i="55"/>
  <c r="AY224" i="55"/>
  <c r="F225" i="55"/>
  <c r="I225" i="55"/>
  <c r="AY225" i="55"/>
  <c r="F226" i="55"/>
  <c r="I226" i="55"/>
  <c r="AY226" i="55"/>
  <c r="F227" i="55"/>
  <c r="I227" i="55"/>
  <c r="AY227" i="55"/>
  <c r="F228" i="55"/>
  <c r="I228" i="55"/>
  <c r="AY228" i="55"/>
  <c r="F229" i="55"/>
  <c r="I229" i="55"/>
  <c r="AY229" i="55"/>
  <c r="F230" i="55"/>
  <c r="I230" i="55"/>
  <c r="AY230" i="55"/>
  <c r="F231" i="55"/>
  <c r="I231" i="55"/>
  <c r="AY231" i="55"/>
  <c r="F232" i="55"/>
  <c r="I232" i="55"/>
  <c r="AY232" i="55"/>
  <c r="F233" i="55"/>
  <c r="I233" i="55"/>
  <c r="AY233" i="55"/>
  <c r="F234" i="55"/>
  <c r="I234" i="55"/>
  <c r="AY234" i="55"/>
  <c r="F235" i="55"/>
  <c r="I235" i="55"/>
  <c r="AY235" i="55"/>
  <c r="F236" i="55"/>
  <c r="I236" i="55"/>
  <c r="AY236" i="55"/>
  <c r="F237" i="55"/>
  <c r="I237" i="55"/>
  <c r="AY237" i="55"/>
  <c r="F238" i="55"/>
  <c r="I238" i="55"/>
  <c r="AY238" i="55"/>
  <c r="F239" i="55"/>
  <c r="I239" i="55"/>
  <c r="AY239" i="55"/>
  <c r="F240" i="55"/>
  <c r="I240" i="55"/>
  <c r="AY240" i="55"/>
  <c r="F241" i="55"/>
  <c r="I241" i="55"/>
  <c r="AY241" i="55"/>
  <c r="F242" i="55"/>
  <c r="I242" i="55"/>
  <c r="AY242" i="55"/>
  <c r="F243" i="55"/>
  <c r="I243" i="55"/>
  <c r="AY243" i="55"/>
  <c r="F244" i="55"/>
  <c r="I244" i="55"/>
  <c r="AY244" i="55"/>
  <c r="F245" i="55"/>
  <c r="I245" i="55"/>
  <c r="AY245" i="55"/>
  <c r="F246" i="55"/>
  <c r="I246" i="55"/>
  <c r="AY246" i="55"/>
  <c r="F247" i="55"/>
  <c r="I247" i="55"/>
  <c r="AY247" i="55"/>
  <c r="F248" i="55"/>
  <c r="I248" i="55"/>
  <c r="AY248" i="55"/>
  <c r="F249" i="55"/>
  <c r="I249" i="55"/>
  <c r="AY249" i="55"/>
  <c r="F250" i="55"/>
  <c r="I250" i="55"/>
  <c r="AY250" i="55"/>
  <c r="F251" i="55"/>
  <c r="I251" i="55"/>
  <c r="AY251" i="55"/>
  <c r="F252" i="55"/>
  <c r="I252" i="55"/>
  <c r="AY252" i="55"/>
  <c r="F253" i="55"/>
  <c r="I253" i="55"/>
  <c r="AY253" i="55"/>
  <c r="F254" i="55"/>
  <c r="I254" i="55"/>
  <c r="AY254" i="55"/>
  <c r="F255" i="55"/>
  <c r="I255" i="55"/>
  <c r="AY255" i="55"/>
  <c r="F256" i="55"/>
  <c r="I256" i="55"/>
  <c r="AY256" i="55"/>
  <c r="F257" i="55"/>
  <c r="I257" i="55"/>
  <c r="AY257" i="55"/>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c r="Q13" i="42" s="1"/>
  <c r="M14" i="42"/>
  <c r="P14" i="42" s="1"/>
  <c r="Q14" i="42" s="1"/>
  <c r="M15" i="42"/>
  <c r="P15" i="42"/>
  <c r="M16" i="42"/>
  <c r="P16" i="42"/>
  <c r="M17" i="42"/>
  <c r="P17" i="42"/>
  <c r="M18" i="42"/>
  <c r="P18" i="42"/>
  <c r="M19" i="42"/>
  <c r="P19" i="42"/>
  <c r="M20" i="42"/>
  <c r="P20" i="42"/>
  <c r="M21" i="42"/>
  <c r="P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F24" i="36" s="1"/>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c r="U252" i="42" s="1"/>
  <c r="P252" i="42"/>
  <c r="Q240" i="42"/>
  <c r="P240" i="42"/>
  <c r="Q232" i="42"/>
  <c r="U232" i="42"/>
  <c r="P232" i="42"/>
  <c r="Q220" i="42"/>
  <c r="U220" i="42" s="1"/>
  <c r="P220" i="42"/>
  <c r="Q212" i="42"/>
  <c r="U212" i="42"/>
  <c r="P212" i="42"/>
  <c r="Q200" i="42"/>
  <c r="P200" i="42"/>
  <c r="Q196" i="42"/>
  <c r="U196" i="42"/>
  <c r="P196" i="42"/>
  <c r="Q184" i="42"/>
  <c r="U184" i="42"/>
  <c r="P184" i="42"/>
  <c r="Q176" i="42"/>
  <c r="U176" i="42"/>
  <c r="P176" i="42"/>
  <c r="Q164" i="42"/>
  <c r="P164" i="42"/>
  <c r="Q156" i="42"/>
  <c r="U156" i="42"/>
  <c r="P156" i="42"/>
  <c r="Q144" i="42"/>
  <c r="P144" i="42"/>
  <c r="Q136" i="42"/>
  <c r="U136" i="42"/>
  <c r="P136" i="42"/>
  <c r="Q128" i="42"/>
  <c r="P128" i="42"/>
  <c r="Q120" i="42"/>
  <c r="U120" i="42"/>
  <c r="P120" i="42"/>
  <c r="Q108" i="42"/>
  <c r="U108" i="42"/>
  <c r="P108" i="42"/>
  <c r="Q92" i="42"/>
  <c r="U92" i="42"/>
  <c r="P92" i="42"/>
  <c r="Q84" i="42"/>
  <c r="P84" i="42"/>
  <c r="Q72" i="42"/>
  <c r="U72" i="42"/>
  <c r="P72" i="42"/>
  <c r="Q259" i="42"/>
  <c r="U259" i="42"/>
  <c r="P259" i="42"/>
  <c r="Q255" i="42"/>
  <c r="U255" i="42"/>
  <c r="P255" i="42"/>
  <c r="Q251" i="42"/>
  <c r="P251" i="42"/>
  <c r="Q247" i="42"/>
  <c r="U247" i="42"/>
  <c r="P247" i="42"/>
  <c r="Q243" i="42"/>
  <c r="U243" i="42"/>
  <c r="P243" i="42"/>
  <c r="Q239" i="42"/>
  <c r="P239" i="42"/>
  <c r="Q235" i="42"/>
  <c r="P235" i="42"/>
  <c r="Q231" i="42"/>
  <c r="U231" i="42"/>
  <c r="P231" i="42"/>
  <c r="Q227" i="42"/>
  <c r="U227" i="42"/>
  <c r="P227" i="42"/>
  <c r="Q223" i="42"/>
  <c r="U223" i="42"/>
  <c r="P223" i="42"/>
  <c r="Q219" i="42"/>
  <c r="P219" i="42"/>
  <c r="Q215" i="42"/>
  <c r="U215" i="42"/>
  <c r="P215" i="42"/>
  <c r="Q211" i="42"/>
  <c r="P211" i="42"/>
  <c r="Q207" i="42"/>
  <c r="P207" i="42"/>
  <c r="Q203" i="42"/>
  <c r="P203" i="42"/>
  <c r="Q199" i="42"/>
  <c r="U199" i="42"/>
  <c r="P199" i="42"/>
  <c r="Q195" i="42"/>
  <c r="U195" i="42" s="1"/>
  <c r="P195" i="42"/>
  <c r="Q191" i="42"/>
  <c r="U191" i="42" s="1"/>
  <c r="P191" i="42"/>
  <c r="Q187" i="42"/>
  <c r="P187" i="42"/>
  <c r="Q183" i="42"/>
  <c r="U183" i="42" s="1"/>
  <c r="P183" i="42"/>
  <c r="Q179" i="42"/>
  <c r="U179" i="42" s="1"/>
  <c r="P179" i="42"/>
  <c r="Q175" i="42"/>
  <c r="P175" i="42"/>
  <c r="Q171" i="42"/>
  <c r="P171" i="42"/>
  <c r="Q167" i="42"/>
  <c r="U167" i="42"/>
  <c r="P167" i="42"/>
  <c r="Q163" i="42"/>
  <c r="U163" i="42"/>
  <c r="P163" i="42"/>
  <c r="Q159" i="42"/>
  <c r="U159" i="42" s="1"/>
  <c r="P159" i="42"/>
  <c r="Q155" i="42"/>
  <c r="P155" i="42"/>
  <c r="Q151" i="42"/>
  <c r="U151" i="42"/>
  <c r="P151" i="42"/>
  <c r="Q147" i="42"/>
  <c r="P147" i="42"/>
  <c r="Q143" i="42"/>
  <c r="P143" i="42"/>
  <c r="Q139" i="42"/>
  <c r="P139" i="42"/>
  <c r="Q135" i="42"/>
  <c r="U135" i="42" s="1"/>
  <c r="P135" i="42"/>
  <c r="Q131" i="42"/>
  <c r="U131" i="42"/>
  <c r="P131" i="42"/>
  <c r="Q127" i="42"/>
  <c r="U127" i="42"/>
  <c r="P127" i="42"/>
  <c r="Q123" i="42"/>
  <c r="P123" i="42"/>
  <c r="Q119" i="42"/>
  <c r="U119" i="42"/>
  <c r="P119" i="42"/>
  <c r="Q115" i="42"/>
  <c r="U115" i="42"/>
  <c r="P115" i="42"/>
  <c r="Q111" i="42"/>
  <c r="P111" i="42"/>
  <c r="Q107" i="42"/>
  <c r="P107" i="42"/>
  <c r="Q103" i="42"/>
  <c r="U103" i="42" s="1"/>
  <c r="P103" i="42"/>
  <c r="Q99" i="42"/>
  <c r="U99" i="42" s="1"/>
  <c r="P99" i="42"/>
  <c r="Q95" i="42"/>
  <c r="U95" i="42"/>
  <c r="P95" i="42"/>
  <c r="Q91" i="42"/>
  <c r="P91" i="42"/>
  <c r="Q87" i="42"/>
  <c r="U87" i="42" s="1"/>
  <c r="P87" i="42"/>
  <c r="Q83" i="42"/>
  <c r="P83" i="42"/>
  <c r="Q79" i="42"/>
  <c r="P79" i="42"/>
  <c r="Q75" i="42"/>
  <c r="P75" i="42"/>
  <c r="Q71" i="42"/>
  <c r="U71" i="42"/>
  <c r="P71" i="42"/>
  <c r="Q67" i="42"/>
  <c r="U67" i="42"/>
  <c r="P67" i="42"/>
  <c r="Q63" i="42"/>
  <c r="U63" i="42"/>
  <c r="P63" i="42"/>
  <c r="Q59" i="42"/>
  <c r="P59" i="42"/>
  <c r="Q55" i="42"/>
  <c r="U55" i="42"/>
  <c r="P55" i="42"/>
  <c r="Q51" i="42"/>
  <c r="U51" i="42"/>
  <c r="P51" i="42"/>
  <c r="Q47" i="42"/>
  <c r="P47" i="42"/>
  <c r="Q43" i="42"/>
  <c r="P43" i="42"/>
  <c r="Q39" i="42"/>
  <c r="U39" i="42"/>
  <c r="P39" i="42"/>
  <c r="Q35" i="42"/>
  <c r="P35" i="42"/>
  <c r="Q31" i="42"/>
  <c r="P31" i="42"/>
  <c r="Q27" i="42"/>
  <c r="P27" i="42"/>
  <c r="Q23" i="42"/>
  <c r="P23" i="42"/>
  <c r="Q248" i="42"/>
  <c r="U248" i="42"/>
  <c r="P248" i="42"/>
  <c r="Q224" i="42"/>
  <c r="P224" i="42"/>
  <c r="Q208" i="42"/>
  <c r="P208" i="42"/>
  <c r="Q188" i="42"/>
  <c r="U188" i="42" s="1"/>
  <c r="P188" i="42"/>
  <c r="Q168" i="42"/>
  <c r="U168" i="42"/>
  <c r="P168" i="42"/>
  <c r="Q152" i="42"/>
  <c r="U152" i="42"/>
  <c r="P152" i="42"/>
  <c r="Q132" i="42"/>
  <c r="P132" i="42"/>
  <c r="Q112" i="42"/>
  <c r="U112" i="42"/>
  <c r="P112" i="42"/>
  <c r="Q100" i="42"/>
  <c r="U100" i="42"/>
  <c r="P100" i="42"/>
  <c r="Q80" i="42"/>
  <c r="U80" i="42"/>
  <c r="P80" i="42"/>
  <c r="Q64" i="42"/>
  <c r="P64" i="42"/>
  <c r="Q52" i="42"/>
  <c r="U52" i="42"/>
  <c r="P52" i="42"/>
  <c r="Q40" i="42"/>
  <c r="U40" i="42"/>
  <c r="P40" i="42"/>
  <c r="Q24" i="42"/>
  <c r="P24" i="42"/>
  <c r="Q250" i="42"/>
  <c r="P250" i="42"/>
  <c r="Q238" i="42"/>
  <c r="U238" i="42" s="1"/>
  <c r="P238" i="42"/>
  <c r="Q230" i="42"/>
  <c r="U230" i="42"/>
  <c r="P230" i="42"/>
  <c r="Q218" i="42"/>
  <c r="U218" i="42"/>
  <c r="P218" i="42"/>
  <c r="Q206" i="42"/>
  <c r="P206" i="42"/>
  <c r="Q198" i="42"/>
  <c r="U198" i="42"/>
  <c r="P198" i="42"/>
  <c r="Q186" i="42"/>
  <c r="U186" i="42"/>
  <c r="P186" i="42"/>
  <c r="Q174" i="42"/>
  <c r="U174" i="42"/>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c r="P58" i="42"/>
  <c r="Q22" i="42"/>
  <c r="P22" i="42"/>
  <c r="Q256" i="42"/>
  <c r="P256" i="42"/>
  <c r="Q244" i="42"/>
  <c r="P244" i="42"/>
  <c r="Q236" i="42"/>
  <c r="P236" i="42"/>
  <c r="Q228" i="42"/>
  <c r="U228" i="42"/>
  <c r="P228" i="42"/>
  <c r="Q216" i="42"/>
  <c r="U216" i="42" s="1"/>
  <c r="P216" i="42"/>
  <c r="Q204" i="42"/>
  <c r="P204" i="42"/>
  <c r="Q192" i="42"/>
  <c r="P192" i="42"/>
  <c r="Q180" i="42"/>
  <c r="U180" i="42"/>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c r="P234" i="42"/>
  <c r="Q226" i="42"/>
  <c r="U226" i="42"/>
  <c r="P226" i="42"/>
  <c r="Q222" i="42"/>
  <c r="U222" i="42"/>
  <c r="P222" i="42"/>
  <c r="Q214" i="42"/>
  <c r="P214" i="42"/>
  <c r="Q210" i="42"/>
  <c r="U210" i="42"/>
  <c r="P210" i="42"/>
  <c r="Q202" i="42"/>
  <c r="U202" i="42"/>
  <c r="P202" i="42"/>
  <c r="Q194" i="42"/>
  <c r="U194" i="42" s="1"/>
  <c r="P194" i="42"/>
  <c r="Q190" i="42"/>
  <c r="P190" i="42"/>
  <c r="Q182" i="42"/>
  <c r="P182" i="42"/>
  <c r="Q178" i="42"/>
  <c r="U178" i="42"/>
  <c r="P178" i="42"/>
  <c r="Q170" i="42"/>
  <c r="U170" i="42"/>
  <c r="P170" i="42"/>
  <c r="Q166" i="42"/>
  <c r="P166" i="42"/>
  <c r="Q158" i="42"/>
  <c r="U158" i="42"/>
  <c r="P158" i="42"/>
  <c r="Q154" i="42"/>
  <c r="U154" i="42"/>
  <c r="P154" i="42"/>
  <c r="Q146" i="42"/>
  <c r="P146" i="42"/>
  <c r="Q142" i="42"/>
  <c r="P142" i="42"/>
  <c r="Q134" i="42"/>
  <c r="U134" i="42" s="1"/>
  <c r="P134" i="42"/>
  <c r="Q126" i="42"/>
  <c r="U126" i="42"/>
  <c r="P126" i="42"/>
  <c r="Q122" i="42"/>
  <c r="U122" i="42"/>
  <c r="P122" i="42"/>
  <c r="Q114" i="42"/>
  <c r="P114" i="42"/>
  <c r="Q110" i="42"/>
  <c r="U110" i="42"/>
  <c r="P110" i="42"/>
  <c r="Q102" i="42"/>
  <c r="U102" i="42"/>
  <c r="P102" i="42"/>
  <c r="Q98" i="42"/>
  <c r="U98" i="42"/>
  <c r="P98" i="42"/>
  <c r="Q90" i="42"/>
  <c r="P90" i="42"/>
  <c r="Q82" i="42"/>
  <c r="P82" i="42"/>
  <c r="Q78" i="42"/>
  <c r="P78" i="42"/>
  <c r="Q70" i="42"/>
  <c r="U70" i="42" s="1"/>
  <c r="P70" i="42"/>
  <c r="Q66" i="42"/>
  <c r="P66" i="42"/>
  <c r="Q62" i="42"/>
  <c r="U62" i="42" s="1"/>
  <c r="P62" i="42"/>
  <c r="Q54" i="42"/>
  <c r="U54" i="42" s="1"/>
  <c r="P54" i="42"/>
  <c r="Q50" i="42"/>
  <c r="P50" i="42"/>
  <c r="Q46" i="42"/>
  <c r="P46" i="42"/>
  <c r="Q42" i="42"/>
  <c r="U42" i="42"/>
  <c r="P42" i="42"/>
  <c r="Q38" i="42"/>
  <c r="U38" i="42"/>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c r="P213" i="42"/>
  <c r="Q209" i="42"/>
  <c r="P209" i="42"/>
  <c r="Q205" i="42"/>
  <c r="U205" i="42"/>
  <c r="P205" i="42"/>
  <c r="Q201" i="42"/>
  <c r="P201" i="42"/>
  <c r="Q197" i="42"/>
  <c r="U197" i="42"/>
  <c r="P197" i="42"/>
  <c r="Q193" i="42"/>
  <c r="U193" i="42"/>
  <c r="P193" i="42"/>
  <c r="Q189" i="42"/>
  <c r="P189" i="42"/>
  <c r="Q185" i="42"/>
  <c r="U185" i="42"/>
  <c r="P185" i="42"/>
  <c r="Q181" i="42"/>
  <c r="U181" i="42"/>
  <c r="P181" i="42"/>
  <c r="Q177" i="42"/>
  <c r="U177" i="42"/>
  <c r="P177" i="42"/>
  <c r="Q173" i="42"/>
  <c r="U173" i="42"/>
  <c r="P173" i="42"/>
  <c r="Q169" i="42"/>
  <c r="P169" i="42"/>
  <c r="Q165" i="42"/>
  <c r="U165" i="42"/>
  <c r="P165" i="42"/>
  <c r="Q161" i="42"/>
  <c r="U161" i="42"/>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c r="P117" i="42"/>
  <c r="Q113" i="42"/>
  <c r="P113" i="42"/>
  <c r="Q109" i="42"/>
  <c r="U109" i="42" s="1"/>
  <c r="P109" i="42"/>
  <c r="Q105" i="42"/>
  <c r="P105" i="42"/>
  <c r="Q101" i="42"/>
  <c r="U101" i="42" s="1"/>
  <c r="P101" i="42"/>
  <c r="Q97" i="42"/>
  <c r="U97" i="42" s="1"/>
  <c r="P97" i="42"/>
  <c r="Q93" i="42"/>
  <c r="U93" i="42"/>
  <c r="P93" i="42"/>
  <c r="Q89" i="42"/>
  <c r="P89" i="42"/>
  <c r="Q85" i="42"/>
  <c r="U85" i="42" s="1"/>
  <c r="P85" i="42"/>
  <c r="Q81" i="42"/>
  <c r="U81" i="42"/>
  <c r="P81" i="42"/>
  <c r="Q77" i="42"/>
  <c r="U77" i="42"/>
  <c r="P77" i="42"/>
  <c r="Q73" i="42"/>
  <c r="P73" i="42"/>
  <c r="Q69" i="42"/>
  <c r="U69" i="42"/>
  <c r="P69" i="42"/>
  <c r="Q65" i="42"/>
  <c r="U65" i="42"/>
  <c r="P65" i="42"/>
  <c r="Q61" i="42"/>
  <c r="U61" i="42"/>
  <c r="P61" i="42"/>
  <c r="Q57" i="42"/>
  <c r="P57" i="42"/>
  <c r="Q53" i="42"/>
  <c r="U53" i="42"/>
  <c r="P53" i="42"/>
  <c r="Q49" i="42"/>
  <c r="U49" i="42"/>
  <c r="P49" i="42"/>
  <c r="Q45" i="42"/>
  <c r="U45" i="42" s="1"/>
  <c r="P45" i="42"/>
  <c r="Q41" i="42"/>
  <c r="U41" i="42" s="1"/>
  <c r="P41" i="42"/>
  <c r="Q37" i="42"/>
  <c r="P37" i="42"/>
  <c r="Q33" i="42"/>
  <c r="P33" i="42"/>
  <c r="Q29" i="42"/>
  <c r="P29" i="42"/>
  <c r="Q25" i="42"/>
  <c r="P25" i="42"/>
  <c r="N254" i="55"/>
  <c r="X254" i="55"/>
  <c r="N234" i="55"/>
  <c r="X234" i="55"/>
  <c r="N222" i="55"/>
  <c r="X222" i="55"/>
  <c r="N202" i="55"/>
  <c r="X202" i="55"/>
  <c r="N182" i="55"/>
  <c r="X182" i="55"/>
  <c r="N162" i="55"/>
  <c r="X162" i="55"/>
  <c r="N142" i="55"/>
  <c r="X142" i="55"/>
  <c r="N122" i="55"/>
  <c r="X122" i="55"/>
  <c r="N102" i="55"/>
  <c r="X102" i="55"/>
  <c r="N86" i="55"/>
  <c r="X86" i="55"/>
  <c r="N62" i="55"/>
  <c r="X62" i="55"/>
  <c r="N50" i="55"/>
  <c r="X50" i="55"/>
  <c r="N30" i="55"/>
  <c r="X30" i="55"/>
  <c r="N18" i="55"/>
  <c r="X18" i="55"/>
  <c r="N14" i="55"/>
  <c r="X14" i="55"/>
  <c r="N257" i="55"/>
  <c r="X257" i="55"/>
  <c r="N253" i="55"/>
  <c r="X253" i="55"/>
  <c r="N249" i="55"/>
  <c r="X249" i="55"/>
  <c r="N245" i="55"/>
  <c r="X245" i="55"/>
  <c r="N241" i="55"/>
  <c r="X241" i="55"/>
  <c r="N237" i="55"/>
  <c r="X237" i="55"/>
  <c r="N233" i="55"/>
  <c r="X233" i="55"/>
  <c r="N229" i="55"/>
  <c r="X229" i="55"/>
  <c r="N225" i="55"/>
  <c r="X225" i="55"/>
  <c r="N221" i="55"/>
  <c r="X221" i="55"/>
  <c r="N217" i="55"/>
  <c r="X217" i="55"/>
  <c r="N213" i="55"/>
  <c r="X213" i="55"/>
  <c r="N209" i="55"/>
  <c r="X209" i="55"/>
  <c r="N205" i="55"/>
  <c r="X205" i="55"/>
  <c r="N201" i="55"/>
  <c r="X201" i="55"/>
  <c r="N197" i="55"/>
  <c r="X197" i="55"/>
  <c r="N193" i="55"/>
  <c r="X193" i="55"/>
  <c r="N189" i="55"/>
  <c r="X189" i="55"/>
  <c r="N185" i="55"/>
  <c r="X185" i="55"/>
  <c r="N181" i="55"/>
  <c r="X181" i="55"/>
  <c r="N177" i="55"/>
  <c r="X177" i="55"/>
  <c r="N173" i="55"/>
  <c r="X173" i="55"/>
  <c r="N169" i="55"/>
  <c r="X169" i="55"/>
  <c r="N165" i="55"/>
  <c r="X165" i="55"/>
  <c r="N161" i="55"/>
  <c r="X161" i="55"/>
  <c r="N157" i="55"/>
  <c r="X157" i="55"/>
  <c r="N153" i="55"/>
  <c r="X153" i="55"/>
  <c r="N149" i="55"/>
  <c r="X149" i="55"/>
  <c r="N145" i="55"/>
  <c r="X145" i="55"/>
  <c r="N141" i="55"/>
  <c r="X141" i="55"/>
  <c r="N137" i="55"/>
  <c r="X137" i="55"/>
  <c r="N133" i="55"/>
  <c r="X133" i="55"/>
  <c r="N129" i="55"/>
  <c r="X129" i="55"/>
  <c r="N125" i="55"/>
  <c r="X125" i="55"/>
  <c r="N121" i="55"/>
  <c r="X121" i="55"/>
  <c r="N117" i="55"/>
  <c r="X117" i="55"/>
  <c r="N113" i="55"/>
  <c r="X113" i="55"/>
  <c r="N109" i="55"/>
  <c r="X109" i="55"/>
  <c r="N105" i="55"/>
  <c r="X105" i="55"/>
  <c r="N101" i="55"/>
  <c r="X101" i="55"/>
  <c r="N97" i="55"/>
  <c r="X97" i="55"/>
  <c r="N93" i="55"/>
  <c r="X93" i="55"/>
  <c r="N89" i="55"/>
  <c r="X89" i="55"/>
  <c r="N85" i="55"/>
  <c r="X85" i="55"/>
  <c r="N81" i="55"/>
  <c r="X81" i="55"/>
  <c r="N77" i="55"/>
  <c r="X77" i="55"/>
  <c r="N73" i="55"/>
  <c r="X73" i="55"/>
  <c r="N69" i="55"/>
  <c r="X69" i="55"/>
  <c r="N65" i="55"/>
  <c r="X65" i="55"/>
  <c r="N61" i="55"/>
  <c r="X61" i="55"/>
  <c r="N57" i="55"/>
  <c r="X57" i="55"/>
  <c r="N53" i="55"/>
  <c r="X53" i="55"/>
  <c r="N49" i="55"/>
  <c r="X49" i="55"/>
  <c r="N45" i="55"/>
  <c r="X45" i="55"/>
  <c r="N41" i="55"/>
  <c r="X41" i="55"/>
  <c r="N37" i="55"/>
  <c r="X37" i="55"/>
  <c r="N33" i="55"/>
  <c r="X33" i="55"/>
  <c r="N29" i="55"/>
  <c r="X29" i="55"/>
  <c r="N25" i="55"/>
  <c r="X25" i="55"/>
  <c r="N21" i="55"/>
  <c r="X21" i="55"/>
  <c r="N17" i="55"/>
  <c r="X17" i="55"/>
  <c r="N13" i="55"/>
  <c r="X13" i="55"/>
  <c r="N250" i="55"/>
  <c r="X250" i="55"/>
  <c r="N238" i="55"/>
  <c r="X238" i="55"/>
  <c r="N226" i="55"/>
  <c r="X226" i="55"/>
  <c r="N214" i="55"/>
  <c r="X214" i="55"/>
  <c r="N206" i="55"/>
  <c r="X206" i="55"/>
  <c r="N198" i="55"/>
  <c r="X198" i="55"/>
  <c r="N186" i="55"/>
  <c r="X186" i="55"/>
  <c r="N178" i="55"/>
  <c r="X178" i="55"/>
  <c r="N166" i="55"/>
  <c r="X166" i="55"/>
  <c r="N154" i="55"/>
  <c r="X154" i="55"/>
  <c r="N150" i="55"/>
  <c r="X150" i="55"/>
  <c r="N138" i="55"/>
  <c r="X138" i="55"/>
  <c r="N130" i="55"/>
  <c r="X130" i="55"/>
  <c r="N114" i="55"/>
  <c r="X114" i="55"/>
  <c r="N106" i="55"/>
  <c r="X106" i="55"/>
  <c r="N94" i="55"/>
  <c r="X94" i="55"/>
  <c r="N82" i="55"/>
  <c r="X82" i="55"/>
  <c r="N74" i="55"/>
  <c r="X74" i="55"/>
  <c r="N66" i="55"/>
  <c r="X66" i="55"/>
  <c r="N54" i="55"/>
  <c r="X54" i="55"/>
  <c r="N42" i="55"/>
  <c r="X42" i="55"/>
  <c r="N34" i="55"/>
  <c r="X34" i="55"/>
  <c r="N22" i="55"/>
  <c r="X22" i="55"/>
  <c r="N256" i="55"/>
  <c r="X256" i="55"/>
  <c r="N252" i="55"/>
  <c r="X252" i="55"/>
  <c r="N248" i="55"/>
  <c r="X248" i="55"/>
  <c r="N244" i="55"/>
  <c r="X244" i="55"/>
  <c r="N240" i="55"/>
  <c r="X240" i="55"/>
  <c r="N236" i="55"/>
  <c r="X236" i="55"/>
  <c r="N232" i="55"/>
  <c r="X232" i="55"/>
  <c r="N228" i="55"/>
  <c r="X228" i="55"/>
  <c r="N224" i="55"/>
  <c r="X224" i="55"/>
  <c r="N220" i="55"/>
  <c r="X220" i="55"/>
  <c r="N216" i="55"/>
  <c r="X216" i="55"/>
  <c r="N212" i="55"/>
  <c r="X212" i="55"/>
  <c r="N208" i="55"/>
  <c r="X208" i="55"/>
  <c r="N204" i="55"/>
  <c r="X204" i="55"/>
  <c r="N200" i="55"/>
  <c r="X200" i="55"/>
  <c r="N196" i="55"/>
  <c r="X196" i="55"/>
  <c r="N192" i="55"/>
  <c r="X192" i="55"/>
  <c r="N188" i="55"/>
  <c r="X188" i="55"/>
  <c r="N184" i="55"/>
  <c r="X184" i="55"/>
  <c r="N180" i="55"/>
  <c r="X180" i="55"/>
  <c r="N176" i="55"/>
  <c r="X176" i="55"/>
  <c r="N172" i="55"/>
  <c r="X172" i="55"/>
  <c r="N168" i="55"/>
  <c r="X168" i="55"/>
  <c r="N164" i="55"/>
  <c r="X164" i="55"/>
  <c r="N160" i="55"/>
  <c r="X160" i="55"/>
  <c r="N156" i="55"/>
  <c r="X156" i="55"/>
  <c r="N152" i="55"/>
  <c r="X152" i="55"/>
  <c r="N148" i="55"/>
  <c r="X148" i="55"/>
  <c r="N144" i="55"/>
  <c r="X144" i="55"/>
  <c r="N140" i="55"/>
  <c r="X140" i="55"/>
  <c r="N136" i="55"/>
  <c r="X136" i="55"/>
  <c r="N132" i="55"/>
  <c r="X132" i="55"/>
  <c r="N128" i="55"/>
  <c r="X128" i="55"/>
  <c r="N124" i="55"/>
  <c r="X124" i="55"/>
  <c r="N120" i="55"/>
  <c r="X120" i="55"/>
  <c r="N116" i="55"/>
  <c r="X116" i="55"/>
  <c r="N112" i="55"/>
  <c r="X112" i="55"/>
  <c r="N108" i="55"/>
  <c r="X108" i="55"/>
  <c r="N104" i="55"/>
  <c r="X104" i="55"/>
  <c r="N100" i="55"/>
  <c r="X100" i="55"/>
  <c r="N96" i="55"/>
  <c r="X96" i="55"/>
  <c r="N92" i="55"/>
  <c r="X92" i="55"/>
  <c r="N88" i="55"/>
  <c r="X88" i="55"/>
  <c r="N84" i="55"/>
  <c r="X84" i="55"/>
  <c r="N80" i="55"/>
  <c r="X80" i="55"/>
  <c r="N76" i="55"/>
  <c r="X76" i="55"/>
  <c r="N72" i="55"/>
  <c r="X72" i="55"/>
  <c r="N68" i="55"/>
  <c r="X68" i="55"/>
  <c r="N64" i="55"/>
  <c r="X64" i="55"/>
  <c r="N60" i="55"/>
  <c r="X60" i="55"/>
  <c r="N56" i="55"/>
  <c r="X56" i="55"/>
  <c r="N52" i="55"/>
  <c r="X52" i="55"/>
  <c r="N48" i="55"/>
  <c r="X48" i="55"/>
  <c r="N44" i="55"/>
  <c r="X44" i="55"/>
  <c r="N40" i="55"/>
  <c r="X40" i="55"/>
  <c r="N36" i="55"/>
  <c r="X36" i="55"/>
  <c r="N32" i="55"/>
  <c r="X32" i="55"/>
  <c r="N28" i="55"/>
  <c r="X28" i="55"/>
  <c r="N24" i="55"/>
  <c r="X24" i="55"/>
  <c r="N20" i="55"/>
  <c r="X20" i="55"/>
  <c r="N16" i="55"/>
  <c r="X16" i="55"/>
  <c r="N12" i="55"/>
  <c r="X12" i="55"/>
  <c r="N246" i="55"/>
  <c r="X246" i="55"/>
  <c r="N242" i="55"/>
  <c r="X242" i="55"/>
  <c r="N230" i="55"/>
  <c r="X230" i="55"/>
  <c r="N218" i="55"/>
  <c r="X218" i="55"/>
  <c r="N210" i="55"/>
  <c r="X210" i="55"/>
  <c r="N194" i="55"/>
  <c r="X194" i="55"/>
  <c r="N190" i="55"/>
  <c r="X190" i="55"/>
  <c r="N174" i="55"/>
  <c r="X174" i="55"/>
  <c r="N170" i="55"/>
  <c r="X170" i="55"/>
  <c r="N158" i="55"/>
  <c r="X158" i="55"/>
  <c r="N146" i="55"/>
  <c r="X146" i="55"/>
  <c r="N134" i="55"/>
  <c r="X134" i="55"/>
  <c r="N126" i="55"/>
  <c r="X126" i="55"/>
  <c r="N118" i="55"/>
  <c r="X118" i="55"/>
  <c r="N110" i="55"/>
  <c r="X110" i="55"/>
  <c r="N98" i="55"/>
  <c r="X98" i="55"/>
  <c r="N90" i="55"/>
  <c r="X90" i="55"/>
  <c r="N78" i="55"/>
  <c r="X78" i="55"/>
  <c r="N70" i="55"/>
  <c r="X70" i="55"/>
  <c r="N58" i="55"/>
  <c r="X58" i="55"/>
  <c r="N46" i="55"/>
  <c r="X46" i="55"/>
  <c r="N38" i="55"/>
  <c r="X38" i="55"/>
  <c r="N26" i="55"/>
  <c r="X26" i="55"/>
  <c r="N255" i="55"/>
  <c r="X255" i="55"/>
  <c r="N251" i="55"/>
  <c r="X251" i="55"/>
  <c r="N247" i="55"/>
  <c r="X247" i="55"/>
  <c r="N243" i="55"/>
  <c r="X243" i="55"/>
  <c r="N239" i="55"/>
  <c r="X239" i="55"/>
  <c r="N235" i="55"/>
  <c r="X235" i="55"/>
  <c r="N231" i="55"/>
  <c r="X231" i="55"/>
  <c r="N227" i="55"/>
  <c r="X227" i="55"/>
  <c r="N223" i="55"/>
  <c r="X223" i="55"/>
  <c r="N219" i="55"/>
  <c r="X219" i="55"/>
  <c r="N215" i="55"/>
  <c r="X215" i="55"/>
  <c r="N211" i="55"/>
  <c r="X211" i="55"/>
  <c r="N207" i="55"/>
  <c r="X207" i="55"/>
  <c r="N203" i="55"/>
  <c r="X203" i="55"/>
  <c r="N199" i="55"/>
  <c r="X199" i="55"/>
  <c r="N195" i="55"/>
  <c r="X195" i="55"/>
  <c r="N191" i="55"/>
  <c r="X191" i="55"/>
  <c r="N187" i="55"/>
  <c r="X187" i="55"/>
  <c r="N183" i="55"/>
  <c r="X183" i="55"/>
  <c r="N179" i="55"/>
  <c r="X179" i="55"/>
  <c r="N175" i="55"/>
  <c r="X175" i="55"/>
  <c r="N171" i="55"/>
  <c r="X171" i="55"/>
  <c r="N167" i="55"/>
  <c r="X167" i="55"/>
  <c r="N163" i="55"/>
  <c r="X163" i="55"/>
  <c r="N159" i="55"/>
  <c r="X159" i="55"/>
  <c r="N155" i="55"/>
  <c r="X155" i="55"/>
  <c r="N151" i="55"/>
  <c r="X151" i="55"/>
  <c r="N147" i="55"/>
  <c r="X147" i="55"/>
  <c r="N143" i="55"/>
  <c r="X143" i="55"/>
  <c r="N139" i="55"/>
  <c r="X139" i="55"/>
  <c r="N135" i="55"/>
  <c r="X135" i="55"/>
  <c r="N131" i="55"/>
  <c r="X131" i="55"/>
  <c r="N127" i="55"/>
  <c r="X127" i="55"/>
  <c r="N123" i="55"/>
  <c r="X123" i="55"/>
  <c r="N119" i="55"/>
  <c r="X119" i="55"/>
  <c r="N115" i="55"/>
  <c r="X115" i="55"/>
  <c r="N111" i="55"/>
  <c r="X111" i="55"/>
  <c r="N107" i="55"/>
  <c r="X107" i="55"/>
  <c r="N103" i="55"/>
  <c r="X103" i="55"/>
  <c r="N99" i="55"/>
  <c r="X99" i="55"/>
  <c r="N95" i="55"/>
  <c r="X95" i="55"/>
  <c r="N91" i="55"/>
  <c r="X91" i="55"/>
  <c r="N87" i="55"/>
  <c r="X87" i="55"/>
  <c r="N83" i="55"/>
  <c r="X83" i="55"/>
  <c r="N79" i="55"/>
  <c r="X79" i="55"/>
  <c r="N75" i="55"/>
  <c r="X75" i="55"/>
  <c r="N71" i="55"/>
  <c r="X71" i="55"/>
  <c r="N67" i="55"/>
  <c r="X67" i="55"/>
  <c r="N63" i="55"/>
  <c r="X63" i="55"/>
  <c r="N59" i="55"/>
  <c r="X59" i="55"/>
  <c r="N55" i="55"/>
  <c r="X55" i="55"/>
  <c r="N51" i="55"/>
  <c r="X51" i="55"/>
  <c r="N47" i="55"/>
  <c r="X47" i="55"/>
  <c r="N43" i="55"/>
  <c r="X43" i="55"/>
  <c r="N39" i="55"/>
  <c r="X39" i="55"/>
  <c r="N35" i="55"/>
  <c r="X35" i="55"/>
  <c r="N31" i="55"/>
  <c r="X31" i="55"/>
  <c r="N27" i="55"/>
  <c r="X27" i="55"/>
  <c r="N23" i="55"/>
  <c r="X23" i="55"/>
  <c r="N19" i="55"/>
  <c r="X19" i="55"/>
  <c r="N15" i="55"/>
  <c r="X15" i="55"/>
  <c r="T156" i="22"/>
  <c r="N11" i="55"/>
  <c r="X11" i="55"/>
  <c r="U11" i="55"/>
  <c r="R257" i="42"/>
  <c r="W257" i="42" s="1"/>
  <c r="R253" i="42"/>
  <c r="W253" i="42" s="1"/>
  <c r="R249" i="42"/>
  <c r="W249" i="42"/>
  <c r="R245" i="42"/>
  <c r="W245" i="42" s="1"/>
  <c r="R241" i="42"/>
  <c r="W241" i="42" s="1"/>
  <c r="R237" i="42"/>
  <c r="W237" i="42" s="1"/>
  <c r="R233" i="42"/>
  <c r="W233" i="42"/>
  <c r="R229" i="42"/>
  <c r="W229" i="42" s="1"/>
  <c r="R225" i="42"/>
  <c r="W225" i="42" s="1"/>
  <c r="R221" i="42"/>
  <c r="W221" i="42" s="1"/>
  <c r="R217" i="42"/>
  <c r="W217" i="42"/>
  <c r="R213" i="42"/>
  <c r="W213" i="42" s="1"/>
  <c r="R209" i="42"/>
  <c r="W209" i="42" s="1"/>
  <c r="R205" i="42"/>
  <c r="W205" i="42" s="1"/>
  <c r="R201" i="42"/>
  <c r="W201" i="42"/>
  <c r="R197" i="42"/>
  <c r="W197" i="42" s="1"/>
  <c r="R193" i="42"/>
  <c r="W193" i="42" s="1"/>
  <c r="R189" i="42"/>
  <c r="W189" i="42" s="1"/>
  <c r="R185" i="42"/>
  <c r="W185" i="42"/>
  <c r="R181" i="42"/>
  <c r="W181" i="42" s="1"/>
  <c r="R177" i="42"/>
  <c r="W177" i="42" s="1"/>
  <c r="R173" i="42"/>
  <c r="W173" i="42" s="1"/>
  <c r="R169" i="42"/>
  <c r="W169" i="42"/>
  <c r="R165" i="42"/>
  <c r="W165" i="42" s="1"/>
  <c r="R161" i="42"/>
  <c r="W161" i="42" s="1"/>
  <c r="R157" i="42"/>
  <c r="W157" i="42" s="1"/>
  <c r="R153" i="42"/>
  <c r="W153" i="42"/>
  <c r="R149" i="42"/>
  <c r="W149" i="42" s="1"/>
  <c r="R145" i="42"/>
  <c r="W145" i="42" s="1"/>
  <c r="R141" i="42"/>
  <c r="W141" i="42" s="1"/>
  <c r="R137" i="42"/>
  <c r="W137" i="42"/>
  <c r="R133" i="42"/>
  <c r="W133" i="42" s="1"/>
  <c r="R129" i="42"/>
  <c r="W129" i="42" s="1"/>
  <c r="R125" i="42"/>
  <c r="W125" i="42" s="1"/>
  <c r="R121" i="42"/>
  <c r="W121" i="42"/>
  <c r="R117" i="42"/>
  <c r="W117" i="42" s="1"/>
  <c r="R113" i="42"/>
  <c r="W113" i="42" s="1"/>
  <c r="R109" i="42"/>
  <c r="W109" i="42" s="1"/>
  <c r="R105" i="42"/>
  <c r="W105" i="42"/>
  <c r="R101" i="42"/>
  <c r="W101" i="42" s="1"/>
  <c r="R97" i="42"/>
  <c r="W97" i="42" s="1"/>
  <c r="R93" i="42"/>
  <c r="W93" i="42" s="1"/>
  <c r="R89" i="42"/>
  <c r="W89" i="42"/>
  <c r="R85" i="42"/>
  <c r="W85" i="42" s="1"/>
  <c r="R81" i="42"/>
  <c r="W81" i="42" s="1"/>
  <c r="R77" i="42"/>
  <c r="W77" i="42" s="1"/>
  <c r="R73" i="42"/>
  <c r="W73" i="42"/>
  <c r="R69" i="42"/>
  <c r="W69" i="42" s="1"/>
  <c r="R65" i="42"/>
  <c r="W65" i="42" s="1"/>
  <c r="R61" i="42"/>
  <c r="W61" i="42" s="1"/>
  <c r="R57" i="42"/>
  <c r="W57" i="42"/>
  <c r="R53" i="42"/>
  <c r="W53" i="42" s="1"/>
  <c r="R49" i="42"/>
  <c r="W49" i="42" s="1"/>
  <c r="R45" i="42"/>
  <c r="W45" i="42" s="1"/>
  <c r="R41" i="42"/>
  <c r="W41" i="42"/>
  <c r="R37" i="42"/>
  <c r="W37" i="42" s="1"/>
  <c r="R33" i="42"/>
  <c r="W33" i="42" s="1"/>
  <c r="R29" i="42"/>
  <c r="W29" i="42" s="1"/>
  <c r="R25" i="42"/>
  <c r="W25" i="42"/>
  <c r="R256" i="42"/>
  <c r="W256" i="42" s="1"/>
  <c r="R252" i="42"/>
  <c r="W252" i="42" s="1"/>
  <c r="R248" i="42"/>
  <c r="W248" i="42" s="1"/>
  <c r="R244" i="42"/>
  <c r="W244" i="42"/>
  <c r="R240" i="42"/>
  <c r="W240" i="42" s="1"/>
  <c r="R236" i="42"/>
  <c r="W236" i="42" s="1"/>
  <c r="R232" i="42"/>
  <c r="W232" i="42" s="1"/>
  <c r="R228" i="42"/>
  <c r="W228" i="42"/>
  <c r="R224" i="42"/>
  <c r="W224" i="42" s="1"/>
  <c r="R220" i="42"/>
  <c r="W220" i="42" s="1"/>
  <c r="R216" i="42"/>
  <c r="W216" i="42" s="1"/>
  <c r="R212" i="42"/>
  <c r="W212" i="42"/>
  <c r="R208" i="42"/>
  <c r="W208" i="42" s="1"/>
  <c r="R204" i="42"/>
  <c r="W204" i="42" s="1"/>
  <c r="R200" i="42"/>
  <c r="W200" i="42" s="1"/>
  <c r="R196" i="42"/>
  <c r="W196" i="42"/>
  <c r="R192" i="42"/>
  <c r="W192" i="42" s="1"/>
  <c r="R188" i="42"/>
  <c r="W188" i="42" s="1"/>
  <c r="R184" i="42"/>
  <c r="W184" i="42" s="1"/>
  <c r="R180" i="42"/>
  <c r="W180" i="42"/>
  <c r="R176" i="42"/>
  <c r="W176" i="42" s="1"/>
  <c r="R172" i="42"/>
  <c r="W172" i="42" s="1"/>
  <c r="R168" i="42"/>
  <c r="W168" i="42" s="1"/>
  <c r="R164" i="42"/>
  <c r="W164" i="42"/>
  <c r="R160" i="42"/>
  <c r="W160" i="42" s="1"/>
  <c r="R156" i="42"/>
  <c r="W156" i="42" s="1"/>
  <c r="R152" i="42"/>
  <c r="W152" i="42" s="1"/>
  <c r="R148" i="42"/>
  <c r="W148" i="42"/>
  <c r="R144" i="42"/>
  <c r="W144" i="42" s="1"/>
  <c r="R140" i="42"/>
  <c r="W140" i="42" s="1"/>
  <c r="R136" i="42"/>
  <c r="W136" i="42" s="1"/>
  <c r="R132" i="42"/>
  <c r="W132" i="42"/>
  <c r="R128" i="42"/>
  <c r="W128" i="42" s="1"/>
  <c r="R124" i="42"/>
  <c r="W124" i="42" s="1"/>
  <c r="R120" i="42"/>
  <c r="W120" i="42" s="1"/>
  <c r="R116" i="42"/>
  <c r="W116" i="42"/>
  <c r="R112" i="42"/>
  <c r="W112" i="42" s="1"/>
  <c r="R108" i="42"/>
  <c r="W108" i="42" s="1"/>
  <c r="R104" i="42"/>
  <c r="W104" i="42" s="1"/>
  <c r="R100" i="42"/>
  <c r="W100" i="42"/>
  <c r="R96" i="42"/>
  <c r="W96" i="42" s="1"/>
  <c r="R92" i="42"/>
  <c r="W92" i="42" s="1"/>
  <c r="R88" i="42"/>
  <c r="W88" i="42" s="1"/>
  <c r="R84" i="42"/>
  <c r="W84" i="42"/>
  <c r="R80" i="42"/>
  <c r="W80" i="42" s="1"/>
  <c r="R76" i="42"/>
  <c r="W76" i="42" s="1"/>
  <c r="R72" i="42"/>
  <c r="W72" i="42" s="1"/>
  <c r="R68" i="42"/>
  <c r="W68" i="42"/>
  <c r="R64" i="42"/>
  <c r="W64" i="42" s="1"/>
  <c r="R60" i="42"/>
  <c r="W60" i="42" s="1"/>
  <c r="R56" i="42"/>
  <c r="W56" i="42" s="1"/>
  <c r="R52" i="42"/>
  <c r="W52" i="42"/>
  <c r="R48" i="42"/>
  <c r="W48" i="42" s="1"/>
  <c r="R44" i="42"/>
  <c r="W44" i="42" s="1"/>
  <c r="R40" i="42"/>
  <c r="W40" i="42" s="1"/>
  <c r="R36" i="42"/>
  <c r="W36" i="42"/>
  <c r="R32" i="42"/>
  <c r="W32" i="42" s="1"/>
  <c r="R28" i="42"/>
  <c r="W28" i="42" s="1"/>
  <c r="R24" i="42"/>
  <c r="W24" i="42" s="1"/>
  <c r="R259" i="42"/>
  <c r="W259" i="42"/>
  <c r="R255" i="42"/>
  <c r="W255" i="42" s="1"/>
  <c r="R251" i="42"/>
  <c r="W251" i="42" s="1"/>
  <c r="R247" i="42"/>
  <c r="W247" i="42" s="1"/>
  <c r="R243" i="42"/>
  <c r="W243" i="42"/>
  <c r="R239" i="42"/>
  <c r="W239" i="42" s="1"/>
  <c r="R235" i="42"/>
  <c r="W235" i="42" s="1"/>
  <c r="R231" i="42"/>
  <c r="W231" i="42" s="1"/>
  <c r="R227" i="42"/>
  <c r="W227" i="42"/>
  <c r="R223" i="42"/>
  <c r="W223" i="42" s="1"/>
  <c r="R219" i="42"/>
  <c r="W219" i="42" s="1"/>
  <c r="R215" i="42"/>
  <c r="W215" i="42" s="1"/>
  <c r="R211" i="42"/>
  <c r="W211" i="42"/>
  <c r="R207" i="42"/>
  <c r="W207" i="42" s="1"/>
  <c r="R203" i="42"/>
  <c r="W203" i="42" s="1"/>
  <c r="R199" i="42"/>
  <c r="W199" i="42" s="1"/>
  <c r="R195" i="42"/>
  <c r="W195" i="42"/>
  <c r="R191" i="42"/>
  <c r="W191" i="42" s="1"/>
  <c r="R187" i="42"/>
  <c r="W187" i="42" s="1"/>
  <c r="R183" i="42"/>
  <c r="W183" i="42" s="1"/>
  <c r="R179" i="42"/>
  <c r="W179" i="42"/>
  <c r="R175" i="42"/>
  <c r="W175" i="42" s="1"/>
  <c r="R171" i="42"/>
  <c r="W171" i="42" s="1"/>
  <c r="R167" i="42"/>
  <c r="W167" i="42" s="1"/>
  <c r="R163" i="42"/>
  <c r="W163" i="42"/>
  <c r="R159" i="42"/>
  <c r="W159" i="42" s="1"/>
  <c r="R155" i="42"/>
  <c r="W155" i="42" s="1"/>
  <c r="R151" i="42"/>
  <c r="W151" i="42" s="1"/>
  <c r="R147" i="42"/>
  <c r="W147" i="42"/>
  <c r="R143" i="42"/>
  <c r="W143" i="42" s="1"/>
  <c r="R139" i="42"/>
  <c r="W139" i="42" s="1"/>
  <c r="R135" i="42"/>
  <c r="W135" i="42" s="1"/>
  <c r="R131" i="42"/>
  <c r="W131" i="42"/>
  <c r="R127" i="42"/>
  <c r="W127" i="42" s="1"/>
  <c r="R123" i="42"/>
  <c r="W123" i="42" s="1"/>
  <c r="R119" i="42"/>
  <c r="W119" i="42" s="1"/>
  <c r="R115" i="42"/>
  <c r="W115" i="42"/>
  <c r="R111" i="42"/>
  <c r="W111" i="42" s="1"/>
  <c r="R107" i="42"/>
  <c r="W107" i="42" s="1"/>
  <c r="R103" i="42"/>
  <c r="W103" i="42" s="1"/>
  <c r="R99" i="42"/>
  <c r="W99" i="42"/>
  <c r="R95" i="42"/>
  <c r="W95" i="42" s="1"/>
  <c r="R91" i="42"/>
  <c r="W91" i="42" s="1"/>
  <c r="R87" i="42"/>
  <c r="W87" i="42" s="1"/>
  <c r="R83" i="42"/>
  <c r="W83" i="42"/>
  <c r="R79" i="42"/>
  <c r="W79" i="42" s="1"/>
  <c r="R75" i="42"/>
  <c r="W75" i="42" s="1"/>
  <c r="R71" i="42"/>
  <c r="W71" i="42" s="1"/>
  <c r="R67" i="42"/>
  <c r="W67" i="42"/>
  <c r="R63" i="42"/>
  <c r="W63" i="42" s="1"/>
  <c r="R59" i="42"/>
  <c r="W59" i="42" s="1"/>
  <c r="R55" i="42"/>
  <c r="W55" i="42" s="1"/>
  <c r="R51" i="42"/>
  <c r="W51" i="42"/>
  <c r="R47" i="42"/>
  <c r="W47" i="42" s="1"/>
  <c r="R43" i="42"/>
  <c r="W43" i="42" s="1"/>
  <c r="R39" i="42"/>
  <c r="W39" i="42" s="1"/>
  <c r="R35" i="42"/>
  <c r="W35" i="42"/>
  <c r="R31" i="42"/>
  <c r="W31" i="42" s="1"/>
  <c r="R27" i="42"/>
  <c r="W27" i="42" s="1"/>
  <c r="R23" i="42"/>
  <c r="W23" i="42" s="1"/>
  <c r="R258" i="42"/>
  <c r="W258" i="42"/>
  <c r="R254" i="42"/>
  <c r="W254" i="42" s="1"/>
  <c r="R250" i="42"/>
  <c r="W250" i="42" s="1"/>
  <c r="R246" i="42"/>
  <c r="W246" i="42" s="1"/>
  <c r="R242" i="42"/>
  <c r="W242" i="42"/>
  <c r="R238" i="42"/>
  <c r="W238" i="42" s="1"/>
  <c r="R234" i="42"/>
  <c r="W234" i="42" s="1"/>
  <c r="R230" i="42"/>
  <c r="W230" i="42" s="1"/>
  <c r="R226" i="42"/>
  <c r="W226" i="42"/>
  <c r="R222" i="42"/>
  <c r="W222" i="42" s="1"/>
  <c r="R218" i="42"/>
  <c r="W218" i="42" s="1"/>
  <c r="R214" i="42"/>
  <c r="W214" i="42" s="1"/>
  <c r="R210" i="42"/>
  <c r="W210" i="42"/>
  <c r="R206" i="42"/>
  <c r="W206" i="42" s="1"/>
  <c r="R202" i="42"/>
  <c r="W202" i="42" s="1"/>
  <c r="R198" i="42"/>
  <c r="W198" i="42" s="1"/>
  <c r="R194" i="42"/>
  <c r="W194" i="42"/>
  <c r="R190" i="42"/>
  <c r="W190" i="42" s="1"/>
  <c r="R186" i="42"/>
  <c r="W186" i="42" s="1"/>
  <c r="R182" i="42"/>
  <c r="W182" i="42" s="1"/>
  <c r="R178" i="42"/>
  <c r="W178" i="42"/>
  <c r="R174" i="42"/>
  <c r="W174" i="42" s="1"/>
  <c r="R170" i="42"/>
  <c r="W170" i="42" s="1"/>
  <c r="R166" i="42"/>
  <c r="W166" i="42" s="1"/>
  <c r="R162" i="42"/>
  <c r="W162" i="42"/>
  <c r="R158" i="42"/>
  <c r="W158" i="42" s="1"/>
  <c r="R154" i="42"/>
  <c r="W154" i="42" s="1"/>
  <c r="R150" i="42"/>
  <c r="W150" i="42" s="1"/>
  <c r="R146" i="42"/>
  <c r="W146" i="42"/>
  <c r="R142" i="42"/>
  <c r="W142" i="42" s="1"/>
  <c r="R138" i="42"/>
  <c r="W138" i="42" s="1"/>
  <c r="R134" i="42"/>
  <c r="W134" i="42" s="1"/>
  <c r="R130" i="42"/>
  <c r="W130" i="42"/>
  <c r="R126" i="42"/>
  <c r="W126" i="42" s="1"/>
  <c r="R122" i="42"/>
  <c r="W122" i="42" s="1"/>
  <c r="R118" i="42"/>
  <c r="W118" i="42" s="1"/>
  <c r="R114" i="42"/>
  <c r="W114" i="42"/>
  <c r="R110" i="42"/>
  <c r="W110" i="42" s="1"/>
  <c r="R106" i="42"/>
  <c r="W106" i="42" s="1"/>
  <c r="R102" i="42"/>
  <c r="W102" i="42" s="1"/>
  <c r="R98" i="42"/>
  <c r="W98" i="42"/>
  <c r="R94" i="42"/>
  <c r="W94" i="42" s="1"/>
  <c r="R90" i="42"/>
  <c r="W90" i="42" s="1"/>
  <c r="R86" i="42"/>
  <c r="W86" i="42" s="1"/>
  <c r="R82" i="42"/>
  <c r="W82" i="42"/>
  <c r="R78" i="42"/>
  <c r="W78" i="42" s="1"/>
  <c r="R74" i="42"/>
  <c r="W74" i="42" s="1"/>
  <c r="R70" i="42"/>
  <c r="W70" i="42" s="1"/>
  <c r="R66" i="42"/>
  <c r="W66" i="42"/>
  <c r="R62" i="42"/>
  <c r="W62" i="42" s="1"/>
  <c r="R58" i="42"/>
  <c r="W58" i="42" s="1"/>
  <c r="R54" i="42"/>
  <c r="W54" i="42" s="1"/>
  <c r="R50" i="42"/>
  <c r="W50" i="42"/>
  <c r="R46" i="42"/>
  <c r="W46" i="42" s="1"/>
  <c r="R42" i="42"/>
  <c r="W42" i="42" s="1"/>
  <c r="R38" i="42"/>
  <c r="W38" i="42" s="1"/>
  <c r="R34" i="42"/>
  <c r="W34" i="42"/>
  <c r="R30" i="42"/>
  <c r="W30" i="42" s="1"/>
  <c r="R26" i="42"/>
  <c r="W26" i="42" s="1"/>
  <c r="R22" i="42"/>
  <c r="W22" i="42" s="1"/>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c r="W19" i="42"/>
  <c r="U189" i="42"/>
  <c r="T29" i="42"/>
  <c r="U29" i="42" s="1"/>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74" i="52"/>
  <c r="U174" i="52" s="1"/>
  <c r="N110" i="52"/>
  <c r="U110" i="52" s="1"/>
  <c r="N26" i="52"/>
  <c r="R26" i="52"/>
  <c r="S26" i="52"/>
  <c r="N46" i="52"/>
  <c r="U46" i="52" s="1"/>
  <c r="N214" i="52"/>
  <c r="U214" i="52" s="1"/>
  <c r="N150" i="52"/>
  <c r="U150" i="52" s="1"/>
  <c r="N208" i="52"/>
  <c r="U208" i="52" s="1"/>
  <c r="N144" i="52"/>
  <c r="U144" i="52" s="1"/>
  <c r="N80" i="52"/>
  <c r="U80" i="52" s="1"/>
  <c r="N240" i="52"/>
  <c r="U240" i="52"/>
  <c r="N206" i="52"/>
  <c r="U206" i="52" s="1"/>
  <c r="N176" i="52"/>
  <c r="U176" i="52" s="1"/>
  <c r="N142" i="52"/>
  <c r="U142" i="52"/>
  <c r="N112" i="52"/>
  <c r="U112" i="52" s="1"/>
  <c r="N78" i="52"/>
  <c r="U78" i="52" s="1"/>
  <c r="N58" i="52"/>
  <c r="U58" i="52" s="1"/>
  <c r="N48" i="52"/>
  <c r="U48" i="52" s="1"/>
  <c r="N10" i="52"/>
  <c r="I150" i="22"/>
  <c r="N16" i="52"/>
  <c r="R16" i="52"/>
  <c r="H156" i="22" s="1"/>
  <c r="S16" i="52"/>
  <c r="F21" i="36"/>
  <c r="N216" i="52"/>
  <c r="U216" i="52" s="1"/>
  <c r="N184" i="52"/>
  <c r="U184" i="52" s="1"/>
  <c r="N152" i="52"/>
  <c r="U152" i="52"/>
  <c r="N120" i="52"/>
  <c r="U120" i="52" s="1"/>
  <c r="N88" i="52"/>
  <c r="U88" i="52" s="1"/>
  <c r="N56" i="52"/>
  <c r="U56" i="52" s="1"/>
  <c r="N24" i="52"/>
  <c r="R24" i="52"/>
  <c r="S24" i="52"/>
  <c r="N224" i="52"/>
  <c r="U224" i="52" s="1"/>
  <c r="N192" i="52"/>
  <c r="U192" i="52"/>
  <c r="N160" i="52"/>
  <c r="U160" i="52" s="1"/>
  <c r="N128" i="52"/>
  <c r="U128" i="52" s="1"/>
  <c r="N96" i="52"/>
  <c r="U96" i="52" s="1"/>
  <c r="N64" i="52"/>
  <c r="U64" i="52" s="1"/>
  <c r="N32" i="52"/>
  <c r="U32" i="52" s="1"/>
  <c r="N248" i="52"/>
  <c r="U248" i="52" s="1"/>
  <c r="N256" i="52"/>
  <c r="U256" i="52"/>
  <c r="N232" i="52"/>
  <c r="U232" i="52" s="1"/>
  <c r="N200" i="52"/>
  <c r="U200" i="52" s="1"/>
  <c r="N168" i="52"/>
  <c r="U168" i="52" s="1"/>
  <c r="N136" i="52"/>
  <c r="U136" i="52" s="1"/>
  <c r="N104" i="52"/>
  <c r="U104" i="52"/>
  <c r="N72" i="52"/>
  <c r="U72" i="52" s="1"/>
  <c r="N40" i="52"/>
  <c r="U40" i="52" s="1"/>
  <c r="N86" i="52"/>
  <c r="U86" i="52"/>
  <c r="N22" i="52"/>
  <c r="R22" i="52"/>
  <c r="S22" i="52"/>
  <c r="N254" i="52"/>
  <c r="U254" i="52" s="1"/>
  <c r="N190" i="52"/>
  <c r="U190" i="52" s="1"/>
  <c r="N126" i="52"/>
  <c r="U126" i="52" s="1"/>
  <c r="N62" i="52"/>
  <c r="U62" i="52" s="1"/>
  <c r="N246" i="52"/>
  <c r="U246" i="52" s="1"/>
  <c r="N182" i="52"/>
  <c r="U182" i="52" s="1"/>
  <c r="N172" i="52"/>
  <c r="U172" i="52" s="1"/>
  <c r="N118" i="52"/>
  <c r="U118" i="52" s="1"/>
  <c r="N54" i="52"/>
  <c r="U54" i="52" s="1"/>
  <c r="N34" i="52"/>
  <c r="U34" i="52" s="1"/>
  <c r="N198" i="52"/>
  <c r="U198" i="52" s="1"/>
  <c r="N134" i="52"/>
  <c r="U134" i="52" s="1"/>
  <c r="N114" i="52"/>
  <c r="U114" i="52" s="1"/>
  <c r="N70" i="52"/>
  <c r="U70" i="52" s="1"/>
  <c r="N230" i="52"/>
  <c r="U230" i="52" s="1"/>
  <c r="N210" i="52"/>
  <c r="U210" i="52" s="1"/>
  <c r="N166" i="52"/>
  <c r="U166" i="52" s="1"/>
  <c r="N102" i="52"/>
  <c r="U102" i="52" s="1"/>
  <c r="N38" i="52"/>
  <c r="U38" i="52" s="1"/>
  <c r="N28" i="52"/>
  <c r="F156" i="22" s="1"/>
  <c r="D106" i="36" s="1"/>
  <c r="D146" i="36" s="1"/>
  <c r="R28" i="52"/>
  <c r="S28" i="52"/>
  <c r="N18" i="52"/>
  <c r="R18" i="52"/>
  <c r="U18" i="52" s="1"/>
  <c r="S18" i="52"/>
  <c r="N222" i="52"/>
  <c r="U222" i="52" s="1"/>
  <c r="N212" i="52"/>
  <c r="U212" i="52" s="1"/>
  <c r="N158" i="52"/>
  <c r="U158" i="52" s="1"/>
  <c r="N94" i="52"/>
  <c r="U94" i="52" s="1"/>
  <c r="N30" i="52"/>
  <c r="U30" i="52" s="1"/>
  <c r="N20" i="52"/>
  <c r="R20" i="52"/>
  <c r="S20" i="52"/>
  <c r="F27" i="36"/>
  <c r="N12" i="52"/>
  <c r="R12" i="52"/>
  <c r="H159" i="22" s="1"/>
  <c r="S12" i="52"/>
  <c r="N11" i="52"/>
  <c r="N14" i="52"/>
  <c r="F157" i="22" s="1"/>
  <c r="D107" i="36" s="1"/>
  <c r="D147" i="36" s="1"/>
  <c r="R14" i="52"/>
  <c r="H157" i="22" s="1"/>
  <c r="S14" i="52"/>
  <c r="U227" i="55"/>
  <c r="X12" i="58"/>
  <c r="S238" i="52"/>
  <c r="R238" i="52"/>
  <c r="S206" i="52"/>
  <c r="R206" i="52"/>
  <c r="S158" i="52"/>
  <c r="R158" i="52"/>
  <c r="S142" i="52"/>
  <c r="R142" i="52"/>
  <c r="S250" i="52"/>
  <c r="S186" i="52"/>
  <c r="S122" i="52"/>
  <c r="S58" i="52"/>
  <c r="S144" i="52"/>
  <c r="R144" i="52"/>
  <c r="S80" i="52"/>
  <c r="R80" i="52"/>
  <c r="S64" i="52"/>
  <c r="R64" i="52"/>
  <c r="S224" i="52"/>
  <c r="R224" i="52"/>
  <c r="S48" i="52"/>
  <c r="R48" i="52"/>
  <c r="S32" i="52"/>
  <c r="R32"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04" i="52"/>
  <c r="S140" i="52"/>
  <c r="S76" i="52"/>
  <c r="S240" i="52"/>
  <c r="R240" i="52"/>
  <c r="S208" i="52"/>
  <c r="R208" i="52"/>
  <c r="S112" i="52"/>
  <c r="R112" i="52"/>
  <c r="S96" i="52"/>
  <c r="R96" i="52"/>
  <c r="S242" i="52"/>
  <c r="S178" i="52"/>
  <c r="S114" i="52"/>
  <c r="S50"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60" i="52"/>
  <c r="R160" i="52"/>
  <c r="S174" i="52"/>
  <c r="R174" i="52"/>
  <c r="S244" i="52"/>
  <c r="S180" i="52"/>
  <c r="S116" i="52"/>
  <c r="S52"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c r="N251" i="52"/>
  <c r="U251" i="52" s="1"/>
  <c r="N247" i="52"/>
  <c r="U247" i="52" s="1"/>
  <c r="N243" i="52"/>
  <c r="U243" i="52" s="1"/>
  <c r="N239" i="52"/>
  <c r="U239" i="52"/>
  <c r="N235" i="52"/>
  <c r="U235" i="52" s="1"/>
  <c r="N231" i="52"/>
  <c r="U231" i="52" s="1"/>
  <c r="N227" i="52"/>
  <c r="U227" i="52" s="1"/>
  <c r="N223" i="52"/>
  <c r="U223" i="52" s="1"/>
  <c r="N219" i="52"/>
  <c r="U219" i="52" s="1"/>
  <c r="N215" i="52"/>
  <c r="U215" i="52" s="1"/>
  <c r="N211" i="52"/>
  <c r="U211" i="52"/>
  <c r="N207" i="52"/>
  <c r="U207" i="52" s="1"/>
  <c r="N203" i="52"/>
  <c r="U203" i="52" s="1"/>
  <c r="N199" i="52"/>
  <c r="U199" i="52"/>
  <c r="N195" i="52"/>
  <c r="U195" i="52" s="1"/>
  <c r="N191" i="52"/>
  <c r="U191" i="52" s="1"/>
  <c r="N187" i="52"/>
  <c r="U187" i="52" s="1"/>
  <c r="N183" i="52"/>
  <c r="U183" i="52" s="1"/>
  <c r="N179" i="52"/>
  <c r="U179" i="52" s="1"/>
  <c r="N175" i="52"/>
  <c r="U175" i="52"/>
  <c r="N171" i="52"/>
  <c r="U171" i="52" s="1"/>
  <c r="N167" i="52"/>
  <c r="U167" i="52" s="1"/>
  <c r="N163" i="52"/>
  <c r="U163" i="52"/>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c r="N51" i="52"/>
  <c r="U51" i="52" s="1"/>
  <c r="N47" i="52"/>
  <c r="U47" i="52" s="1"/>
  <c r="N43" i="52"/>
  <c r="U43" i="52" s="1"/>
  <c r="N39" i="52"/>
  <c r="U39" i="52" s="1"/>
  <c r="N35" i="52"/>
  <c r="U35" i="52" s="1"/>
  <c r="N31" i="52"/>
  <c r="U31" i="52" s="1"/>
  <c r="N27" i="52"/>
  <c r="R27" i="52"/>
  <c r="S27" i="52"/>
  <c r="N23" i="52"/>
  <c r="R23" i="52"/>
  <c r="S23" i="52"/>
  <c r="N19" i="52"/>
  <c r="R19" i="52"/>
  <c r="H154" i="22" s="1"/>
  <c r="S19" i="52"/>
  <c r="N15" i="52"/>
  <c r="R15" i="52"/>
  <c r="S15" i="52"/>
  <c r="N253" i="52"/>
  <c r="U253" i="52" s="1"/>
  <c r="N249" i="52"/>
  <c r="U249" i="52" s="1"/>
  <c r="N245" i="52"/>
  <c r="U245" i="52" s="1"/>
  <c r="N237" i="52"/>
  <c r="U237" i="52" s="1"/>
  <c r="N229" i="52"/>
  <c r="U229" i="52" s="1"/>
  <c r="N221" i="52"/>
  <c r="U221" i="52" s="1"/>
  <c r="N213" i="52"/>
  <c r="U213" i="52" s="1"/>
  <c r="N205" i="52"/>
  <c r="U205" i="52" s="1"/>
  <c r="N197" i="52"/>
  <c r="U197" i="52" s="1"/>
  <c r="N189" i="52"/>
  <c r="U189" i="52" s="1"/>
  <c r="N181" i="52"/>
  <c r="U181" i="52" s="1"/>
  <c r="N173" i="52"/>
  <c r="U173" i="52" s="1"/>
  <c r="N169" i="52"/>
  <c r="U169" i="52" s="1"/>
  <c r="N165" i="52"/>
  <c r="U165" i="52" s="1"/>
  <c r="N157" i="52"/>
  <c r="U157" i="52" s="1"/>
  <c r="N149" i="52"/>
  <c r="U149" i="52" s="1"/>
  <c r="N145" i="52"/>
  <c r="U145" i="52" s="1"/>
  <c r="N141" i="52"/>
  <c r="U141" i="52" s="1"/>
  <c r="N133" i="52"/>
  <c r="U133" i="52" s="1"/>
  <c r="N125" i="52"/>
  <c r="U125" i="52" s="1"/>
  <c r="N121" i="52"/>
  <c r="U121" i="52" s="1"/>
  <c r="N117" i="52"/>
  <c r="U117" i="52" s="1"/>
  <c r="N109" i="52"/>
  <c r="U109" i="52" s="1"/>
  <c r="N101" i="52"/>
  <c r="U101" i="52" s="1"/>
  <c r="N93" i="52"/>
  <c r="U93" i="52" s="1"/>
  <c r="N85" i="52"/>
  <c r="U85" i="52" s="1"/>
  <c r="N77" i="52"/>
  <c r="U77" i="52" s="1"/>
  <c r="N69" i="52"/>
  <c r="U69" i="52" s="1"/>
  <c r="N65" i="52"/>
  <c r="U65" i="52" s="1"/>
  <c r="N61" i="52"/>
  <c r="U61" i="52" s="1"/>
  <c r="N53" i="52"/>
  <c r="U53" i="52" s="1"/>
  <c r="N45" i="52"/>
  <c r="U45" i="52"/>
  <c r="N37" i="52"/>
  <c r="U37" i="52" s="1"/>
  <c r="N33" i="52"/>
  <c r="U33" i="52" s="1"/>
  <c r="N29" i="52"/>
  <c r="U29" i="52" s="1"/>
  <c r="N25" i="52"/>
  <c r="R25" i="52"/>
  <c r="S25" i="52"/>
  <c r="N21" i="52"/>
  <c r="U21" i="52" s="1"/>
  <c r="R21" i="52"/>
  <c r="S21" i="52"/>
  <c r="N17" i="52"/>
  <c r="R17" i="52"/>
  <c r="S17" i="52"/>
  <c r="N13" i="52"/>
  <c r="R13" i="52"/>
  <c r="U13" i="52" s="1"/>
  <c r="S13" i="52"/>
  <c r="U14" i="55"/>
  <c r="U13" i="55"/>
  <c r="V12" i="55"/>
  <c r="R11" i="52"/>
  <c r="AN10" i="55" a="1"/>
  <c r="AN10" i="55"/>
  <c r="B12" i="57"/>
  <c r="P12" i="57"/>
  <c r="AK10" i="52" a="1"/>
  <c r="AK10" i="52" s="1"/>
  <c r="AM10" i="55" a="1"/>
  <c r="AM10" i="55"/>
  <c r="AM11" i="55" a="1"/>
  <c r="AM11" i="55"/>
  <c r="W258" i="55"/>
  <c r="AJ10" i="52" a="1"/>
  <c r="AJ10" i="52" s="1"/>
  <c r="U22" i="42"/>
  <c r="U23" i="42"/>
  <c r="U31" i="42"/>
  <c r="U24" i="42"/>
  <c r="Q21" i="42"/>
  <c r="R21" i="42"/>
  <c r="Q20" i="42"/>
  <c r="R20" i="42"/>
  <c r="W20" i="42"/>
  <c r="Q18" i="42"/>
  <c r="R18" i="42"/>
  <c r="W18" i="42"/>
  <c r="Q17" i="42"/>
  <c r="R17" i="42"/>
  <c r="W17" i="42"/>
  <c r="Q16" i="42"/>
  <c r="R16" i="42"/>
  <c r="W16" i="42" s="1"/>
  <c r="Q15" i="42"/>
  <c r="R15" i="42"/>
  <c r="W15" i="42" s="1"/>
  <c r="Y12" i="58"/>
  <c r="X154" i="22"/>
  <c r="Q258" i="55"/>
  <c r="H21" i="73"/>
  <c r="F161" i="22"/>
  <c r="D111" i="36" s="1"/>
  <c r="D151" i="36" s="1"/>
  <c r="F159" i="22"/>
  <c r="D109" i="36" s="1"/>
  <c r="D149" i="36" s="1"/>
  <c r="T27" i="42"/>
  <c r="U27" i="42" s="1"/>
  <c r="T36" i="42"/>
  <c r="U36" i="42" s="1"/>
  <c r="T25" i="42"/>
  <c r="U25" i="42"/>
  <c r="T35" i="42"/>
  <c r="U35" i="42" s="1"/>
  <c r="T26" i="42"/>
  <c r="U26" i="42" s="1"/>
  <c r="T34" i="42"/>
  <c r="U34" i="42" s="1"/>
  <c r="T28" i="42"/>
  <c r="U28" i="42"/>
  <c r="T30" i="42"/>
  <c r="U30" i="42" s="1"/>
  <c r="T33" i="42"/>
  <c r="U33" i="42" s="1"/>
  <c r="T37" i="42"/>
  <c r="U37" i="42" s="1"/>
  <c r="T19" i="42"/>
  <c r="U19" i="42"/>
  <c r="F158" i="22"/>
  <c r="D108" i="36" s="1"/>
  <c r="D148" i="36" s="1"/>
  <c r="C12" i="57"/>
  <c r="M12" i="57" s="1"/>
  <c r="R12" i="57" s="1"/>
  <c r="F150" i="22"/>
  <c r="D100" i="36"/>
  <c r="D140" i="36" s="1"/>
  <c r="R10" i="52"/>
  <c r="D120" i="36"/>
  <c r="D121" i="36"/>
  <c r="S10" i="52"/>
  <c r="F152" i="22"/>
  <c r="D102" i="36" s="1"/>
  <c r="D142" i="36" s="1"/>
  <c r="F151" i="22"/>
  <c r="D101" i="36" s="1"/>
  <c r="D141" i="36" s="1"/>
  <c r="F160" i="22"/>
  <c r="D110" i="36" s="1"/>
  <c r="D150" i="36" s="1"/>
  <c r="V227" i="55"/>
  <c r="F162" i="22"/>
  <c r="D112" i="36" s="1"/>
  <c r="D152" i="36" s="1"/>
  <c r="F155" i="22"/>
  <c r="D105" i="36"/>
  <c r="D145" i="36" s="1"/>
  <c r="L12" i="57"/>
  <c r="V133" i="55"/>
  <c r="U96" i="55"/>
  <c r="V213" i="55"/>
  <c r="V245" i="55"/>
  <c r="U149" i="55"/>
  <c r="U157" i="55"/>
  <c r="U72" i="55"/>
  <c r="U173" i="55"/>
  <c r="U37" i="55"/>
  <c r="V69" i="55"/>
  <c r="U221" i="55"/>
  <c r="U120" i="55"/>
  <c r="V101" i="55"/>
  <c r="V237" i="55"/>
  <c r="S57" i="52"/>
  <c r="S185"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R97" i="52"/>
  <c r="R225"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c r="U118" i="55"/>
  <c r="V118" i="55"/>
  <c r="R105" i="52"/>
  <c r="R233"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S45" i="52"/>
  <c r="R45" i="52"/>
  <c r="S77" i="52"/>
  <c r="R77" i="52"/>
  <c r="S109" i="52"/>
  <c r="R109" i="52"/>
  <c r="S141" i="52"/>
  <c r="R141" i="52"/>
  <c r="S173" i="52"/>
  <c r="R173" i="52"/>
  <c r="S205" i="52"/>
  <c r="R205" i="52"/>
  <c r="S237" i="52"/>
  <c r="R237"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36" i="55"/>
  <c r="V68" i="55"/>
  <c r="V100" i="55"/>
  <c r="V220" i="55"/>
  <c r="U31" i="55"/>
  <c r="V63" i="55"/>
  <c r="V130" i="55"/>
  <c r="V162" i="55"/>
  <c r="V194" i="55"/>
  <c r="U239" i="55"/>
  <c r="S101" i="52"/>
  <c r="R101" i="52"/>
  <c r="H155" i="22"/>
  <c r="R145" i="52"/>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c r="U7" i="107" s="1"/>
  <c r="V10" i="55"/>
  <c r="X10" i="55"/>
  <c r="AN11" i="55" a="1"/>
  <c r="AN11" i="55"/>
  <c r="B13" i="57"/>
  <c r="P13" i="57"/>
  <c r="H12" i="57"/>
  <c r="G12" i="57"/>
  <c r="F12" i="57"/>
  <c r="E12" i="57"/>
  <c r="D12" i="57"/>
  <c r="AM12" i="55" a="1"/>
  <c r="AM12" i="55"/>
  <c r="AM13" i="55" a="1"/>
  <c r="AM13" i="55"/>
  <c r="AY258" i="55" a="1"/>
  <c r="AY258" i="55"/>
  <c r="U258" i="55" a="1"/>
  <c r="U258" i="55"/>
  <c r="V154" i="22"/>
  <c r="V159" i="22"/>
  <c r="Z260" i="58"/>
  <c r="X151" i="22"/>
  <c r="H161" i="22"/>
  <c r="L159" i="22"/>
  <c r="W21" i="42"/>
  <c r="T21" i="42"/>
  <c r="U21" i="42"/>
  <c r="T20" i="42"/>
  <c r="U20" i="42" s="1"/>
  <c r="T18" i="42"/>
  <c r="U18" i="42"/>
  <c r="T17" i="42"/>
  <c r="U17" i="42"/>
  <c r="T16" i="42"/>
  <c r="U16" i="42"/>
  <c r="T15" i="42"/>
  <c r="U15" i="42" s="1"/>
  <c r="H153" i="22"/>
  <c r="V258" i="55" a="1"/>
  <c r="V258" i="55"/>
  <c r="H152" i="22"/>
  <c r="V156" i="22"/>
  <c r="D131" i="36"/>
  <c r="V150" i="22"/>
  <c r="V160" i="22"/>
  <c r="V157" i="22"/>
  <c r="V158" i="22"/>
  <c r="V152" i="22"/>
  <c r="D127" i="36"/>
  <c r="D123" i="36"/>
  <c r="D125" i="36"/>
  <c r="D124" i="36"/>
  <c r="D126" i="36"/>
  <c r="D129" i="36"/>
  <c r="D128" i="36"/>
  <c r="D122" i="36"/>
  <c r="L155" i="22"/>
  <c r="L153" i="22"/>
  <c r="L156" i="22"/>
  <c r="H158" i="22"/>
  <c r="H150" i="22"/>
  <c r="D130" i="36"/>
  <c r="D132" i="36"/>
  <c r="N12" i="57"/>
  <c r="U10" i="52"/>
  <c r="H151" i="22"/>
  <c r="L13" i="57"/>
  <c r="L157" i="22"/>
  <c r="W12" i="58"/>
  <c r="V151" i="22"/>
  <c r="V162" i="22"/>
  <c r="H162" i="22"/>
  <c r="H160" i="22"/>
  <c r="I13" i="57"/>
  <c r="G13" i="57"/>
  <c r="K13" i="57"/>
  <c r="D13" i="57"/>
  <c r="F13" i="57"/>
  <c r="J13" i="57"/>
  <c r="C13" i="57"/>
  <c r="M13" i="57" s="1"/>
  <c r="H13" i="57"/>
  <c r="E13" i="57"/>
  <c r="Y260" i="58"/>
  <c r="AN12" i="55" a="1"/>
  <c r="AN12" i="55"/>
  <c r="B14" i="57"/>
  <c r="P14" i="57"/>
  <c r="AM14" i="55" a="1"/>
  <c r="AM14" i="55"/>
  <c r="AM15" i="55" a="1"/>
  <c r="AM15" i="55"/>
  <c r="AM16" i="55" a="1"/>
  <c r="AM16" i="55"/>
  <c r="N258" i="55"/>
  <c r="L21" i="73"/>
  <c r="L158" i="22"/>
  <c r="J150" i="22"/>
  <c r="L152" i="22"/>
  <c r="L161" i="22"/>
  <c r="O12" i="57"/>
  <c r="AG12" i="57" s="1"/>
  <c r="L14" i="57"/>
  <c r="L160" i="22"/>
  <c r="L151" i="22"/>
  <c r="L150" i="22"/>
  <c r="L162" i="22"/>
  <c r="X258" i="55"/>
  <c r="K14" i="57"/>
  <c r="I14" i="57"/>
  <c r="H14" i="57"/>
  <c r="G14" i="57"/>
  <c r="E14" i="57"/>
  <c r="D14" i="57"/>
  <c r="C14" i="57"/>
  <c r="M14" i="57" s="1"/>
  <c r="AJ14" i="57" s="1"/>
  <c r="F14" i="57"/>
  <c r="J14" i="57"/>
  <c r="AN13" i="55" a="1"/>
  <c r="AN13" i="55"/>
  <c r="B15" i="57"/>
  <c r="P15" i="57"/>
  <c r="AM17" i="55" a="1"/>
  <c r="AM17" i="55"/>
  <c r="L15" i="57"/>
  <c r="N13" i="57"/>
  <c r="N14" i="57"/>
  <c r="K15" i="57"/>
  <c r="I15" i="57"/>
  <c r="F15" i="57"/>
  <c r="C15" i="57"/>
  <c r="M15" i="57" s="1"/>
  <c r="AJ15" i="57" s="1"/>
  <c r="H15" i="57"/>
  <c r="D15" i="57"/>
  <c r="G15" i="57"/>
  <c r="E15" i="57"/>
  <c r="J15" i="57"/>
  <c r="AN14" i="55" a="1"/>
  <c r="AN14" i="55"/>
  <c r="B16" i="57"/>
  <c r="P16" i="57"/>
  <c r="AM18" i="55" a="1"/>
  <c r="AM18" i="55"/>
  <c r="O13" i="57"/>
  <c r="AG13" i="57" s="1"/>
  <c r="O14" i="57"/>
  <c r="L16" i="57"/>
  <c r="H16" i="57"/>
  <c r="G16" i="57"/>
  <c r="E16" i="57"/>
  <c r="D16" i="57"/>
  <c r="C16" i="57"/>
  <c r="M16" i="57" s="1"/>
  <c r="K16" i="57"/>
  <c r="I16" i="57"/>
  <c r="F16" i="57"/>
  <c r="J16" i="57"/>
  <c r="AN15" i="55" a="1"/>
  <c r="AN15" i="55"/>
  <c r="B17" i="57"/>
  <c r="P17" i="57"/>
  <c r="AM19" i="55" a="1"/>
  <c r="AM19" i="55"/>
  <c r="L17" i="57"/>
  <c r="N15" i="57"/>
  <c r="K17" i="57"/>
  <c r="J17" i="57"/>
  <c r="E17" i="57"/>
  <c r="C17" i="57"/>
  <c r="M17" i="57" s="1"/>
  <c r="I17" i="57"/>
  <c r="H17" i="57"/>
  <c r="F17" i="57"/>
  <c r="D17" i="57"/>
  <c r="G17" i="57"/>
  <c r="AN16" i="55" a="1"/>
  <c r="AN16" i="55"/>
  <c r="B18" i="57"/>
  <c r="P18" i="57"/>
  <c r="AM20" i="55" a="1"/>
  <c r="AM20" i="55"/>
  <c r="O15" i="57"/>
  <c r="AG15" i="57" s="1"/>
  <c r="N17" i="57"/>
  <c r="L18" i="57"/>
  <c r="N16" i="57"/>
  <c r="G18" i="57"/>
  <c r="E18" i="57"/>
  <c r="D18" i="57"/>
  <c r="C18" i="57"/>
  <c r="M18" i="57" s="1"/>
  <c r="K18" i="57"/>
  <c r="I18" i="57"/>
  <c r="H18" i="57"/>
  <c r="F18" i="57"/>
  <c r="J18" i="57"/>
  <c r="AN17" i="55" a="1"/>
  <c r="AN17" i="55"/>
  <c r="B19" i="57"/>
  <c r="P19" i="57"/>
  <c r="AM21" i="55" a="1"/>
  <c r="AM21" i="55"/>
  <c r="AM22" i="55" a="1"/>
  <c r="AM22" i="55"/>
  <c r="AM23" i="55" a="1"/>
  <c r="AM23" i="55"/>
  <c r="AM24" i="55" a="1"/>
  <c r="AM24" i="55"/>
  <c r="AM25" i="55" a="1"/>
  <c r="AM25" i="55"/>
  <c r="AM26" i="55" a="1"/>
  <c r="AM26" i="55"/>
  <c r="AM27" i="55" a="1"/>
  <c r="AM27" i="55"/>
  <c r="AM28" i="55" a="1"/>
  <c r="AM28" i="55"/>
  <c r="AM29" i="55" a="1"/>
  <c r="AM29" i="55"/>
  <c r="AM30" i="55" a="1"/>
  <c r="AM30" i="55"/>
  <c r="AM31" i="55" a="1"/>
  <c r="AM31" i="55"/>
  <c r="AM32" i="55" a="1"/>
  <c r="AM32" i="55"/>
  <c r="AM33" i="55" a="1"/>
  <c r="AM33" i="55"/>
  <c r="AM34" i="55" a="1"/>
  <c r="AM34" i="55"/>
  <c r="AM35" i="55" a="1"/>
  <c r="AM35" i="55"/>
  <c r="AM36" i="55" a="1"/>
  <c r="AM36" i="55"/>
  <c r="AM37" i="55" a="1"/>
  <c r="AM37" i="55"/>
  <c r="AM38" i="55" a="1"/>
  <c r="AM38" i="55"/>
  <c r="AM39" i="55" a="1"/>
  <c r="AM39" i="55"/>
  <c r="AM40" i="55" a="1"/>
  <c r="AM40" i="55"/>
  <c r="AM41" i="55" a="1"/>
  <c r="AM41" i="55"/>
  <c r="AM42" i="55" a="1"/>
  <c r="AM42" i="55"/>
  <c r="AM43" i="55" a="1"/>
  <c r="AM43" i="55"/>
  <c r="AM44" i="55" a="1"/>
  <c r="AM44" i="55"/>
  <c r="AM45" i="55" a="1"/>
  <c r="AM45" i="55"/>
  <c r="AM46" i="55" a="1"/>
  <c r="AM46" i="55"/>
  <c r="AM47" i="55" a="1"/>
  <c r="AM47" i="55"/>
  <c r="AM48" i="55" a="1"/>
  <c r="AM48" i="55"/>
  <c r="AM49" i="55" a="1"/>
  <c r="AM49" i="55"/>
  <c r="AM50" i="55" a="1"/>
  <c r="AM50" i="55"/>
  <c r="AM51" i="55" a="1"/>
  <c r="AM51" i="55"/>
  <c r="AM52" i="55" a="1"/>
  <c r="AM52" i="55"/>
  <c r="AM53" i="55" a="1"/>
  <c r="AM53" i="55"/>
  <c r="AM54" i="55" a="1"/>
  <c r="AM54" i="55"/>
  <c r="AM55" i="55" a="1"/>
  <c r="AM55" i="55"/>
  <c r="AM56" i="55" a="1"/>
  <c r="AM56" i="55"/>
  <c r="AM57" i="55" a="1"/>
  <c r="AM57" i="55"/>
  <c r="AM58" i="55" a="1"/>
  <c r="AM58" i="55"/>
  <c r="AM59" i="55" a="1"/>
  <c r="AM59" i="55"/>
  <c r="AM60" i="55" a="1"/>
  <c r="AM60" i="55"/>
  <c r="AM61" i="55" a="1"/>
  <c r="AM61" i="55"/>
  <c r="AM62" i="55" a="1"/>
  <c r="AM62" i="55"/>
  <c r="AM63" i="55" a="1"/>
  <c r="AM63" i="55"/>
  <c r="AM64" i="55" a="1"/>
  <c r="AM64" i="55"/>
  <c r="AM65" i="55" a="1"/>
  <c r="AM65" i="55"/>
  <c r="AM66" i="55" a="1"/>
  <c r="AM66" i="55"/>
  <c r="AM67" i="55" a="1"/>
  <c r="AM67" i="55"/>
  <c r="AM68" i="55" a="1"/>
  <c r="AM68" i="55"/>
  <c r="AM69" i="55" a="1"/>
  <c r="AM69" i="55"/>
  <c r="AM70" i="55" a="1"/>
  <c r="AM70" i="55"/>
  <c r="AM71" i="55" a="1"/>
  <c r="AM71" i="55"/>
  <c r="AM72" i="55" a="1"/>
  <c r="AM72" i="55"/>
  <c r="AM73" i="55" a="1"/>
  <c r="AM73" i="55"/>
  <c r="AM74" i="55" a="1"/>
  <c r="AM74" i="55"/>
  <c r="AM75" i="55" a="1"/>
  <c r="AM75" i="55"/>
  <c r="AM76" i="55" a="1"/>
  <c r="AM76" i="55"/>
  <c r="AM77" i="55" a="1"/>
  <c r="AM77" i="55"/>
  <c r="AM78" i="55" a="1"/>
  <c r="AM78" i="55"/>
  <c r="AM79" i="55" a="1"/>
  <c r="AM79" i="55"/>
  <c r="AM80" i="55" a="1"/>
  <c r="AM80" i="55"/>
  <c r="AM81" i="55" a="1"/>
  <c r="AM81" i="55"/>
  <c r="AM82" i="55" a="1"/>
  <c r="AM82" i="55"/>
  <c r="AM83" i="55" a="1"/>
  <c r="AM83" i="55"/>
  <c r="AM84" i="55" a="1"/>
  <c r="AM84" i="55"/>
  <c r="AM85" i="55" a="1"/>
  <c r="AM85" i="55"/>
  <c r="AM86" i="55" a="1"/>
  <c r="AM86" i="55"/>
  <c r="AM87" i="55" a="1"/>
  <c r="AM87" i="55"/>
  <c r="AM88" i="55" a="1"/>
  <c r="AM88" i="55"/>
  <c r="AM89" i="55" a="1"/>
  <c r="AM89" i="55"/>
  <c r="AM90" i="55" a="1"/>
  <c r="AM90" i="55"/>
  <c r="AM91" i="55" a="1"/>
  <c r="AM91" i="55"/>
  <c r="AM92" i="55" a="1"/>
  <c r="AM92" i="55"/>
  <c r="AM93" i="55" a="1"/>
  <c r="AM93" i="55"/>
  <c r="AM94" i="55" a="1"/>
  <c r="AM94" i="55"/>
  <c r="AM95" i="55" a="1"/>
  <c r="AM95" i="55"/>
  <c r="AM96" i="55" a="1"/>
  <c r="AM96" i="55"/>
  <c r="AM97" i="55" a="1"/>
  <c r="AM97" i="55"/>
  <c r="AM98" i="55" a="1"/>
  <c r="AM98" i="55"/>
  <c r="AM99" i="55" a="1"/>
  <c r="AM99" i="55"/>
  <c r="AM100" i="55" a="1"/>
  <c r="AM100" i="55"/>
  <c r="AM101" i="55" a="1"/>
  <c r="AM101" i="55"/>
  <c r="AM102" i="55" a="1"/>
  <c r="AM102" i="55"/>
  <c r="AM103" i="55" a="1"/>
  <c r="AM103" i="55"/>
  <c r="AM104" i="55" a="1"/>
  <c r="AM104" i="55"/>
  <c r="AM105" i="55" a="1"/>
  <c r="AM105" i="55"/>
  <c r="AM106" i="55" a="1"/>
  <c r="AM106" i="55"/>
  <c r="AM107" i="55" a="1"/>
  <c r="AM107" i="55"/>
  <c r="AM108" i="55" a="1"/>
  <c r="AM108" i="55"/>
  <c r="AM109" i="55" a="1"/>
  <c r="AM109" i="55"/>
  <c r="AM110" i="55" a="1"/>
  <c r="AM110" i="55"/>
  <c r="AM111" i="55" a="1"/>
  <c r="AM111" i="55"/>
  <c r="AM112" i="55" a="1"/>
  <c r="AM112" i="55"/>
  <c r="AM113" i="55" a="1"/>
  <c r="AM113" i="55"/>
  <c r="AM114" i="55" a="1"/>
  <c r="AM114" i="55"/>
  <c r="AM115" i="55" a="1"/>
  <c r="AM115" i="55"/>
  <c r="AM116" i="55" a="1"/>
  <c r="AM116" i="55"/>
  <c r="AM117" i="55" a="1"/>
  <c r="AM117" i="55"/>
  <c r="AM118" i="55" a="1"/>
  <c r="AM118" i="55"/>
  <c r="AM119" i="55" a="1"/>
  <c r="AM119" i="55"/>
  <c r="AM120" i="55" a="1"/>
  <c r="AM120" i="55"/>
  <c r="AM121" i="55" a="1"/>
  <c r="AM121" i="55"/>
  <c r="AM122" i="55" a="1"/>
  <c r="AM122" i="55"/>
  <c r="AM123" i="55" a="1"/>
  <c r="AM123" i="55"/>
  <c r="AM124" i="55" a="1"/>
  <c r="AM124" i="55"/>
  <c r="AM125" i="55" a="1"/>
  <c r="AM125" i="55"/>
  <c r="AM126" i="55" a="1"/>
  <c r="AM126" i="55"/>
  <c r="AM127" i="55" a="1"/>
  <c r="AM127" i="55"/>
  <c r="AM128" i="55" a="1"/>
  <c r="AM128" i="55"/>
  <c r="AM129" i="55" a="1"/>
  <c r="AM129" i="55"/>
  <c r="AM130" i="55" a="1"/>
  <c r="AM130" i="55"/>
  <c r="AM131" i="55" a="1"/>
  <c r="AM131" i="55"/>
  <c r="AM132" i="55" a="1"/>
  <c r="AM132" i="55"/>
  <c r="AM133" i="55" a="1"/>
  <c r="AM133" i="55"/>
  <c r="AM134" i="55" a="1"/>
  <c r="AM134" i="55"/>
  <c r="AM135" i="55" a="1"/>
  <c r="AM135" i="55"/>
  <c r="AM136" i="55" a="1"/>
  <c r="AM136" i="55"/>
  <c r="AM137" i="55" a="1"/>
  <c r="AM137" i="55"/>
  <c r="AM138" i="55" a="1"/>
  <c r="AM138" i="55"/>
  <c r="AM139" i="55" a="1"/>
  <c r="AM139" i="55"/>
  <c r="AM140" i="55" a="1"/>
  <c r="AM140" i="55"/>
  <c r="AM141" i="55" a="1"/>
  <c r="AM141" i="55"/>
  <c r="AM142" i="55" a="1"/>
  <c r="AM142" i="55"/>
  <c r="AM143" i="55" a="1"/>
  <c r="AM143" i="55"/>
  <c r="AM144" i="55" a="1"/>
  <c r="AM144" i="55"/>
  <c r="AM145" i="55" a="1"/>
  <c r="AM145" i="55"/>
  <c r="AM146" i="55" a="1"/>
  <c r="AM146" i="55"/>
  <c r="AM147" i="55" a="1"/>
  <c r="AM147" i="55"/>
  <c r="AM148" i="55" a="1"/>
  <c r="AM148" i="55"/>
  <c r="AM149" i="55" a="1"/>
  <c r="AM149" i="55"/>
  <c r="AM150" i="55" a="1"/>
  <c r="AM150" i="55"/>
  <c r="AM151" i="55" a="1"/>
  <c r="AM151" i="55"/>
  <c r="AM152" i="55" a="1"/>
  <c r="AM152" i="55"/>
  <c r="AM153" i="55" a="1"/>
  <c r="AM153" i="55"/>
  <c r="AM154" i="55" a="1"/>
  <c r="AM154" i="55"/>
  <c r="AM155" i="55" a="1"/>
  <c r="AM155" i="55"/>
  <c r="AM156" i="55" a="1"/>
  <c r="AM156" i="55"/>
  <c r="AM157" i="55" a="1"/>
  <c r="AM157" i="55"/>
  <c r="AM158" i="55" a="1"/>
  <c r="AM158" i="55"/>
  <c r="AM159" i="55" a="1"/>
  <c r="AM159" i="55"/>
  <c r="AM160" i="55" a="1"/>
  <c r="AM160" i="55"/>
  <c r="AM161" i="55" a="1"/>
  <c r="AM161" i="55"/>
  <c r="AM162" i="55" a="1"/>
  <c r="AM162" i="55"/>
  <c r="AM163" i="55" a="1"/>
  <c r="AM163" i="55"/>
  <c r="AM164" i="55" a="1"/>
  <c r="AM164" i="55"/>
  <c r="AM165" i="55" a="1"/>
  <c r="AM165" i="55"/>
  <c r="AM166" i="55" a="1"/>
  <c r="AM166" i="55"/>
  <c r="AM167" i="55" a="1"/>
  <c r="AM167" i="55"/>
  <c r="AM168" i="55" a="1"/>
  <c r="AM168" i="55"/>
  <c r="AM169" i="55" a="1"/>
  <c r="AM169" i="55"/>
  <c r="AM170" i="55" a="1"/>
  <c r="AM170" i="55"/>
  <c r="AM171" i="55" a="1"/>
  <c r="AM171" i="55"/>
  <c r="AM172" i="55" a="1"/>
  <c r="AM172" i="55"/>
  <c r="AM173" i="55" a="1"/>
  <c r="AM173" i="55"/>
  <c r="AM174" i="55" a="1"/>
  <c r="AM174" i="55"/>
  <c r="AM175" i="55" a="1"/>
  <c r="AM175" i="55"/>
  <c r="AM176" i="55" a="1"/>
  <c r="AM176" i="55"/>
  <c r="AM177" i="55" a="1"/>
  <c r="AM177" i="55"/>
  <c r="AM178" i="55" a="1"/>
  <c r="AM178" i="55"/>
  <c r="AM179" i="55" a="1"/>
  <c r="AM179" i="55"/>
  <c r="AM180" i="55" a="1"/>
  <c r="AM180" i="55"/>
  <c r="AM181" i="55" a="1"/>
  <c r="AM181" i="55"/>
  <c r="AM182" i="55" a="1"/>
  <c r="AM182" i="55"/>
  <c r="AM183" i="55" a="1"/>
  <c r="AM183" i="55"/>
  <c r="AM184" i="55" a="1"/>
  <c r="AM184" i="55"/>
  <c r="AM185" i="55" a="1"/>
  <c r="AM185" i="55"/>
  <c r="AM186" i="55" a="1"/>
  <c r="AM186" i="55"/>
  <c r="AM187" i="55" a="1"/>
  <c r="AM187" i="55"/>
  <c r="AM188" i="55" a="1"/>
  <c r="AM188" i="55"/>
  <c r="AM189" i="55" a="1"/>
  <c r="AM189" i="55"/>
  <c r="AM190" i="55" a="1"/>
  <c r="AM190" i="55"/>
  <c r="AM191" i="55" a="1"/>
  <c r="AM191" i="55"/>
  <c r="AM192" i="55" a="1"/>
  <c r="AM192" i="55"/>
  <c r="AM193" i="55" a="1"/>
  <c r="AM193" i="55"/>
  <c r="AM194" i="55" a="1"/>
  <c r="AM194" i="55"/>
  <c r="AM195" i="55" a="1"/>
  <c r="AM195" i="55"/>
  <c r="AM196" i="55" a="1"/>
  <c r="AM196" i="55"/>
  <c r="AM197" i="55" a="1"/>
  <c r="AM197" i="55"/>
  <c r="AM198" i="55" a="1"/>
  <c r="AM198" i="55"/>
  <c r="AM199" i="55" a="1"/>
  <c r="AM199" i="55"/>
  <c r="AM200" i="55" a="1"/>
  <c r="AM200" i="55"/>
  <c r="AM201" i="55" a="1"/>
  <c r="AM201" i="55"/>
  <c r="AM202" i="55" a="1"/>
  <c r="AM202" i="55"/>
  <c r="AM203" i="55" a="1"/>
  <c r="AM203" i="55"/>
  <c r="AM204" i="55" a="1"/>
  <c r="AM204" i="55"/>
  <c r="AM205" i="55" a="1"/>
  <c r="AM205" i="55"/>
  <c r="AM206" i="55" a="1"/>
  <c r="AM206" i="55"/>
  <c r="AM207" i="55" a="1"/>
  <c r="AM207" i="55"/>
  <c r="AM208" i="55" a="1"/>
  <c r="AM208" i="55"/>
  <c r="AM209" i="55" a="1"/>
  <c r="AM209" i="55"/>
  <c r="AM210" i="55" a="1"/>
  <c r="AM210" i="55"/>
  <c r="AM211" i="55" a="1"/>
  <c r="AM211" i="55"/>
  <c r="AM212" i="55" a="1"/>
  <c r="AM212" i="55"/>
  <c r="AM213" i="55" a="1"/>
  <c r="AM213" i="55"/>
  <c r="AM214" i="55" a="1"/>
  <c r="AM214" i="55"/>
  <c r="AM215" i="55" a="1"/>
  <c r="AM215" i="55"/>
  <c r="AM216" i="55" a="1"/>
  <c r="AM216" i="55"/>
  <c r="AM217" i="55" a="1"/>
  <c r="AM217" i="55"/>
  <c r="AM218" i="55" a="1"/>
  <c r="AM218" i="55"/>
  <c r="AM219" i="55" a="1"/>
  <c r="AM219" i="55"/>
  <c r="AM220" i="55" a="1"/>
  <c r="AM220" i="55"/>
  <c r="AM221" i="55" a="1"/>
  <c r="AM221" i="55"/>
  <c r="AM222" i="55" a="1"/>
  <c r="AM222" i="55"/>
  <c r="AM223" i="55" a="1"/>
  <c r="AM223" i="55"/>
  <c r="AM224" i="55" a="1"/>
  <c r="AM224" i="55"/>
  <c r="AM225" i="55" a="1"/>
  <c r="AM225" i="55"/>
  <c r="AM226" i="55" a="1"/>
  <c r="AM226" i="55"/>
  <c r="AM227" i="55" a="1"/>
  <c r="AM227" i="55"/>
  <c r="AM228" i="55" a="1"/>
  <c r="AM228" i="55"/>
  <c r="AM229" i="55" a="1"/>
  <c r="AM229" i="55"/>
  <c r="AM230" i="55" a="1"/>
  <c r="AM230" i="55"/>
  <c r="AM231" i="55" a="1"/>
  <c r="AM231" i="55"/>
  <c r="AM232" i="55" a="1"/>
  <c r="AM232" i="55"/>
  <c r="AM233" i="55" a="1"/>
  <c r="AM233" i="55"/>
  <c r="AM234" i="55" a="1"/>
  <c r="AM234" i="55"/>
  <c r="AM235" i="55" a="1"/>
  <c r="AM235" i="55"/>
  <c r="AM236" i="55" a="1"/>
  <c r="AM236" i="55"/>
  <c r="AM237" i="55" a="1"/>
  <c r="AM237" i="55"/>
  <c r="AM238" i="55" a="1"/>
  <c r="AM238" i="55"/>
  <c r="AM239" i="55" a="1"/>
  <c r="AM239" i="55"/>
  <c r="AM240" i="55" a="1"/>
  <c r="AM240" i="55"/>
  <c r="AM241" i="55" a="1"/>
  <c r="AM241" i="55"/>
  <c r="AM242" i="55" a="1"/>
  <c r="AM242" i="55"/>
  <c r="AM243" i="55" a="1"/>
  <c r="AM243" i="55"/>
  <c r="AM244" i="55" a="1"/>
  <c r="AM244" i="55"/>
  <c r="AM245" i="55" a="1"/>
  <c r="AM245" i="55"/>
  <c r="AM246" i="55" a="1"/>
  <c r="AM246" i="55"/>
  <c r="AM247" i="55" a="1"/>
  <c r="AM247" i="55"/>
  <c r="AM248" i="55" a="1"/>
  <c r="AM248" i="55"/>
  <c r="AM249" i="55" a="1"/>
  <c r="AM249" i="55"/>
  <c r="AM250" i="55" a="1"/>
  <c r="AM250" i="55"/>
  <c r="AM251" i="55" a="1"/>
  <c r="AM251" i="55"/>
  <c r="AM252" i="55" a="1"/>
  <c r="AM252" i="55"/>
  <c r="AM253" i="55" a="1"/>
  <c r="AM253" i="55"/>
  <c r="AM254" i="55" a="1"/>
  <c r="AM254" i="55"/>
  <c r="AM255" i="55" a="1"/>
  <c r="AM255" i="55"/>
  <c r="AM256" i="55" a="1"/>
  <c r="AM256" i="55"/>
  <c r="AM257" i="55" a="1"/>
  <c r="AM257" i="55"/>
  <c r="O16" i="57"/>
  <c r="AG16" i="57" s="1"/>
  <c r="O17" i="57"/>
  <c r="N18" i="57"/>
  <c r="L19" i="57"/>
  <c r="I19" i="57"/>
  <c r="F19" i="57"/>
  <c r="E19" i="57"/>
  <c r="C19" i="57"/>
  <c r="M19" i="57" s="1"/>
  <c r="K19" i="57"/>
  <c r="J19" i="57"/>
  <c r="G19" i="57"/>
  <c r="H19" i="57"/>
  <c r="D19" i="57"/>
  <c r="AN18" i="55" a="1"/>
  <c r="AN18" i="55"/>
  <c r="B20" i="57"/>
  <c r="P20" i="57"/>
  <c r="N19" i="57"/>
  <c r="O18" i="57"/>
  <c r="AG18" i="57" s="1"/>
  <c r="L20" i="57"/>
  <c r="I20" i="57"/>
  <c r="H20" i="57"/>
  <c r="G20" i="57"/>
  <c r="E20" i="57"/>
  <c r="D20" i="57"/>
  <c r="C20" i="57"/>
  <c r="M20" i="57" s="1"/>
  <c r="K20" i="57"/>
  <c r="F20" i="57"/>
  <c r="J20" i="57"/>
  <c r="AN19" i="55" a="1"/>
  <c r="AN19" i="55"/>
  <c r="B21" i="57"/>
  <c r="P21" i="57"/>
  <c r="AL11" i="59"/>
  <c r="A133" i="99"/>
  <c r="A132" i="99"/>
  <c r="A131" i="99"/>
  <c r="A130" i="99"/>
  <c r="A129" i="99"/>
  <c r="A124" i="99"/>
  <c r="A123" i="99"/>
  <c r="A119" i="99"/>
  <c r="A116" i="99"/>
  <c r="C131" i="33"/>
  <c r="C130" i="33"/>
  <c r="C134" i="33"/>
  <c r="C133" i="33"/>
  <c r="C132" i="33"/>
  <c r="C125" i="33"/>
  <c r="C124" i="33"/>
  <c r="C120" i="33"/>
  <c r="C117" i="33"/>
  <c r="F133" i="20"/>
  <c r="F132" i="20"/>
  <c r="F131" i="20"/>
  <c r="O11" i="46"/>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c r="Q119" i="29"/>
  <c r="E130" i="28"/>
  <c r="O119" i="29"/>
  <c r="C130" i="28"/>
  <c r="Q113" i="29"/>
  <c r="E129" i="28"/>
  <c r="O113" i="29"/>
  <c r="C129" i="28"/>
  <c r="Q133" i="29"/>
  <c r="E128" i="28"/>
  <c r="O133" i="29"/>
  <c r="C128" i="28"/>
  <c r="Q132" i="29"/>
  <c r="E127" i="28"/>
  <c r="O132" i="29"/>
  <c r="C127" i="28"/>
  <c r="Q131" i="29"/>
  <c r="E126" i="28"/>
  <c r="O131" i="29"/>
  <c r="C126" i="28"/>
  <c r="Q130" i="29"/>
  <c r="E125" i="28"/>
  <c r="O130" i="29"/>
  <c r="C125" i="28"/>
  <c r="M130" i="29"/>
  <c r="L130" i="29"/>
  <c r="M124" i="29"/>
  <c r="D124" i="22"/>
  <c r="M123" i="29"/>
  <c r="D123" i="22"/>
  <c r="Q124" i="29"/>
  <c r="E132" i="28"/>
  <c r="Q123" i="29"/>
  <c r="E131" i="28"/>
  <c r="O124" i="29"/>
  <c r="C132" i="28"/>
  <c r="O123" i="29"/>
  <c r="C131" i="28"/>
  <c r="Q129" i="29"/>
  <c r="O129" i="29"/>
  <c r="F123" i="22"/>
  <c r="X123" i="22"/>
  <c r="T123" i="22"/>
  <c r="X115" i="22"/>
  <c r="T115" i="22"/>
  <c r="F124" i="22"/>
  <c r="X124" i="22"/>
  <c r="T124" i="22"/>
  <c r="F116" i="22"/>
  <c r="X116" i="22"/>
  <c r="T116" i="22"/>
  <c r="F119" i="22"/>
  <c r="X119" i="22"/>
  <c r="T119" i="22"/>
  <c r="O19" i="57"/>
  <c r="AG19" i="57" s="1"/>
  <c r="N20" i="57"/>
  <c r="S119" i="22"/>
  <c r="E119" i="22"/>
  <c r="E123" i="22"/>
  <c r="S123" i="22"/>
  <c r="S115" i="22"/>
  <c r="E115" i="22"/>
  <c r="E124" i="22"/>
  <c r="S124" i="22"/>
  <c r="S116" i="22"/>
  <c r="E116" i="22"/>
  <c r="L21" i="57"/>
  <c r="G21" i="57"/>
  <c r="J21" i="57"/>
  <c r="F21" i="57"/>
  <c r="K21" i="57"/>
  <c r="C21" i="57"/>
  <c r="M21" i="57" s="1"/>
  <c r="H21" i="57"/>
  <c r="E21" i="57"/>
  <c r="I21" i="57"/>
  <c r="D21" i="57"/>
  <c r="AN20" i="55" a="1"/>
  <c r="AN20" i="55"/>
  <c r="B22" i="57"/>
  <c r="P22" i="57"/>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O20" i="57"/>
  <c r="AG20" i="57" s="1"/>
  <c r="N21" i="57"/>
  <c r="I123" i="22"/>
  <c r="I124" i="22"/>
  <c r="L22" i="57"/>
  <c r="K22" i="57"/>
  <c r="I22" i="57"/>
  <c r="H22" i="57"/>
  <c r="G22" i="57"/>
  <c r="E22" i="57"/>
  <c r="D22" i="57"/>
  <c r="C22" i="57"/>
  <c r="M22" i="57" s="1"/>
  <c r="F22" i="57"/>
  <c r="J22" i="57"/>
  <c r="AN21" i="55" a="1"/>
  <c r="AN21" i="55"/>
  <c r="B23" i="57"/>
  <c r="P23" i="57"/>
  <c r="O21" i="57"/>
  <c r="N22" i="57"/>
  <c r="L23" i="57"/>
  <c r="K23" i="57"/>
  <c r="I23" i="57"/>
  <c r="F23" i="57"/>
  <c r="C23" i="57"/>
  <c r="M23" i="57" s="1"/>
  <c r="H23" i="57"/>
  <c r="D23" i="57"/>
  <c r="E23" i="57"/>
  <c r="G23" i="57"/>
  <c r="J23" i="57"/>
  <c r="AN22" i="55" a="1"/>
  <c r="AN22" i="55"/>
  <c r="B24" i="57"/>
  <c r="P24" i="57"/>
  <c r="L13" i="68"/>
  <c r="O13" i="68"/>
  <c r="P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c r="U13" i="68"/>
  <c r="Q13" i="68"/>
  <c r="O22" i="57"/>
  <c r="AG22" i="57" s="1"/>
  <c r="N23" i="57"/>
  <c r="L24" i="57"/>
  <c r="H24" i="57"/>
  <c r="G24" i="57"/>
  <c r="E24" i="57"/>
  <c r="D24" i="57"/>
  <c r="C24" i="57"/>
  <c r="M24" i="57" s="1"/>
  <c r="AE24" i="57" s="1"/>
  <c r="K24" i="57"/>
  <c r="I24" i="57"/>
  <c r="F24" i="57"/>
  <c r="J24" i="57"/>
  <c r="AN23" i="55" a="1"/>
  <c r="AN23" i="55"/>
  <c r="B25" i="57"/>
  <c r="P25" i="57"/>
  <c r="L12" i="64"/>
  <c r="L13" i="64"/>
  <c r="O13" i="64"/>
  <c r="P13" i="64"/>
  <c r="L14" i="64"/>
  <c r="O14" i="64"/>
  <c r="P14" i="64"/>
  <c r="L15" i="64"/>
  <c r="O15" i="64"/>
  <c r="P15" i="64"/>
  <c r="L16" i="64"/>
  <c r="O16" i="64"/>
  <c r="P16" i="64"/>
  <c r="L17" i="64"/>
  <c r="O17" i="64"/>
  <c r="P17" i="64"/>
  <c r="L18" i="64"/>
  <c r="O18" i="64"/>
  <c r="P18" i="64"/>
  <c r="L19" i="64"/>
  <c r="O19" i="64"/>
  <c r="P19" i="64"/>
  <c r="L20" i="64"/>
  <c r="O20" i="64"/>
  <c r="P20" i="64"/>
  <c r="L21" i="64"/>
  <c r="O21" i="64"/>
  <c r="P21" i="64"/>
  <c r="L22" i="64"/>
  <c r="O22" i="64"/>
  <c r="P22" i="64"/>
  <c r="L23" i="64"/>
  <c r="O23" i="64"/>
  <c r="P23" i="64"/>
  <c r="L24" i="64"/>
  <c r="O24" i="64"/>
  <c r="P24" i="64"/>
  <c r="L25" i="64"/>
  <c r="O25" i="64"/>
  <c r="P25" i="64"/>
  <c r="L26" i="64"/>
  <c r="O26" i="64"/>
  <c r="P26" i="64"/>
  <c r="L27" i="64"/>
  <c r="O27" i="64"/>
  <c r="P27" i="64"/>
  <c r="L28" i="64"/>
  <c r="O28" i="64"/>
  <c r="P28" i="64"/>
  <c r="L29" i="64"/>
  <c r="O29" i="64"/>
  <c r="P29" i="64"/>
  <c r="L30" i="64"/>
  <c r="O30" i="64"/>
  <c r="P30" i="64"/>
  <c r="L31" i="64"/>
  <c r="O31" i="64"/>
  <c r="P31" i="64"/>
  <c r="L32" i="64"/>
  <c r="O32" i="64"/>
  <c r="P32" i="64"/>
  <c r="L33" i="64"/>
  <c r="O33" i="64"/>
  <c r="P33" i="64"/>
  <c r="L34" i="64"/>
  <c r="O34" i="64"/>
  <c r="P34" i="64"/>
  <c r="L35" i="64"/>
  <c r="O35" i="64"/>
  <c r="P35" i="64"/>
  <c r="L36" i="64"/>
  <c r="O36" i="64"/>
  <c r="P36" i="64"/>
  <c r="L37" i="64"/>
  <c r="O37" i="64"/>
  <c r="P37" i="64"/>
  <c r="L38" i="64"/>
  <c r="O38" i="64"/>
  <c r="P38" i="64"/>
  <c r="L39" i="64"/>
  <c r="O39" i="64"/>
  <c r="P39" i="64"/>
  <c r="L40" i="64"/>
  <c r="O40" i="64"/>
  <c r="P40" i="64"/>
  <c r="L41" i="64"/>
  <c r="O41" i="64"/>
  <c r="P41" i="64"/>
  <c r="L42" i="64"/>
  <c r="O42" i="64"/>
  <c r="P42" i="64"/>
  <c r="L43" i="64"/>
  <c r="O43" i="64"/>
  <c r="P43" i="64"/>
  <c r="L44" i="64"/>
  <c r="O44" i="64"/>
  <c r="P44" i="64"/>
  <c r="L45" i="64"/>
  <c r="O45" i="64"/>
  <c r="P45" i="64"/>
  <c r="L46" i="64"/>
  <c r="O46" i="64"/>
  <c r="P46" i="64"/>
  <c r="L47" i="64"/>
  <c r="O47" i="64"/>
  <c r="P47" i="64"/>
  <c r="L48" i="64"/>
  <c r="O48" i="64"/>
  <c r="P48" i="64"/>
  <c r="L49" i="64"/>
  <c r="O49" i="64"/>
  <c r="P49" i="64"/>
  <c r="L50" i="64"/>
  <c r="O50" i="64"/>
  <c r="P50" i="64"/>
  <c r="L51" i="64"/>
  <c r="O51" i="64"/>
  <c r="P51" i="64"/>
  <c r="L52" i="64"/>
  <c r="O52" i="64"/>
  <c r="P52" i="64"/>
  <c r="L53" i="64"/>
  <c r="O53" i="64"/>
  <c r="P53" i="64"/>
  <c r="L54" i="64"/>
  <c r="O54" i="64"/>
  <c r="P54" i="64"/>
  <c r="L55" i="64"/>
  <c r="O55" i="64"/>
  <c r="P55" i="64"/>
  <c r="L56" i="64"/>
  <c r="O56" i="64"/>
  <c r="P56" i="64"/>
  <c r="L57" i="64"/>
  <c r="O57" i="64"/>
  <c r="P57" i="64"/>
  <c r="L58" i="64"/>
  <c r="O58" i="64"/>
  <c r="P58" i="64"/>
  <c r="L59" i="64"/>
  <c r="O59" i="64"/>
  <c r="P59" i="64"/>
  <c r="L60" i="64"/>
  <c r="O60" i="64"/>
  <c r="P60" i="64"/>
  <c r="L61" i="64"/>
  <c r="O61" i="64"/>
  <c r="P61" i="64"/>
  <c r="L62" i="64"/>
  <c r="O62" i="64"/>
  <c r="P62" i="64"/>
  <c r="L63" i="64"/>
  <c r="O63" i="64"/>
  <c r="P63" i="64"/>
  <c r="L64" i="64"/>
  <c r="O64" i="64"/>
  <c r="P64" i="64"/>
  <c r="L65" i="64"/>
  <c r="O65" i="64"/>
  <c r="P65" i="64"/>
  <c r="L66" i="64"/>
  <c r="O66" i="64"/>
  <c r="P66" i="64"/>
  <c r="L67" i="64"/>
  <c r="O67" i="64"/>
  <c r="P67" i="64"/>
  <c r="L68" i="64"/>
  <c r="O68" i="64"/>
  <c r="P68" i="64"/>
  <c r="L69" i="64"/>
  <c r="O69" i="64"/>
  <c r="P69" i="64"/>
  <c r="L70" i="64"/>
  <c r="O70" i="64"/>
  <c r="P70" i="64"/>
  <c r="L71" i="64"/>
  <c r="O71" i="64"/>
  <c r="P71" i="64"/>
  <c r="L72" i="64"/>
  <c r="O72" i="64"/>
  <c r="P72" i="64"/>
  <c r="L73" i="64"/>
  <c r="O73" i="64"/>
  <c r="P73" i="64"/>
  <c r="L74" i="64"/>
  <c r="O74" i="64"/>
  <c r="P74" i="64"/>
  <c r="L75" i="64"/>
  <c r="O75" i="64"/>
  <c r="P75" i="64"/>
  <c r="L76" i="64"/>
  <c r="O76" i="64"/>
  <c r="P76" i="64"/>
  <c r="L77" i="64"/>
  <c r="O77" i="64"/>
  <c r="P77" i="64"/>
  <c r="L78" i="64"/>
  <c r="O78" i="64"/>
  <c r="P78" i="64"/>
  <c r="L79" i="64"/>
  <c r="O79" i="64"/>
  <c r="P79" i="64"/>
  <c r="L80" i="64"/>
  <c r="O80" i="64"/>
  <c r="P80" i="64"/>
  <c r="L81" i="64"/>
  <c r="O81" i="64"/>
  <c r="P81" i="64"/>
  <c r="L82" i="64"/>
  <c r="O82" i="64"/>
  <c r="P82" i="64"/>
  <c r="L83" i="64"/>
  <c r="O83" i="64"/>
  <c r="P83" i="64"/>
  <c r="L84" i="64"/>
  <c r="O84" i="64"/>
  <c r="P84" i="64"/>
  <c r="L85" i="64"/>
  <c r="O85" i="64"/>
  <c r="P85" i="64"/>
  <c r="L86" i="64"/>
  <c r="O86" i="64"/>
  <c r="P86" i="64"/>
  <c r="L87" i="64"/>
  <c r="O87" i="64"/>
  <c r="P87" i="64"/>
  <c r="L88" i="64"/>
  <c r="O88" i="64"/>
  <c r="P88" i="64"/>
  <c r="L89" i="64"/>
  <c r="O89" i="64"/>
  <c r="P89" i="64"/>
  <c r="L90" i="64"/>
  <c r="O90" i="64"/>
  <c r="P90" i="64"/>
  <c r="L91" i="64"/>
  <c r="O91" i="64"/>
  <c r="P91" i="64"/>
  <c r="L92" i="64"/>
  <c r="O92" i="64"/>
  <c r="P92" i="64"/>
  <c r="L93" i="64"/>
  <c r="O93" i="64"/>
  <c r="P93" i="64"/>
  <c r="L94" i="64"/>
  <c r="O94" i="64"/>
  <c r="P94" i="64"/>
  <c r="L95" i="64"/>
  <c r="O95" i="64"/>
  <c r="P95" i="64"/>
  <c r="L96" i="64"/>
  <c r="O96" i="64"/>
  <c r="P96" i="64"/>
  <c r="L97" i="64"/>
  <c r="O97" i="64"/>
  <c r="P97" i="64"/>
  <c r="L98" i="64"/>
  <c r="O98" i="64"/>
  <c r="P98" i="64"/>
  <c r="L99" i="64"/>
  <c r="O99" i="64"/>
  <c r="P99" i="64"/>
  <c r="L100" i="64"/>
  <c r="O100" i="64"/>
  <c r="P100" i="64"/>
  <c r="L101" i="64"/>
  <c r="O101" i="64"/>
  <c r="P101" i="64"/>
  <c r="L102" i="64"/>
  <c r="O102" i="64"/>
  <c r="P102" i="64"/>
  <c r="L103" i="64"/>
  <c r="O103" i="64"/>
  <c r="P103" i="64"/>
  <c r="L104" i="64"/>
  <c r="O104" i="64"/>
  <c r="P104" i="64"/>
  <c r="L105" i="64"/>
  <c r="O105" i="64"/>
  <c r="P105" i="64"/>
  <c r="L106" i="64"/>
  <c r="O106" i="64"/>
  <c r="P106" i="64"/>
  <c r="L107" i="64"/>
  <c r="O107" i="64"/>
  <c r="P107" i="64"/>
  <c r="L108" i="64"/>
  <c r="O108" i="64"/>
  <c r="P108" i="64"/>
  <c r="L109" i="64"/>
  <c r="O109" i="64"/>
  <c r="P109" i="64"/>
  <c r="L110" i="64"/>
  <c r="O110" i="64"/>
  <c r="P110" i="64"/>
  <c r="L111" i="64"/>
  <c r="O111" i="64"/>
  <c r="P111" i="64"/>
  <c r="L112" i="64"/>
  <c r="O112" i="64"/>
  <c r="P112" i="64"/>
  <c r="L113" i="64"/>
  <c r="O113" i="64"/>
  <c r="P113" i="64"/>
  <c r="L114" i="64"/>
  <c r="O114" i="64"/>
  <c r="P114" i="64"/>
  <c r="L115" i="64"/>
  <c r="O115" i="64"/>
  <c r="P115" i="64"/>
  <c r="L116" i="64"/>
  <c r="O116" i="64"/>
  <c r="P116" i="64"/>
  <c r="L117" i="64"/>
  <c r="O117" i="64"/>
  <c r="P117" i="64"/>
  <c r="L118" i="64"/>
  <c r="O118" i="64"/>
  <c r="P118" i="64"/>
  <c r="L119" i="64"/>
  <c r="O119" i="64"/>
  <c r="P119" i="64"/>
  <c r="L120" i="64"/>
  <c r="O120" i="64"/>
  <c r="P120" i="64"/>
  <c r="L121" i="64"/>
  <c r="O121" i="64"/>
  <c r="P121" i="64"/>
  <c r="L122" i="64"/>
  <c r="O122" i="64"/>
  <c r="P122" i="64"/>
  <c r="L123" i="64"/>
  <c r="O123" i="64"/>
  <c r="P123" i="64"/>
  <c r="L124" i="64"/>
  <c r="O124" i="64"/>
  <c r="P124" i="64"/>
  <c r="L125" i="64"/>
  <c r="O125" i="64"/>
  <c r="P125" i="64"/>
  <c r="L126" i="64"/>
  <c r="O126" i="64"/>
  <c r="P126" i="64"/>
  <c r="L127" i="64"/>
  <c r="O127" i="64"/>
  <c r="P127" i="64"/>
  <c r="L128" i="64"/>
  <c r="O128" i="64"/>
  <c r="P128" i="64"/>
  <c r="L129" i="64"/>
  <c r="O129" i="64"/>
  <c r="P129" i="64"/>
  <c r="L130" i="64"/>
  <c r="O130" i="64"/>
  <c r="P130" i="64"/>
  <c r="L131" i="64"/>
  <c r="O131" i="64"/>
  <c r="P131" i="64"/>
  <c r="L132" i="64"/>
  <c r="O132" i="64"/>
  <c r="P132" i="64"/>
  <c r="L133" i="64"/>
  <c r="O133" i="64"/>
  <c r="P133" i="64"/>
  <c r="L134" i="64"/>
  <c r="O134" i="64"/>
  <c r="P134" i="64"/>
  <c r="L135" i="64"/>
  <c r="O135" i="64"/>
  <c r="P135" i="64"/>
  <c r="L136" i="64"/>
  <c r="O136" i="64"/>
  <c r="P136" i="64"/>
  <c r="L137" i="64"/>
  <c r="O137" i="64"/>
  <c r="P137" i="64"/>
  <c r="L138" i="64"/>
  <c r="O138" i="64"/>
  <c r="P138" i="64"/>
  <c r="L139" i="64"/>
  <c r="O139" i="64"/>
  <c r="P139" i="64"/>
  <c r="L140" i="64"/>
  <c r="O140" i="64"/>
  <c r="P140" i="64"/>
  <c r="L141" i="64"/>
  <c r="O141" i="64"/>
  <c r="P141" i="64"/>
  <c r="L142" i="64"/>
  <c r="O142" i="64"/>
  <c r="P142" i="64"/>
  <c r="L143" i="64"/>
  <c r="O143" i="64"/>
  <c r="P143" i="64"/>
  <c r="L144" i="64"/>
  <c r="O144" i="64"/>
  <c r="P144" i="64"/>
  <c r="L145" i="64"/>
  <c r="O145" i="64"/>
  <c r="P145" i="64"/>
  <c r="L146" i="64"/>
  <c r="O146" i="64"/>
  <c r="P146" i="64"/>
  <c r="L147" i="64"/>
  <c r="O147" i="64"/>
  <c r="P147" i="64"/>
  <c r="L148" i="64"/>
  <c r="O148" i="64"/>
  <c r="P148" i="64"/>
  <c r="L149" i="64"/>
  <c r="O149" i="64"/>
  <c r="P149" i="64"/>
  <c r="L150" i="64"/>
  <c r="O150" i="64"/>
  <c r="P150" i="64"/>
  <c r="L151" i="64"/>
  <c r="O151" i="64"/>
  <c r="P151" i="64"/>
  <c r="L152" i="64"/>
  <c r="O152" i="64"/>
  <c r="P152" i="64"/>
  <c r="L153" i="64"/>
  <c r="O153" i="64"/>
  <c r="P153" i="64"/>
  <c r="L154" i="64"/>
  <c r="O154" i="64"/>
  <c r="P154" i="64"/>
  <c r="L155" i="64"/>
  <c r="O155" i="64"/>
  <c r="P155" i="64"/>
  <c r="L156" i="64"/>
  <c r="O156" i="64"/>
  <c r="P156" i="64"/>
  <c r="L157" i="64"/>
  <c r="O157" i="64"/>
  <c r="P157" i="64"/>
  <c r="L158" i="64"/>
  <c r="O158" i="64"/>
  <c r="P158" i="64"/>
  <c r="L159" i="64"/>
  <c r="O159" i="64"/>
  <c r="P159" i="64"/>
  <c r="L160" i="64"/>
  <c r="O160" i="64"/>
  <c r="P160" i="64"/>
  <c r="L161" i="64"/>
  <c r="O161" i="64"/>
  <c r="P161" i="64"/>
  <c r="L162" i="64"/>
  <c r="O162" i="64"/>
  <c r="P162" i="64"/>
  <c r="L163" i="64"/>
  <c r="O163" i="64"/>
  <c r="P163" i="64"/>
  <c r="L164" i="64"/>
  <c r="O164" i="64"/>
  <c r="P164" i="64"/>
  <c r="L165" i="64"/>
  <c r="O165" i="64"/>
  <c r="P165" i="64"/>
  <c r="L166" i="64"/>
  <c r="O166" i="64"/>
  <c r="P166" i="64"/>
  <c r="L167" i="64"/>
  <c r="O167" i="64"/>
  <c r="P167" i="64"/>
  <c r="L168" i="64"/>
  <c r="O168" i="64"/>
  <c r="P168" i="64"/>
  <c r="L169" i="64"/>
  <c r="O169" i="64"/>
  <c r="P169" i="64"/>
  <c r="L170" i="64"/>
  <c r="O170" i="64"/>
  <c r="P170" i="64"/>
  <c r="L171" i="64"/>
  <c r="O171" i="64"/>
  <c r="P171" i="64"/>
  <c r="L172" i="64"/>
  <c r="O172" i="64"/>
  <c r="P172" i="64"/>
  <c r="L173" i="64"/>
  <c r="O173" i="64"/>
  <c r="P173" i="64"/>
  <c r="L174" i="64"/>
  <c r="O174" i="64"/>
  <c r="P174" i="64"/>
  <c r="L175" i="64"/>
  <c r="O175" i="64"/>
  <c r="P175" i="64"/>
  <c r="L176" i="64"/>
  <c r="O176" i="64"/>
  <c r="P176" i="64"/>
  <c r="L177" i="64"/>
  <c r="O177" i="64"/>
  <c r="P177" i="64"/>
  <c r="L178" i="64"/>
  <c r="O178" i="64"/>
  <c r="P178" i="64"/>
  <c r="L179" i="64"/>
  <c r="O179" i="64"/>
  <c r="P179" i="64"/>
  <c r="L180" i="64"/>
  <c r="O180" i="64"/>
  <c r="P180" i="64"/>
  <c r="L181" i="64"/>
  <c r="O181" i="64"/>
  <c r="P181" i="64"/>
  <c r="L182" i="64"/>
  <c r="O182" i="64"/>
  <c r="P182" i="64"/>
  <c r="L183" i="64"/>
  <c r="O183" i="64"/>
  <c r="P183" i="64"/>
  <c r="L184" i="64"/>
  <c r="O184" i="64"/>
  <c r="P184" i="64"/>
  <c r="L185" i="64"/>
  <c r="O185" i="64"/>
  <c r="P185" i="64"/>
  <c r="L186" i="64"/>
  <c r="O186" i="64"/>
  <c r="P186" i="64"/>
  <c r="L187" i="64"/>
  <c r="O187" i="64"/>
  <c r="P187" i="64"/>
  <c r="L188" i="64"/>
  <c r="O188" i="64"/>
  <c r="P188" i="64"/>
  <c r="L189" i="64"/>
  <c r="O189" i="64"/>
  <c r="P189" i="64"/>
  <c r="L190" i="64"/>
  <c r="O190" i="64"/>
  <c r="P190" i="64"/>
  <c r="L191" i="64"/>
  <c r="O191" i="64"/>
  <c r="P191" i="64"/>
  <c r="L192" i="64"/>
  <c r="O192" i="64"/>
  <c r="P192" i="64"/>
  <c r="L193" i="64"/>
  <c r="O193" i="64"/>
  <c r="P193" i="64"/>
  <c r="L194" i="64"/>
  <c r="O194" i="64"/>
  <c r="P194" i="64"/>
  <c r="L195" i="64"/>
  <c r="O195" i="64"/>
  <c r="P195" i="64"/>
  <c r="L196" i="64"/>
  <c r="O196" i="64"/>
  <c r="P196" i="64"/>
  <c r="L197" i="64"/>
  <c r="O197" i="64"/>
  <c r="P197" i="64"/>
  <c r="L198" i="64"/>
  <c r="O198" i="64"/>
  <c r="P198" i="64"/>
  <c r="L199" i="64"/>
  <c r="O199" i="64"/>
  <c r="P199" i="64"/>
  <c r="L200" i="64"/>
  <c r="O200" i="64"/>
  <c r="P200" i="64"/>
  <c r="L201" i="64"/>
  <c r="O201" i="64"/>
  <c r="P201" i="64"/>
  <c r="L202" i="64"/>
  <c r="O202" i="64"/>
  <c r="P202" i="64"/>
  <c r="L203" i="64"/>
  <c r="O203" i="64"/>
  <c r="P203" i="64"/>
  <c r="L204" i="64"/>
  <c r="O204" i="64"/>
  <c r="P204" i="64"/>
  <c r="L205" i="64"/>
  <c r="O205" i="64"/>
  <c r="P205" i="64"/>
  <c r="L206" i="64"/>
  <c r="O206" i="64"/>
  <c r="P206" i="64"/>
  <c r="L207" i="64"/>
  <c r="O207" i="64"/>
  <c r="P207" i="64"/>
  <c r="L208" i="64"/>
  <c r="O208" i="64"/>
  <c r="P208" i="64"/>
  <c r="L209" i="64"/>
  <c r="O209" i="64"/>
  <c r="P209" i="64"/>
  <c r="L210" i="64"/>
  <c r="O210" i="64"/>
  <c r="P210" i="64"/>
  <c r="L211" i="64"/>
  <c r="O211" i="64"/>
  <c r="P211" i="64"/>
  <c r="L212" i="64"/>
  <c r="O212" i="64"/>
  <c r="P212" i="64"/>
  <c r="L213" i="64"/>
  <c r="O213" i="64"/>
  <c r="P213" i="64"/>
  <c r="L214" i="64"/>
  <c r="O214" i="64"/>
  <c r="P214" i="64"/>
  <c r="L215" i="64"/>
  <c r="O215" i="64"/>
  <c r="P215" i="64"/>
  <c r="L216" i="64"/>
  <c r="O216" i="64"/>
  <c r="P216" i="64"/>
  <c r="L217" i="64"/>
  <c r="O217" i="64"/>
  <c r="P217" i="64"/>
  <c r="L218" i="64"/>
  <c r="O218" i="64"/>
  <c r="P218" i="64"/>
  <c r="L219" i="64"/>
  <c r="O219" i="64"/>
  <c r="P219" i="64"/>
  <c r="L220" i="64"/>
  <c r="O220" i="64"/>
  <c r="P220" i="64"/>
  <c r="L221" i="64"/>
  <c r="O221" i="64"/>
  <c r="P221" i="64"/>
  <c r="L222" i="64"/>
  <c r="O222" i="64"/>
  <c r="P222" i="64"/>
  <c r="L223" i="64"/>
  <c r="O223" i="64"/>
  <c r="P223" i="64"/>
  <c r="L224" i="64"/>
  <c r="O224" i="64"/>
  <c r="P224" i="64"/>
  <c r="L225" i="64"/>
  <c r="O225" i="64"/>
  <c r="P225" i="64"/>
  <c r="L226" i="64"/>
  <c r="O226" i="64"/>
  <c r="P226" i="64"/>
  <c r="L227" i="64"/>
  <c r="O227" i="64"/>
  <c r="P227" i="64"/>
  <c r="L228" i="64"/>
  <c r="O228" i="64"/>
  <c r="P228" i="64"/>
  <c r="L229" i="64"/>
  <c r="O229" i="64"/>
  <c r="P229" i="64"/>
  <c r="L230" i="64"/>
  <c r="O230" i="64"/>
  <c r="P230" i="64"/>
  <c r="L231" i="64"/>
  <c r="O231" i="64"/>
  <c r="P231" i="64"/>
  <c r="L232" i="64"/>
  <c r="O232" i="64"/>
  <c r="P232" i="64"/>
  <c r="L233" i="64"/>
  <c r="O233" i="64"/>
  <c r="P233" i="64"/>
  <c r="L234" i="64"/>
  <c r="O234" i="64"/>
  <c r="P234" i="64"/>
  <c r="L235" i="64"/>
  <c r="O235" i="64"/>
  <c r="P235" i="64"/>
  <c r="L236" i="64"/>
  <c r="O236" i="64"/>
  <c r="P236" i="64"/>
  <c r="L237" i="64"/>
  <c r="O237" i="64"/>
  <c r="P237" i="64"/>
  <c r="L238" i="64"/>
  <c r="O238" i="64"/>
  <c r="P238" i="64"/>
  <c r="L239" i="64"/>
  <c r="O239" i="64"/>
  <c r="P239" i="64"/>
  <c r="L240" i="64"/>
  <c r="O240" i="64"/>
  <c r="P240" i="64"/>
  <c r="L241" i="64"/>
  <c r="O241" i="64"/>
  <c r="P241" i="64"/>
  <c r="L242" i="64"/>
  <c r="O242" i="64"/>
  <c r="P242" i="64"/>
  <c r="L243" i="64"/>
  <c r="O243" i="64"/>
  <c r="P243" i="64"/>
  <c r="L244" i="64"/>
  <c r="O244" i="64"/>
  <c r="P244" i="64"/>
  <c r="L245" i="64"/>
  <c r="O245" i="64"/>
  <c r="P245" i="64"/>
  <c r="L246" i="64"/>
  <c r="O246" i="64"/>
  <c r="P246" i="64"/>
  <c r="L247" i="64"/>
  <c r="O247" i="64"/>
  <c r="P247" i="64"/>
  <c r="L248" i="64"/>
  <c r="O248" i="64"/>
  <c r="P248" i="64"/>
  <c r="L249" i="64"/>
  <c r="O249" i="64"/>
  <c r="P249" i="64"/>
  <c r="L250" i="64"/>
  <c r="O250" i="64"/>
  <c r="P250" i="64"/>
  <c r="L251" i="64"/>
  <c r="O251" i="64"/>
  <c r="P251" i="64"/>
  <c r="L252" i="64"/>
  <c r="O252" i="64"/>
  <c r="P252" i="64"/>
  <c r="L253" i="64"/>
  <c r="O253" i="64"/>
  <c r="P253" i="64"/>
  <c r="L254" i="64"/>
  <c r="O254" i="64"/>
  <c r="P254" i="64"/>
  <c r="L255" i="64"/>
  <c r="O255" i="64"/>
  <c r="P255" i="64"/>
  <c r="L256" i="64"/>
  <c r="O256" i="64"/>
  <c r="P256" i="64"/>
  <c r="L257" i="64"/>
  <c r="O257" i="64"/>
  <c r="P257" i="64"/>
  <c r="E13" i="68"/>
  <c r="F13" i="68"/>
  <c r="H13" i="68"/>
  <c r="E14" i="68"/>
  <c r="F14" i="68"/>
  <c r="H14" i="68"/>
  <c r="E15" i="68"/>
  <c r="F15" i="68"/>
  <c r="H15" i="68"/>
  <c r="E16" i="68"/>
  <c r="F16" i="68"/>
  <c r="H16" i="68"/>
  <c r="E17" i="68"/>
  <c r="F17" i="68"/>
  <c r="H17" i="68"/>
  <c r="E18" i="68"/>
  <c r="F18" i="68"/>
  <c r="H18" i="68"/>
  <c r="E19" i="68"/>
  <c r="F19" i="68"/>
  <c r="H19" i="68"/>
  <c r="E20" i="68"/>
  <c r="F20" i="68"/>
  <c r="H20" i="68"/>
  <c r="E21" i="68"/>
  <c r="F21" i="68"/>
  <c r="H21" i="68"/>
  <c r="E22" i="68"/>
  <c r="F22" i="68"/>
  <c r="H22" i="68"/>
  <c r="E23" i="68"/>
  <c r="F23" i="68"/>
  <c r="H23" i="68"/>
  <c r="E24" i="68"/>
  <c r="F24" i="68"/>
  <c r="H24" i="68"/>
  <c r="E25" i="68"/>
  <c r="F25" i="68"/>
  <c r="H25" i="68"/>
  <c r="E26" i="68"/>
  <c r="F26" i="68"/>
  <c r="H26" i="68"/>
  <c r="E27" i="68"/>
  <c r="F27" i="68"/>
  <c r="H27" i="68"/>
  <c r="E28" i="68"/>
  <c r="F28" i="68"/>
  <c r="H28" i="68"/>
  <c r="E29" i="68"/>
  <c r="F29" i="68"/>
  <c r="H29" i="68"/>
  <c r="E30" i="68"/>
  <c r="F30" i="68"/>
  <c r="H30" i="68"/>
  <c r="E31" i="68"/>
  <c r="F31" i="68"/>
  <c r="H31" i="68"/>
  <c r="E32" i="68"/>
  <c r="F32" i="68"/>
  <c r="H32" i="68"/>
  <c r="E33" i="68"/>
  <c r="F33" i="68"/>
  <c r="H33" i="68"/>
  <c r="E34" i="68"/>
  <c r="F34" i="68"/>
  <c r="H34" i="68"/>
  <c r="E35" i="68"/>
  <c r="F35" i="68"/>
  <c r="H35" i="68"/>
  <c r="E36" i="68"/>
  <c r="F36" i="68"/>
  <c r="H36" i="68"/>
  <c r="E37" i="68"/>
  <c r="F37" i="68"/>
  <c r="H37" i="68"/>
  <c r="E38" i="68"/>
  <c r="F38" i="68"/>
  <c r="H38" i="68"/>
  <c r="E39" i="68"/>
  <c r="F39" i="68"/>
  <c r="H39" i="68"/>
  <c r="E40" i="68"/>
  <c r="F40" i="68"/>
  <c r="H40" i="68"/>
  <c r="E41" i="68"/>
  <c r="F41" i="68"/>
  <c r="H41" i="68"/>
  <c r="E42" i="68"/>
  <c r="F42" i="68"/>
  <c r="H42" i="68"/>
  <c r="E43" i="68"/>
  <c r="F43" i="68"/>
  <c r="H43" i="68"/>
  <c r="E44" i="68"/>
  <c r="F44" i="68"/>
  <c r="H44" i="68"/>
  <c r="E45" i="68"/>
  <c r="F45" i="68"/>
  <c r="H45" i="68"/>
  <c r="E46" i="68"/>
  <c r="F46" i="68"/>
  <c r="H46" i="68"/>
  <c r="E47" i="68"/>
  <c r="F47" i="68"/>
  <c r="H47" i="68"/>
  <c r="E48" i="68"/>
  <c r="F48" i="68"/>
  <c r="H48" i="68"/>
  <c r="E49" i="68"/>
  <c r="F49" i="68"/>
  <c r="H49" i="68"/>
  <c r="E50" i="68"/>
  <c r="F50" i="68"/>
  <c r="H50" i="68"/>
  <c r="E51" i="68"/>
  <c r="F51" i="68"/>
  <c r="H51" i="68"/>
  <c r="E52" i="68"/>
  <c r="F52" i="68"/>
  <c r="H52" i="68"/>
  <c r="E53" i="68"/>
  <c r="F53" i="68"/>
  <c r="H53" i="68"/>
  <c r="E54" i="68"/>
  <c r="F54" i="68"/>
  <c r="H54" i="68"/>
  <c r="E55" i="68"/>
  <c r="F55" i="68"/>
  <c r="H55" i="68"/>
  <c r="E56" i="68"/>
  <c r="F56" i="68"/>
  <c r="H56" i="68"/>
  <c r="E57" i="68"/>
  <c r="F57" i="68"/>
  <c r="H57" i="68"/>
  <c r="E58" i="68"/>
  <c r="F58" i="68"/>
  <c r="H58" i="68"/>
  <c r="E59" i="68"/>
  <c r="F59" i="68"/>
  <c r="H59" i="68"/>
  <c r="E60" i="68"/>
  <c r="F60" i="68"/>
  <c r="H60" i="68"/>
  <c r="E61" i="68"/>
  <c r="F61" i="68"/>
  <c r="H61" i="68"/>
  <c r="E62" i="68"/>
  <c r="F62" i="68"/>
  <c r="H62" i="68"/>
  <c r="E63" i="68"/>
  <c r="F63" i="68"/>
  <c r="H63" i="68"/>
  <c r="E64" i="68"/>
  <c r="F64" i="68"/>
  <c r="H64" i="68"/>
  <c r="E65" i="68"/>
  <c r="F65" i="68"/>
  <c r="H65" i="68"/>
  <c r="E66" i="68"/>
  <c r="F66" i="68"/>
  <c r="H66" i="68"/>
  <c r="E67" i="68"/>
  <c r="F67" i="68"/>
  <c r="H67" i="68"/>
  <c r="E68" i="68"/>
  <c r="F68" i="68"/>
  <c r="H68" i="68"/>
  <c r="E69" i="68"/>
  <c r="F69" i="68"/>
  <c r="H69" i="68"/>
  <c r="E70" i="68"/>
  <c r="F70" i="68"/>
  <c r="H70" i="68"/>
  <c r="E71" i="68"/>
  <c r="F71" i="68"/>
  <c r="H71" i="68"/>
  <c r="E72" i="68"/>
  <c r="F72" i="68"/>
  <c r="H72" i="68"/>
  <c r="E73" i="68"/>
  <c r="F73" i="68"/>
  <c r="H73" i="68"/>
  <c r="E74" i="68"/>
  <c r="F74" i="68"/>
  <c r="H74" i="68"/>
  <c r="E75" i="68"/>
  <c r="F75" i="68"/>
  <c r="H75" i="68"/>
  <c r="E76" i="68"/>
  <c r="F76" i="68"/>
  <c r="H76" i="68"/>
  <c r="E77" i="68"/>
  <c r="F77" i="68"/>
  <c r="H77" i="68"/>
  <c r="E78" i="68"/>
  <c r="F78" i="68"/>
  <c r="H78" i="68"/>
  <c r="E79" i="68"/>
  <c r="F79" i="68"/>
  <c r="H79" i="68"/>
  <c r="E80" i="68"/>
  <c r="F80" i="68"/>
  <c r="H80" i="68"/>
  <c r="E81" i="68"/>
  <c r="F81" i="68"/>
  <c r="H81" i="68"/>
  <c r="E82" i="68"/>
  <c r="F82" i="68"/>
  <c r="H82" i="68"/>
  <c r="E83" i="68"/>
  <c r="F83" i="68"/>
  <c r="H83" i="68"/>
  <c r="E84" i="68"/>
  <c r="F84" i="68"/>
  <c r="H84" i="68"/>
  <c r="E85" i="68"/>
  <c r="F85" i="68"/>
  <c r="H85" i="68"/>
  <c r="E86" i="68"/>
  <c r="F86" i="68"/>
  <c r="H86" i="68"/>
  <c r="E87" i="68"/>
  <c r="F87" i="68"/>
  <c r="H87" i="68"/>
  <c r="E88" i="68"/>
  <c r="F88" i="68"/>
  <c r="H88" i="68"/>
  <c r="E89" i="68"/>
  <c r="F89" i="68"/>
  <c r="H89" i="68"/>
  <c r="E90" i="68"/>
  <c r="F90" i="68"/>
  <c r="H90" i="68"/>
  <c r="E91" i="68"/>
  <c r="F91" i="68"/>
  <c r="H91" i="68"/>
  <c r="E92" i="68"/>
  <c r="F92" i="68"/>
  <c r="H92" i="68"/>
  <c r="E93" i="68"/>
  <c r="F93" i="68"/>
  <c r="H93" i="68"/>
  <c r="E94" i="68"/>
  <c r="F94" i="68"/>
  <c r="H94" i="68"/>
  <c r="E95" i="68"/>
  <c r="F95" i="68"/>
  <c r="H95" i="68"/>
  <c r="E96" i="68"/>
  <c r="F96" i="68"/>
  <c r="H96" i="68"/>
  <c r="E97" i="68"/>
  <c r="F97" i="68"/>
  <c r="H97" i="68"/>
  <c r="E98" i="68"/>
  <c r="F98" i="68"/>
  <c r="H98" i="68"/>
  <c r="E99" i="68"/>
  <c r="F99" i="68"/>
  <c r="H99" i="68"/>
  <c r="E100" i="68"/>
  <c r="F100" i="68"/>
  <c r="H100" i="68"/>
  <c r="E101" i="68"/>
  <c r="F101" i="68"/>
  <c r="H101" i="68"/>
  <c r="E102" i="68"/>
  <c r="F102" i="68"/>
  <c r="H102" i="68"/>
  <c r="E103" i="68"/>
  <c r="F103" i="68"/>
  <c r="H103" i="68"/>
  <c r="E104" i="68"/>
  <c r="F104" i="68"/>
  <c r="H104" i="68"/>
  <c r="E105" i="68"/>
  <c r="F105" i="68"/>
  <c r="H105" i="68"/>
  <c r="E106" i="68"/>
  <c r="F106" i="68"/>
  <c r="H106" i="68"/>
  <c r="E107" i="68"/>
  <c r="F107" i="68"/>
  <c r="H107" i="68"/>
  <c r="E108" i="68"/>
  <c r="F108" i="68"/>
  <c r="H108" i="68"/>
  <c r="E109" i="68"/>
  <c r="F109" i="68"/>
  <c r="H109" i="68"/>
  <c r="E110" i="68"/>
  <c r="F110" i="68"/>
  <c r="H110" i="68"/>
  <c r="E111" i="68"/>
  <c r="F111" i="68"/>
  <c r="H111" i="68"/>
  <c r="E112" i="68"/>
  <c r="F112" i="68"/>
  <c r="H112" i="68"/>
  <c r="E113" i="68"/>
  <c r="F113" i="68"/>
  <c r="H113" i="68"/>
  <c r="E114" i="68"/>
  <c r="F114" i="68"/>
  <c r="H114" i="68"/>
  <c r="E115" i="68"/>
  <c r="F115" i="68"/>
  <c r="H115" i="68"/>
  <c r="E116" i="68"/>
  <c r="F116" i="68"/>
  <c r="H116" i="68"/>
  <c r="E117" i="68"/>
  <c r="F117" i="68"/>
  <c r="H117" i="68"/>
  <c r="E118" i="68"/>
  <c r="F118" i="68"/>
  <c r="H118" i="68"/>
  <c r="E119" i="68"/>
  <c r="F119" i="68"/>
  <c r="H119" i="68"/>
  <c r="E120" i="68"/>
  <c r="F120" i="68"/>
  <c r="H120" i="68"/>
  <c r="E121" i="68"/>
  <c r="F121" i="68"/>
  <c r="H121" i="68"/>
  <c r="E122" i="68"/>
  <c r="F122" i="68"/>
  <c r="H122" i="68"/>
  <c r="E123" i="68"/>
  <c r="F123" i="68"/>
  <c r="H123" i="68"/>
  <c r="E124" i="68"/>
  <c r="F124" i="68"/>
  <c r="H124" i="68"/>
  <c r="E125" i="68"/>
  <c r="F125" i="68"/>
  <c r="H125" i="68"/>
  <c r="E126" i="68"/>
  <c r="F126" i="68"/>
  <c r="H126" i="68"/>
  <c r="E127" i="68"/>
  <c r="F127" i="68"/>
  <c r="H127" i="68"/>
  <c r="E128" i="68"/>
  <c r="F128" i="68"/>
  <c r="H128" i="68"/>
  <c r="E129" i="68"/>
  <c r="F129" i="68"/>
  <c r="H129" i="68"/>
  <c r="E130" i="68"/>
  <c r="F130" i="68"/>
  <c r="H130" i="68"/>
  <c r="E131" i="68"/>
  <c r="F131" i="68"/>
  <c r="H131" i="68"/>
  <c r="E132" i="68"/>
  <c r="F132" i="68"/>
  <c r="H132" i="68"/>
  <c r="E133" i="68"/>
  <c r="F133" i="68"/>
  <c r="H133" i="68"/>
  <c r="E134" i="68"/>
  <c r="F134" i="68"/>
  <c r="H134" i="68"/>
  <c r="E135" i="68"/>
  <c r="F135" i="68"/>
  <c r="H135" i="68"/>
  <c r="E136" i="68"/>
  <c r="F136" i="68"/>
  <c r="H136" i="68"/>
  <c r="E137" i="68"/>
  <c r="F137" i="68"/>
  <c r="H137" i="68"/>
  <c r="E138" i="68"/>
  <c r="F138" i="68"/>
  <c r="H138" i="68"/>
  <c r="E139" i="68"/>
  <c r="F139" i="68"/>
  <c r="H139" i="68"/>
  <c r="E140" i="68"/>
  <c r="F140" i="68"/>
  <c r="H140" i="68"/>
  <c r="E141" i="68"/>
  <c r="F141" i="68"/>
  <c r="H141" i="68"/>
  <c r="E142" i="68"/>
  <c r="F142" i="68"/>
  <c r="H142" i="68"/>
  <c r="E143" i="68"/>
  <c r="F143" i="68"/>
  <c r="H143" i="68"/>
  <c r="E144" i="68"/>
  <c r="F144" i="68"/>
  <c r="H144" i="68"/>
  <c r="E145" i="68"/>
  <c r="F145" i="68"/>
  <c r="H145" i="68"/>
  <c r="E146" i="68"/>
  <c r="F146" i="68"/>
  <c r="H146" i="68"/>
  <c r="E147" i="68"/>
  <c r="F147" i="68"/>
  <c r="H147" i="68"/>
  <c r="E148" i="68"/>
  <c r="F148" i="68"/>
  <c r="H148" i="68"/>
  <c r="E149" i="68"/>
  <c r="F149" i="68"/>
  <c r="H149" i="68"/>
  <c r="E150" i="68"/>
  <c r="F150" i="68"/>
  <c r="H150" i="68"/>
  <c r="E151" i="68"/>
  <c r="F151" i="68"/>
  <c r="H151" i="68"/>
  <c r="E152" i="68"/>
  <c r="F152" i="68"/>
  <c r="H152" i="68"/>
  <c r="E153" i="68"/>
  <c r="F153" i="68"/>
  <c r="H153" i="68"/>
  <c r="E154" i="68"/>
  <c r="F154" i="68"/>
  <c r="H154" i="68"/>
  <c r="E155" i="68"/>
  <c r="F155" i="68"/>
  <c r="H155" i="68"/>
  <c r="E156" i="68"/>
  <c r="F156" i="68"/>
  <c r="H156" i="68"/>
  <c r="E157" i="68"/>
  <c r="F157" i="68"/>
  <c r="H157" i="68"/>
  <c r="E158" i="68"/>
  <c r="F158" i="68"/>
  <c r="H158" i="68"/>
  <c r="E159" i="68"/>
  <c r="F159" i="68"/>
  <c r="H159" i="68"/>
  <c r="E160" i="68"/>
  <c r="F160" i="68"/>
  <c r="H160" i="68"/>
  <c r="E161" i="68"/>
  <c r="F161" i="68"/>
  <c r="H161" i="68"/>
  <c r="E162" i="68"/>
  <c r="F162" i="68"/>
  <c r="H162" i="68"/>
  <c r="E163" i="68"/>
  <c r="F163" i="68"/>
  <c r="H163" i="68"/>
  <c r="E164" i="68"/>
  <c r="F164" i="68"/>
  <c r="H164" i="68"/>
  <c r="E165" i="68"/>
  <c r="F165" i="68"/>
  <c r="H165" i="68"/>
  <c r="E166" i="68"/>
  <c r="F166" i="68"/>
  <c r="H166" i="68"/>
  <c r="E167" i="68"/>
  <c r="F167" i="68"/>
  <c r="H167" i="68"/>
  <c r="E168" i="68"/>
  <c r="F168" i="68"/>
  <c r="H168" i="68"/>
  <c r="E169" i="68"/>
  <c r="F169" i="68"/>
  <c r="H169" i="68"/>
  <c r="E170" i="68"/>
  <c r="F170" i="68"/>
  <c r="H170" i="68"/>
  <c r="E171" i="68"/>
  <c r="F171" i="68"/>
  <c r="H171" i="68"/>
  <c r="E172" i="68"/>
  <c r="F172" i="68"/>
  <c r="H172" i="68"/>
  <c r="E173" i="68"/>
  <c r="F173" i="68"/>
  <c r="H173" i="68"/>
  <c r="E174" i="68"/>
  <c r="F174" i="68"/>
  <c r="H174" i="68"/>
  <c r="E175" i="68"/>
  <c r="F175" i="68"/>
  <c r="H175" i="68"/>
  <c r="E176" i="68"/>
  <c r="F176" i="68"/>
  <c r="H176" i="68"/>
  <c r="E177" i="68"/>
  <c r="F177" i="68"/>
  <c r="H177" i="68"/>
  <c r="E178" i="68"/>
  <c r="F178" i="68"/>
  <c r="H178" i="68"/>
  <c r="E179" i="68"/>
  <c r="F179" i="68"/>
  <c r="H179" i="68"/>
  <c r="E180" i="68"/>
  <c r="F180" i="68"/>
  <c r="H180" i="68"/>
  <c r="E181" i="68"/>
  <c r="F181" i="68"/>
  <c r="H181" i="68"/>
  <c r="E182" i="68"/>
  <c r="F182" i="68"/>
  <c r="H182" i="68"/>
  <c r="E183" i="68"/>
  <c r="F183" i="68"/>
  <c r="H183" i="68"/>
  <c r="E184" i="68"/>
  <c r="F184" i="68"/>
  <c r="H184" i="68"/>
  <c r="E185" i="68"/>
  <c r="F185" i="68"/>
  <c r="H185" i="68"/>
  <c r="E186" i="68"/>
  <c r="F186" i="68"/>
  <c r="H186" i="68"/>
  <c r="E187" i="68"/>
  <c r="F187" i="68"/>
  <c r="H187" i="68"/>
  <c r="E188" i="68"/>
  <c r="F188" i="68"/>
  <c r="H188" i="68"/>
  <c r="E189" i="68"/>
  <c r="F189" i="68"/>
  <c r="H189" i="68"/>
  <c r="E190" i="68"/>
  <c r="F190" i="68"/>
  <c r="H190" i="68"/>
  <c r="E191" i="68"/>
  <c r="F191" i="68"/>
  <c r="H191" i="68"/>
  <c r="E192" i="68"/>
  <c r="F192" i="68"/>
  <c r="H192" i="68"/>
  <c r="E193" i="68"/>
  <c r="F193" i="68"/>
  <c r="H193" i="68"/>
  <c r="E194" i="68"/>
  <c r="F194" i="68"/>
  <c r="H194" i="68"/>
  <c r="E195" i="68"/>
  <c r="F195" i="68"/>
  <c r="H195" i="68"/>
  <c r="E196" i="68"/>
  <c r="F196" i="68"/>
  <c r="H196" i="68"/>
  <c r="E197" i="68"/>
  <c r="F197" i="68"/>
  <c r="H197" i="68"/>
  <c r="E198" i="68"/>
  <c r="F198" i="68"/>
  <c r="H198" i="68"/>
  <c r="E199" i="68"/>
  <c r="F199" i="68"/>
  <c r="H199" i="68"/>
  <c r="E200" i="68"/>
  <c r="F200" i="68"/>
  <c r="H200" i="68"/>
  <c r="E201" i="68"/>
  <c r="F201" i="68"/>
  <c r="H201" i="68"/>
  <c r="E202" i="68"/>
  <c r="F202" i="68"/>
  <c r="H202" i="68"/>
  <c r="E203" i="68"/>
  <c r="F203" i="68"/>
  <c r="H203" i="68"/>
  <c r="E204" i="68"/>
  <c r="F204" i="68"/>
  <c r="H204" i="68"/>
  <c r="E205" i="68"/>
  <c r="F205" i="68"/>
  <c r="H205" i="68"/>
  <c r="E206" i="68"/>
  <c r="F206" i="68"/>
  <c r="H206" i="68"/>
  <c r="E207" i="68"/>
  <c r="F207" i="68"/>
  <c r="H207" i="68"/>
  <c r="E208" i="68"/>
  <c r="F208" i="68"/>
  <c r="H208" i="68"/>
  <c r="E209" i="68"/>
  <c r="F209" i="68"/>
  <c r="H209" i="68"/>
  <c r="E210" i="68"/>
  <c r="F210" i="68"/>
  <c r="H210" i="68"/>
  <c r="E211" i="68"/>
  <c r="F211" i="68"/>
  <c r="H211" i="68"/>
  <c r="E212" i="68"/>
  <c r="F212" i="68"/>
  <c r="H212" i="68"/>
  <c r="E213" i="68"/>
  <c r="F213" i="68"/>
  <c r="H213" i="68"/>
  <c r="E214" i="68"/>
  <c r="F214" i="68"/>
  <c r="H214" i="68"/>
  <c r="E215" i="68"/>
  <c r="F215" i="68"/>
  <c r="H215" i="68"/>
  <c r="E216" i="68"/>
  <c r="F216" i="68"/>
  <c r="H216" i="68"/>
  <c r="E217" i="68"/>
  <c r="F217" i="68"/>
  <c r="H217" i="68"/>
  <c r="E218" i="68"/>
  <c r="F218" i="68"/>
  <c r="H218" i="68"/>
  <c r="E219" i="68"/>
  <c r="F219" i="68"/>
  <c r="H219" i="68"/>
  <c r="E220" i="68"/>
  <c r="F220" i="68"/>
  <c r="H220" i="68"/>
  <c r="E221" i="68"/>
  <c r="F221" i="68"/>
  <c r="H221" i="68"/>
  <c r="E222" i="68"/>
  <c r="F222" i="68"/>
  <c r="H222" i="68"/>
  <c r="E223" i="68"/>
  <c r="F223" i="68"/>
  <c r="H223" i="68"/>
  <c r="E224" i="68"/>
  <c r="F224" i="68"/>
  <c r="H224" i="68"/>
  <c r="E225" i="68"/>
  <c r="F225" i="68"/>
  <c r="H225" i="68"/>
  <c r="E226" i="68"/>
  <c r="F226" i="68"/>
  <c r="H226" i="68"/>
  <c r="E227" i="68"/>
  <c r="F227" i="68"/>
  <c r="H227" i="68"/>
  <c r="E228" i="68"/>
  <c r="F228" i="68"/>
  <c r="H228" i="68"/>
  <c r="E229" i="68"/>
  <c r="F229" i="68"/>
  <c r="H229" i="68"/>
  <c r="E230" i="68"/>
  <c r="F230" i="68"/>
  <c r="H230" i="68"/>
  <c r="E231" i="68"/>
  <c r="F231" i="68"/>
  <c r="H231" i="68"/>
  <c r="E232" i="68"/>
  <c r="F232" i="68"/>
  <c r="H232" i="68"/>
  <c r="E233" i="68"/>
  <c r="F233" i="68"/>
  <c r="H233" i="68"/>
  <c r="E234" i="68"/>
  <c r="F234" i="68"/>
  <c r="H234" i="68"/>
  <c r="E235" i="68"/>
  <c r="F235" i="68"/>
  <c r="H235" i="68"/>
  <c r="E236" i="68"/>
  <c r="F236" i="68"/>
  <c r="H236" i="68"/>
  <c r="E237" i="68"/>
  <c r="F237" i="68"/>
  <c r="H237" i="68"/>
  <c r="E238" i="68"/>
  <c r="F238" i="68"/>
  <c r="H238" i="68"/>
  <c r="E239" i="68"/>
  <c r="F239" i="68"/>
  <c r="H239" i="68"/>
  <c r="E240" i="68"/>
  <c r="F240" i="68"/>
  <c r="H240" i="68"/>
  <c r="E241" i="68"/>
  <c r="F241" i="68"/>
  <c r="H241" i="68"/>
  <c r="E242" i="68"/>
  <c r="F242" i="68"/>
  <c r="H242" i="68"/>
  <c r="E243" i="68"/>
  <c r="F243" i="68"/>
  <c r="H243" i="68"/>
  <c r="E244" i="68"/>
  <c r="F244" i="68"/>
  <c r="H244" i="68"/>
  <c r="E245" i="68"/>
  <c r="F245" i="68"/>
  <c r="H245" i="68"/>
  <c r="E246" i="68"/>
  <c r="F246" i="68"/>
  <c r="H246" i="68"/>
  <c r="E247" i="68"/>
  <c r="F247" i="68"/>
  <c r="H247" i="68"/>
  <c r="E248" i="68"/>
  <c r="F248" i="68"/>
  <c r="H248" i="68"/>
  <c r="E249" i="68"/>
  <c r="F249" i="68"/>
  <c r="H249" i="68"/>
  <c r="E250" i="68"/>
  <c r="F250" i="68"/>
  <c r="H250" i="68"/>
  <c r="E251" i="68"/>
  <c r="F251" i="68"/>
  <c r="H251" i="68"/>
  <c r="E252" i="68"/>
  <c r="F252" i="68"/>
  <c r="H252" i="68"/>
  <c r="E253" i="68"/>
  <c r="F253" i="68"/>
  <c r="H253" i="68"/>
  <c r="E254" i="68"/>
  <c r="F254" i="68"/>
  <c r="H254" i="68"/>
  <c r="E255" i="68"/>
  <c r="F255" i="68"/>
  <c r="H255" i="68"/>
  <c r="E256" i="68"/>
  <c r="F256" i="68"/>
  <c r="H256" i="68"/>
  <c r="E257" i="68"/>
  <c r="F257" i="68"/>
  <c r="H257" i="68"/>
  <c r="E258" i="68"/>
  <c r="F258" i="68"/>
  <c r="H258" i="68"/>
  <c r="E259" i="68"/>
  <c r="F259" i="68"/>
  <c r="H259" i="68"/>
  <c r="L12" i="68"/>
  <c r="O12" i="68"/>
  <c r="P12" i="68"/>
  <c r="H12" i="68"/>
  <c r="E12" i="68"/>
  <c r="F12" i="68"/>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c r="AI10" i="67"/>
  <c r="F11" i="67"/>
  <c r="G11" i="67"/>
  <c r="AZ11" i="67"/>
  <c r="F12" i="67"/>
  <c r="G12" i="67"/>
  <c r="AZ12" i="67"/>
  <c r="F13" i="67"/>
  <c r="G13" i="67"/>
  <c r="AZ13" i="67"/>
  <c r="F14" i="67"/>
  <c r="G14" i="67"/>
  <c r="AZ14" i="67"/>
  <c r="F15" i="67"/>
  <c r="G15" i="67"/>
  <c r="AZ15" i="67"/>
  <c r="F16" i="67"/>
  <c r="G16" i="67"/>
  <c r="AZ16" i="67"/>
  <c r="F17" i="67"/>
  <c r="G17" i="67"/>
  <c r="AZ17" i="67"/>
  <c r="F18" i="67"/>
  <c r="G18" i="67"/>
  <c r="AZ18" i="67"/>
  <c r="F19" i="67"/>
  <c r="G19" i="67"/>
  <c r="AZ19" i="67"/>
  <c r="F20" i="67"/>
  <c r="G20" i="67"/>
  <c r="F21" i="67"/>
  <c r="G21" i="67"/>
  <c r="F22" i="67"/>
  <c r="G22" i="67"/>
  <c r="F23" i="67"/>
  <c r="G23" i="67"/>
  <c r="F24" i="67"/>
  <c r="G24" i="67"/>
  <c r="F25" i="67"/>
  <c r="G25" i="67"/>
  <c r="F26" i="67"/>
  <c r="G26" i="67"/>
  <c r="F27" i="67"/>
  <c r="G27" i="67"/>
  <c r="F28" i="67"/>
  <c r="G28" i="67"/>
  <c r="F29" i="67"/>
  <c r="G29" i="67"/>
  <c r="F30" i="67"/>
  <c r="G30" i="67"/>
  <c r="F31" i="67"/>
  <c r="G31" i="67"/>
  <c r="F32" i="67"/>
  <c r="G32" i="67"/>
  <c r="F33" i="67"/>
  <c r="G33" i="67"/>
  <c r="F34" i="67"/>
  <c r="G34" i="67"/>
  <c r="F35" i="67"/>
  <c r="G35" i="67"/>
  <c r="F36" i="67"/>
  <c r="G36" i="67"/>
  <c r="F37" i="67"/>
  <c r="G37" i="67"/>
  <c r="F38" i="67"/>
  <c r="G38" i="67"/>
  <c r="F39" i="67"/>
  <c r="G39" i="67"/>
  <c r="F40" i="67"/>
  <c r="G40" i="67"/>
  <c r="F41" i="67"/>
  <c r="G41" i="67"/>
  <c r="F42" i="67"/>
  <c r="G42" i="67"/>
  <c r="F43" i="67"/>
  <c r="G43" i="67"/>
  <c r="F44" i="67"/>
  <c r="G44" i="67"/>
  <c r="F45" i="67"/>
  <c r="G45" i="67"/>
  <c r="F46" i="67"/>
  <c r="G46" i="67"/>
  <c r="F47" i="67"/>
  <c r="G47" i="67"/>
  <c r="F48" i="67"/>
  <c r="G48" i="67"/>
  <c r="F49" i="67"/>
  <c r="G49" i="67"/>
  <c r="F50" i="67"/>
  <c r="G50" i="67"/>
  <c r="F51" i="67"/>
  <c r="G51" i="67"/>
  <c r="F52" i="67"/>
  <c r="G52" i="67"/>
  <c r="F53" i="67"/>
  <c r="G53" i="67"/>
  <c r="F54" i="67"/>
  <c r="G54" i="67"/>
  <c r="F55" i="67"/>
  <c r="G55" i="67"/>
  <c r="F56" i="67"/>
  <c r="G56" i="67"/>
  <c r="F57" i="67"/>
  <c r="G57" i="67"/>
  <c r="F58" i="67"/>
  <c r="G58" i="67"/>
  <c r="F59" i="67"/>
  <c r="G59" i="67"/>
  <c r="F60" i="67"/>
  <c r="G60" i="67"/>
  <c r="F61" i="67"/>
  <c r="G61" i="67"/>
  <c r="F62" i="67"/>
  <c r="G62" i="67"/>
  <c r="F63" i="67"/>
  <c r="G63" i="67"/>
  <c r="F64" i="67"/>
  <c r="G64" i="67"/>
  <c r="F65" i="67"/>
  <c r="G65" i="67"/>
  <c r="F66" i="67"/>
  <c r="G66" i="67"/>
  <c r="F67" i="67"/>
  <c r="G67" i="67"/>
  <c r="F68" i="67"/>
  <c r="G68" i="67"/>
  <c r="F69" i="67"/>
  <c r="G69" i="67"/>
  <c r="F70" i="67"/>
  <c r="G70" i="67"/>
  <c r="F71" i="67"/>
  <c r="G71" i="67"/>
  <c r="F72" i="67"/>
  <c r="G72" i="67"/>
  <c r="F73" i="67"/>
  <c r="G73" i="67"/>
  <c r="F74" i="67"/>
  <c r="G74" i="67"/>
  <c r="F75" i="67"/>
  <c r="G75" i="67"/>
  <c r="F76" i="67"/>
  <c r="G76" i="67"/>
  <c r="F77" i="67"/>
  <c r="G77" i="67"/>
  <c r="F78" i="67"/>
  <c r="G78" i="67"/>
  <c r="F79" i="67"/>
  <c r="G79" i="67"/>
  <c r="F80" i="67"/>
  <c r="G80" i="67"/>
  <c r="F81" i="67"/>
  <c r="G81" i="67"/>
  <c r="F82" i="67"/>
  <c r="G82" i="67"/>
  <c r="F83" i="67"/>
  <c r="G83" i="67"/>
  <c r="F84" i="67"/>
  <c r="G84" i="67"/>
  <c r="F85" i="67"/>
  <c r="G85" i="67"/>
  <c r="F86" i="67"/>
  <c r="G86" i="67"/>
  <c r="F87" i="67"/>
  <c r="G87" i="67"/>
  <c r="F88" i="67"/>
  <c r="G88" i="67"/>
  <c r="F89" i="67"/>
  <c r="G89" i="67"/>
  <c r="F90" i="67"/>
  <c r="G90" i="67"/>
  <c r="F91" i="67"/>
  <c r="G91" i="67"/>
  <c r="F92" i="67"/>
  <c r="G92" i="67"/>
  <c r="F93" i="67"/>
  <c r="G93" i="67"/>
  <c r="F94" i="67"/>
  <c r="G94" i="67"/>
  <c r="F95" i="67"/>
  <c r="G95" i="67"/>
  <c r="F96" i="67"/>
  <c r="G96" i="67"/>
  <c r="F97" i="67"/>
  <c r="G97" i="67"/>
  <c r="F98" i="67"/>
  <c r="G98" i="67"/>
  <c r="F99" i="67"/>
  <c r="G99" i="67"/>
  <c r="F100" i="67"/>
  <c r="G100" i="67"/>
  <c r="F101" i="67"/>
  <c r="G101" i="67"/>
  <c r="F102" i="67"/>
  <c r="G102" i="67"/>
  <c r="F103" i="67"/>
  <c r="G103" i="67"/>
  <c r="F104" i="67"/>
  <c r="G104" i="67"/>
  <c r="F105" i="67"/>
  <c r="G105" i="67"/>
  <c r="F106" i="67"/>
  <c r="G106" i="67"/>
  <c r="F107" i="67"/>
  <c r="G107" i="67"/>
  <c r="F108" i="67"/>
  <c r="G108" i="67"/>
  <c r="F109" i="67"/>
  <c r="G109" i="67"/>
  <c r="F110" i="67"/>
  <c r="G110" i="67"/>
  <c r="F111" i="67"/>
  <c r="G111" i="67"/>
  <c r="F112" i="67"/>
  <c r="G112" i="67"/>
  <c r="F113" i="67"/>
  <c r="G113" i="67"/>
  <c r="F114" i="67"/>
  <c r="G114" i="67"/>
  <c r="F115" i="67"/>
  <c r="G115" i="67"/>
  <c r="F116" i="67"/>
  <c r="G116" i="67"/>
  <c r="F117" i="67"/>
  <c r="G117" i="67"/>
  <c r="F118" i="67"/>
  <c r="G118" i="67"/>
  <c r="F119" i="67"/>
  <c r="G119" i="67"/>
  <c r="F120" i="67"/>
  <c r="G120" i="67"/>
  <c r="F121" i="67"/>
  <c r="G121" i="67"/>
  <c r="F122" i="67"/>
  <c r="G122" i="67"/>
  <c r="F123" i="67"/>
  <c r="G123" i="67"/>
  <c r="F124" i="67"/>
  <c r="G124" i="67"/>
  <c r="F125" i="67"/>
  <c r="G125" i="67"/>
  <c r="F126" i="67"/>
  <c r="G126" i="67"/>
  <c r="F127" i="67"/>
  <c r="G127" i="67"/>
  <c r="F128" i="67"/>
  <c r="G128" i="67"/>
  <c r="F129" i="67"/>
  <c r="G129" i="67"/>
  <c r="F130" i="67"/>
  <c r="G130" i="67"/>
  <c r="F131" i="67"/>
  <c r="G131" i="67"/>
  <c r="F132" i="67"/>
  <c r="G132" i="67"/>
  <c r="F133" i="67"/>
  <c r="G133" i="67"/>
  <c r="F134" i="67"/>
  <c r="G134" i="67"/>
  <c r="F135" i="67"/>
  <c r="G135" i="67"/>
  <c r="F136" i="67"/>
  <c r="G136" i="67"/>
  <c r="F137" i="67"/>
  <c r="G137" i="67"/>
  <c r="F138" i="67"/>
  <c r="G138" i="67"/>
  <c r="F139" i="67"/>
  <c r="G139" i="67"/>
  <c r="F140" i="67"/>
  <c r="G140" i="67"/>
  <c r="F141" i="67"/>
  <c r="G141" i="67"/>
  <c r="F142" i="67"/>
  <c r="G142" i="67"/>
  <c r="F143" i="67"/>
  <c r="G143" i="67"/>
  <c r="F144" i="67"/>
  <c r="G144" i="67"/>
  <c r="F145" i="67"/>
  <c r="G145" i="67"/>
  <c r="F146" i="67"/>
  <c r="G146" i="67"/>
  <c r="F147" i="67"/>
  <c r="G147" i="67"/>
  <c r="F148" i="67"/>
  <c r="G148" i="67"/>
  <c r="F149" i="67"/>
  <c r="G149" i="67"/>
  <c r="F150" i="67"/>
  <c r="G150" i="67"/>
  <c r="F151" i="67"/>
  <c r="G151" i="67"/>
  <c r="F152" i="67"/>
  <c r="G152" i="67"/>
  <c r="F153" i="67"/>
  <c r="G153" i="67"/>
  <c r="F154" i="67"/>
  <c r="G154" i="67"/>
  <c r="F155" i="67"/>
  <c r="G155" i="67"/>
  <c r="F156" i="67"/>
  <c r="G156" i="67"/>
  <c r="F157" i="67"/>
  <c r="G157" i="67"/>
  <c r="F158" i="67"/>
  <c r="G158" i="67"/>
  <c r="F159" i="67"/>
  <c r="G159" i="67"/>
  <c r="F160" i="67"/>
  <c r="G160" i="67"/>
  <c r="F161" i="67"/>
  <c r="G161" i="67"/>
  <c r="F162" i="67"/>
  <c r="G162" i="67"/>
  <c r="F163" i="67"/>
  <c r="G163" i="67"/>
  <c r="F164" i="67"/>
  <c r="G164" i="67"/>
  <c r="F165" i="67"/>
  <c r="G165" i="67"/>
  <c r="F166" i="67"/>
  <c r="G166" i="67"/>
  <c r="F167" i="67"/>
  <c r="G167" i="67"/>
  <c r="F168" i="67"/>
  <c r="G168" i="67"/>
  <c r="F169" i="67"/>
  <c r="G169" i="67"/>
  <c r="F170" i="67"/>
  <c r="G170" i="67"/>
  <c r="F171" i="67"/>
  <c r="G171" i="67"/>
  <c r="F172" i="67"/>
  <c r="G172" i="67"/>
  <c r="F173" i="67"/>
  <c r="G173" i="67"/>
  <c r="F174" i="67"/>
  <c r="G174" i="67"/>
  <c r="F175" i="67"/>
  <c r="G175" i="67"/>
  <c r="F176" i="67"/>
  <c r="G176" i="67"/>
  <c r="F177" i="67"/>
  <c r="G177" i="67"/>
  <c r="F178" i="67"/>
  <c r="G178" i="67"/>
  <c r="F179" i="67"/>
  <c r="G179" i="67"/>
  <c r="F180" i="67"/>
  <c r="G180" i="67"/>
  <c r="F181" i="67"/>
  <c r="G181" i="67"/>
  <c r="F182" i="67"/>
  <c r="G182" i="67"/>
  <c r="F183" i="67"/>
  <c r="G183" i="67"/>
  <c r="F184" i="67"/>
  <c r="G184" i="67"/>
  <c r="F185" i="67"/>
  <c r="G185" i="67"/>
  <c r="F186" i="67"/>
  <c r="G186" i="67"/>
  <c r="F187" i="67"/>
  <c r="G187" i="67"/>
  <c r="F188" i="67"/>
  <c r="G188" i="67"/>
  <c r="F189" i="67"/>
  <c r="G189" i="67"/>
  <c r="F190" i="67"/>
  <c r="G190" i="67"/>
  <c r="F191" i="67"/>
  <c r="G191" i="67"/>
  <c r="F192" i="67"/>
  <c r="G192" i="67"/>
  <c r="F193" i="67"/>
  <c r="G193" i="67"/>
  <c r="F194" i="67"/>
  <c r="G194" i="67"/>
  <c r="F195" i="67"/>
  <c r="G195" i="67"/>
  <c r="F196" i="67"/>
  <c r="G196" i="67"/>
  <c r="F197" i="67"/>
  <c r="G197" i="67"/>
  <c r="F198" i="67"/>
  <c r="G198" i="67"/>
  <c r="F199" i="67"/>
  <c r="G199" i="67"/>
  <c r="F200" i="67"/>
  <c r="G200" i="67"/>
  <c r="F201" i="67"/>
  <c r="G201" i="67"/>
  <c r="F202" i="67"/>
  <c r="G202" i="67"/>
  <c r="F203" i="67"/>
  <c r="G203" i="67"/>
  <c r="F204" i="67"/>
  <c r="G204" i="67"/>
  <c r="F205" i="67"/>
  <c r="G205" i="67"/>
  <c r="F206" i="67"/>
  <c r="G206" i="67"/>
  <c r="F207" i="67"/>
  <c r="G207" i="67"/>
  <c r="F208" i="67"/>
  <c r="G208" i="67"/>
  <c r="F209" i="67"/>
  <c r="G209" i="67"/>
  <c r="F210" i="67"/>
  <c r="G210" i="67"/>
  <c r="F211" i="67"/>
  <c r="G211" i="67"/>
  <c r="F212" i="67"/>
  <c r="G212" i="67"/>
  <c r="F213" i="67"/>
  <c r="G213" i="67"/>
  <c r="F214" i="67"/>
  <c r="G214" i="67"/>
  <c r="F215" i="67"/>
  <c r="G215" i="67"/>
  <c r="F216" i="67"/>
  <c r="G216" i="67"/>
  <c r="F217" i="67"/>
  <c r="G217" i="67"/>
  <c r="F218" i="67"/>
  <c r="G218" i="67"/>
  <c r="F219" i="67"/>
  <c r="G219" i="67"/>
  <c r="F220" i="67"/>
  <c r="G220" i="67"/>
  <c r="F221" i="67"/>
  <c r="G221" i="67"/>
  <c r="F222" i="67"/>
  <c r="G222" i="67"/>
  <c r="F223" i="67"/>
  <c r="G223" i="67"/>
  <c r="F224" i="67"/>
  <c r="G224" i="67"/>
  <c r="F225" i="67"/>
  <c r="G225" i="67"/>
  <c r="F226" i="67"/>
  <c r="G226" i="67"/>
  <c r="F227" i="67"/>
  <c r="G227" i="67"/>
  <c r="F228" i="67"/>
  <c r="G228" i="67"/>
  <c r="F229" i="67"/>
  <c r="G229" i="67"/>
  <c r="F230" i="67"/>
  <c r="G230" i="67"/>
  <c r="F231" i="67"/>
  <c r="G231" i="67"/>
  <c r="F232" i="67"/>
  <c r="G232" i="67"/>
  <c r="F233" i="67"/>
  <c r="G233" i="67"/>
  <c r="F234" i="67"/>
  <c r="G234" i="67"/>
  <c r="F235" i="67"/>
  <c r="G235" i="67"/>
  <c r="F236" i="67"/>
  <c r="G236" i="67"/>
  <c r="F237" i="67"/>
  <c r="G237" i="67"/>
  <c r="F238" i="67"/>
  <c r="G238" i="67"/>
  <c r="F239" i="67"/>
  <c r="G239" i="67"/>
  <c r="F240" i="67"/>
  <c r="G240" i="67"/>
  <c r="F241" i="67"/>
  <c r="G241" i="67"/>
  <c r="F242" i="67"/>
  <c r="G242" i="67"/>
  <c r="F243" i="67"/>
  <c r="G243" i="67"/>
  <c r="F244" i="67"/>
  <c r="G244" i="67"/>
  <c r="F245" i="67"/>
  <c r="G245" i="67"/>
  <c r="F246" i="67"/>
  <c r="G246" i="67"/>
  <c r="F247" i="67"/>
  <c r="G247" i="67"/>
  <c r="F248" i="67"/>
  <c r="G248" i="67"/>
  <c r="F249" i="67"/>
  <c r="G249" i="67"/>
  <c r="F250" i="67"/>
  <c r="G250" i="67"/>
  <c r="F251" i="67"/>
  <c r="G251" i="67"/>
  <c r="F252" i="67"/>
  <c r="G252" i="67"/>
  <c r="F253" i="67"/>
  <c r="G253" i="67"/>
  <c r="F254" i="67"/>
  <c r="G254" i="67"/>
  <c r="F255" i="67"/>
  <c r="G255" i="67"/>
  <c r="F256" i="67"/>
  <c r="G256" i="67"/>
  <c r="F257" i="67"/>
  <c r="G257" i="67"/>
  <c r="F10" i="67"/>
  <c r="Y253" i="67"/>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G10" i="67"/>
  <c r="AA10" i="67"/>
  <c r="Y19" i="67"/>
  <c r="Z19" i="67"/>
  <c r="Y18" i="67"/>
  <c r="Z18" i="67"/>
  <c r="Y17" i="67"/>
  <c r="Z17" i="67"/>
  <c r="Y16" i="67"/>
  <c r="Z16" i="67"/>
  <c r="Y15" i="67"/>
  <c r="Z15" i="67"/>
  <c r="Y14" i="67"/>
  <c r="Z14" i="67"/>
  <c r="Y13" i="67"/>
  <c r="Z13" i="67"/>
  <c r="Y12" i="67"/>
  <c r="Z12" i="67"/>
  <c r="Y11" i="67"/>
  <c r="Z11" i="67"/>
  <c r="D185" i="36"/>
  <c r="O12" i="64"/>
  <c r="P20" i="68"/>
  <c r="P28" i="68"/>
  <c r="Q28" i="68"/>
  <c r="P36" i="68"/>
  <c r="Q36" i="68"/>
  <c r="P44" i="68"/>
  <c r="Q44" i="68"/>
  <c r="P52" i="68"/>
  <c r="Q52" i="68"/>
  <c r="P60" i="68"/>
  <c r="Q60" i="68"/>
  <c r="P68" i="68"/>
  <c r="Q68" i="68"/>
  <c r="AB68" i="68"/>
  <c r="P76" i="68"/>
  <c r="Q76" i="68"/>
  <c r="P84" i="68"/>
  <c r="Q84" i="68"/>
  <c r="AB84" i="68"/>
  <c r="P92" i="68"/>
  <c r="Q92" i="68"/>
  <c r="P100" i="68"/>
  <c r="Q100" i="68"/>
  <c r="P108" i="68"/>
  <c r="Q108" i="68"/>
  <c r="P116" i="68"/>
  <c r="Q116" i="68"/>
  <c r="AB116" i="68"/>
  <c r="P124" i="68"/>
  <c r="Q124" i="68"/>
  <c r="P132" i="68"/>
  <c r="Q132" i="68"/>
  <c r="AB132" i="68"/>
  <c r="P140" i="68"/>
  <c r="Q140" i="68"/>
  <c r="P148" i="68"/>
  <c r="Q148" i="68"/>
  <c r="AB148" i="68"/>
  <c r="P156" i="68"/>
  <c r="Q156" i="68"/>
  <c r="P164" i="68"/>
  <c r="Q164" i="68"/>
  <c r="P172" i="68"/>
  <c r="Q172" i="68"/>
  <c r="P180" i="68"/>
  <c r="Q180" i="68"/>
  <c r="P188" i="68"/>
  <c r="Q188" i="68"/>
  <c r="P196" i="68"/>
  <c r="Q196" i="68"/>
  <c r="AB196" i="68"/>
  <c r="P204" i="68"/>
  <c r="Q204" i="68"/>
  <c r="P212" i="68"/>
  <c r="Q212" i="68"/>
  <c r="AB212" i="68"/>
  <c r="P220" i="68"/>
  <c r="Q220" i="68"/>
  <c r="P228" i="68"/>
  <c r="Q228" i="68"/>
  <c r="P236" i="68"/>
  <c r="Q236" i="68"/>
  <c r="P244" i="68"/>
  <c r="Q244" i="68"/>
  <c r="P252" i="68"/>
  <c r="Q252" i="68"/>
  <c r="P17" i="68"/>
  <c r="P25" i="68"/>
  <c r="Q25" i="68"/>
  <c r="P33" i="68"/>
  <c r="Q33" i="68"/>
  <c r="AB33" i="68"/>
  <c r="P41" i="68"/>
  <c r="Q41" i="68"/>
  <c r="P49" i="68"/>
  <c r="Q49" i="68"/>
  <c r="P57" i="68"/>
  <c r="Q57" i="68"/>
  <c r="P65" i="68"/>
  <c r="Q65" i="68"/>
  <c r="AB65" i="68"/>
  <c r="P73" i="68"/>
  <c r="Q73" i="68"/>
  <c r="P81" i="68"/>
  <c r="Q81" i="68"/>
  <c r="AB81" i="68"/>
  <c r="P89" i="68"/>
  <c r="Q89" i="68"/>
  <c r="P97" i="68"/>
  <c r="Q97" i="68"/>
  <c r="P105" i="68"/>
  <c r="Q105" i="68"/>
  <c r="P113" i="68"/>
  <c r="Q113" i="68"/>
  <c r="P121" i="68"/>
  <c r="Q121" i="68"/>
  <c r="P129" i="68"/>
  <c r="Q129" i="68"/>
  <c r="AB129" i="68"/>
  <c r="P137" i="68"/>
  <c r="Q137" i="68"/>
  <c r="P145" i="68"/>
  <c r="Q145" i="68"/>
  <c r="AB145" i="68"/>
  <c r="P153" i="68"/>
  <c r="Q153" i="68"/>
  <c r="P161" i="68"/>
  <c r="Q161" i="68"/>
  <c r="AB161" i="68"/>
  <c r="P169" i="68"/>
  <c r="Q169" i="68"/>
  <c r="P177" i="68"/>
  <c r="Q177" i="68"/>
  <c r="P185" i="68"/>
  <c r="Q185" i="68"/>
  <c r="P193" i="68"/>
  <c r="Q193" i="68"/>
  <c r="AB193" i="68"/>
  <c r="P201" i="68"/>
  <c r="Q201" i="68"/>
  <c r="P209" i="68"/>
  <c r="Q209" i="68"/>
  <c r="AB209" i="68"/>
  <c r="P217" i="68"/>
  <c r="Q217" i="68"/>
  <c r="P225" i="68"/>
  <c r="Q225" i="68"/>
  <c r="AB225" i="68"/>
  <c r="P233" i="68"/>
  <c r="Q233" i="68"/>
  <c r="P241" i="68"/>
  <c r="Q241" i="68"/>
  <c r="P249" i="68"/>
  <c r="Q249" i="68"/>
  <c r="AB249" i="68"/>
  <c r="P257" i="68"/>
  <c r="Q257" i="68"/>
  <c r="P22" i="68"/>
  <c r="Q22" i="68"/>
  <c r="AB22" i="68"/>
  <c r="P30" i="68"/>
  <c r="Q30" i="68"/>
  <c r="AB30" i="68"/>
  <c r="P38" i="68"/>
  <c r="Q38" i="68"/>
  <c r="P46" i="68"/>
  <c r="Q46" i="68"/>
  <c r="AB46" i="68"/>
  <c r="P54" i="68"/>
  <c r="Q54" i="68"/>
  <c r="P62" i="68"/>
  <c r="Q62" i="68"/>
  <c r="P70" i="68"/>
  <c r="Q70" i="68"/>
  <c r="P78" i="68"/>
  <c r="Q78" i="68"/>
  <c r="AB78" i="68"/>
  <c r="P86" i="68"/>
  <c r="Q86" i="68"/>
  <c r="P94" i="68"/>
  <c r="Q94" i="68"/>
  <c r="AB94" i="68"/>
  <c r="P102" i="68"/>
  <c r="Q102" i="68"/>
  <c r="P110" i="68"/>
  <c r="Q110" i="68"/>
  <c r="AB110" i="68"/>
  <c r="P118" i="68"/>
  <c r="Q118" i="68"/>
  <c r="P126" i="68"/>
  <c r="Q126" i="68"/>
  <c r="P134" i="68"/>
  <c r="Q134" i="68"/>
  <c r="P142" i="68"/>
  <c r="Q142" i="68"/>
  <c r="P150" i="68"/>
  <c r="Q150" i="68"/>
  <c r="P158" i="68"/>
  <c r="Q158" i="68"/>
  <c r="AB158" i="68"/>
  <c r="P166" i="68"/>
  <c r="Q166" i="68"/>
  <c r="P174" i="68"/>
  <c r="Q174" i="68"/>
  <c r="AB174" i="68"/>
  <c r="P182" i="68"/>
  <c r="Q182" i="68"/>
  <c r="P190" i="68"/>
  <c r="Q190" i="68"/>
  <c r="P198" i="68"/>
  <c r="Q198" i="68"/>
  <c r="P206" i="68"/>
  <c r="Q206" i="68"/>
  <c r="AB206" i="68"/>
  <c r="P214" i="68"/>
  <c r="Q214" i="68"/>
  <c r="P222" i="68"/>
  <c r="Q222" i="68"/>
  <c r="AB222" i="68"/>
  <c r="P230" i="68"/>
  <c r="Q230" i="68"/>
  <c r="P238" i="68"/>
  <c r="Q238" i="68"/>
  <c r="P246" i="68"/>
  <c r="Q246" i="68"/>
  <c r="P254" i="68"/>
  <c r="Q254" i="68"/>
  <c r="P163" i="68"/>
  <c r="Q163" i="68"/>
  <c r="P179" i="68"/>
  <c r="Q179" i="68"/>
  <c r="AB179" i="68"/>
  <c r="P195" i="68"/>
  <c r="Q195" i="68"/>
  <c r="AB195" i="68"/>
  <c r="P211" i="68"/>
  <c r="Q211" i="68"/>
  <c r="AB211" i="68"/>
  <c r="P227" i="68"/>
  <c r="Q227" i="68"/>
  <c r="P243" i="68"/>
  <c r="Q243" i="68"/>
  <c r="AB243" i="68"/>
  <c r="P259" i="68"/>
  <c r="Q259" i="68"/>
  <c r="AB259" i="68"/>
  <c r="P14" i="68"/>
  <c r="P23" i="68"/>
  <c r="Q23" i="68"/>
  <c r="P31" i="68"/>
  <c r="Q31" i="68"/>
  <c r="AB31" i="68"/>
  <c r="P47" i="68"/>
  <c r="Q47" i="68"/>
  <c r="P55" i="68"/>
  <c r="Q55" i="68"/>
  <c r="AB55" i="68"/>
  <c r="P63" i="68"/>
  <c r="Q63" i="68"/>
  <c r="P71" i="68"/>
  <c r="Q71" i="68"/>
  <c r="AB71" i="68"/>
  <c r="P79" i="68"/>
  <c r="Q79" i="68"/>
  <c r="P95" i="68"/>
  <c r="Q95" i="68"/>
  <c r="P111" i="68"/>
  <c r="Q111" i="68"/>
  <c r="P119" i="68"/>
  <c r="Q119" i="68"/>
  <c r="AB119" i="68"/>
  <c r="P127" i="68"/>
  <c r="Q127" i="68"/>
  <c r="AB127" i="68"/>
  <c r="P135" i="68"/>
  <c r="Q135" i="68"/>
  <c r="AB135" i="68"/>
  <c r="P143" i="68"/>
  <c r="Q143" i="68"/>
  <c r="AB143" i="68"/>
  <c r="P159" i="68"/>
  <c r="Q159" i="68"/>
  <c r="P167" i="68"/>
  <c r="Q167" i="68"/>
  <c r="P175" i="68"/>
  <c r="Q175" i="68"/>
  <c r="P183" i="68"/>
  <c r="Q183" i="68"/>
  <c r="P191" i="68"/>
  <c r="Q191" i="68"/>
  <c r="AB191" i="68"/>
  <c r="P199" i="68"/>
  <c r="Q199" i="68"/>
  <c r="P207" i="68"/>
  <c r="Q207" i="68"/>
  <c r="AB207" i="68"/>
  <c r="P215" i="68"/>
  <c r="Q215" i="68"/>
  <c r="P223" i="68"/>
  <c r="Q223" i="68"/>
  <c r="AB223" i="68"/>
  <c r="P231" i="68"/>
  <c r="Q231" i="68"/>
  <c r="P239" i="68"/>
  <c r="Q239" i="68"/>
  <c r="P247" i="68"/>
  <c r="Q247" i="68"/>
  <c r="P255" i="68"/>
  <c r="Q255" i="68"/>
  <c r="AB255" i="68"/>
  <c r="P24" i="68"/>
  <c r="Q24" i="68"/>
  <c r="P32" i="68"/>
  <c r="Q32" i="68"/>
  <c r="AB32" i="68"/>
  <c r="P40" i="68"/>
  <c r="Q40" i="68"/>
  <c r="P48" i="68"/>
  <c r="Q48" i="68"/>
  <c r="AB48" i="68"/>
  <c r="P56" i="68"/>
  <c r="Q56" i="68"/>
  <c r="AB56" i="68"/>
  <c r="P64" i="68"/>
  <c r="Q64" i="68"/>
  <c r="P72" i="68"/>
  <c r="Q72" i="68"/>
  <c r="AB72" i="68"/>
  <c r="P80" i="68"/>
  <c r="Q80" i="68"/>
  <c r="P88" i="68"/>
  <c r="Q88" i="68"/>
  <c r="P96" i="68"/>
  <c r="Q96" i="68"/>
  <c r="AB96" i="68"/>
  <c r="P104" i="68"/>
  <c r="Q104" i="68"/>
  <c r="P112" i="68"/>
  <c r="Q112" i="68"/>
  <c r="AB112" i="68"/>
  <c r="P120" i="68"/>
  <c r="Q120" i="68"/>
  <c r="AB120" i="68"/>
  <c r="P128" i="68"/>
  <c r="Q128" i="68"/>
  <c r="P136" i="68"/>
  <c r="Q136" i="68"/>
  <c r="AB136" i="68"/>
  <c r="P144" i="68"/>
  <c r="Q144" i="68"/>
  <c r="AB144" i="68"/>
  <c r="P152" i="68"/>
  <c r="Q152" i="68"/>
  <c r="AB152" i="68"/>
  <c r="P160" i="68"/>
  <c r="Q160" i="68"/>
  <c r="AB160" i="68"/>
  <c r="P168" i="68"/>
  <c r="Q168" i="68"/>
  <c r="P176" i="68"/>
  <c r="Q176" i="68"/>
  <c r="AB176" i="68"/>
  <c r="P184" i="68"/>
  <c r="Q184" i="68"/>
  <c r="P192" i="68"/>
  <c r="Q192" i="68"/>
  <c r="P200" i="68"/>
  <c r="Q200" i="68"/>
  <c r="P208" i="68"/>
  <c r="Q208" i="68"/>
  <c r="AB208" i="68"/>
  <c r="P216" i="68"/>
  <c r="Q216" i="68"/>
  <c r="AB216" i="68"/>
  <c r="P224" i="68"/>
  <c r="Q224" i="68"/>
  <c r="AB224" i="68"/>
  <c r="P232" i="68"/>
  <c r="Q232" i="68"/>
  <c r="AB232" i="68"/>
  <c r="P240" i="68"/>
  <c r="Q240" i="68"/>
  <c r="AB240" i="68"/>
  <c r="P248" i="68"/>
  <c r="Q248" i="68"/>
  <c r="AB248" i="68"/>
  <c r="P256" i="68"/>
  <c r="Q256" i="68"/>
  <c r="P21" i="68"/>
  <c r="P29" i="68"/>
  <c r="Q29" i="68"/>
  <c r="AB29" i="68"/>
  <c r="P37" i="68"/>
  <c r="Q37" i="68"/>
  <c r="AB37" i="68"/>
  <c r="P45" i="68"/>
  <c r="Q45" i="68"/>
  <c r="AB45" i="68"/>
  <c r="P53" i="68"/>
  <c r="Q53" i="68"/>
  <c r="AB53" i="68"/>
  <c r="P61" i="68"/>
  <c r="Q61" i="68"/>
  <c r="AB61" i="68"/>
  <c r="P69" i="68"/>
  <c r="Q69" i="68"/>
  <c r="AB69" i="68"/>
  <c r="P77" i="68"/>
  <c r="Q77" i="68"/>
  <c r="P85" i="68"/>
  <c r="Q85" i="68"/>
  <c r="AB85" i="68"/>
  <c r="P93" i="68"/>
  <c r="Q93" i="68"/>
  <c r="AB93" i="68"/>
  <c r="P101" i="68"/>
  <c r="Q101" i="68"/>
  <c r="AB101" i="68"/>
  <c r="P109" i="68"/>
  <c r="Q109" i="68"/>
  <c r="AB109" i="68"/>
  <c r="P117" i="68"/>
  <c r="Q117" i="68"/>
  <c r="AB117" i="68"/>
  <c r="P125" i="68"/>
  <c r="Q125" i="68"/>
  <c r="P133" i="68"/>
  <c r="Q133" i="68"/>
  <c r="AB133" i="68"/>
  <c r="P141" i="68"/>
  <c r="Q141" i="68"/>
  <c r="AB141" i="68"/>
  <c r="P149" i="68"/>
  <c r="Q149" i="68"/>
  <c r="AB149" i="68"/>
  <c r="P157" i="68"/>
  <c r="Q157" i="68"/>
  <c r="AB157" i="68"/>
  <c r="P165" i="68"/>
  <c r="Q165" i="68"/>
  <c r="AB165" i="68"/>
  <c r="P173" i="68"/>
  <c r="Q173" i="68"/>
  <c r="AB173" i="68"/>
  <c r="P181" i="68"/>
  <c r="Q181" i="68"/>
  <c r="AB181" i="68"/>
  <c r="P189" i="68"/>
  <c r="Q189" i="68"/>
  <c r="AB189" i="68"/>
  <c r="P197" i="68"/>
  <c r="Q197" i="68"/>
  <c r="AB197" i="68"/>
  <c r="P205" i="68"/>
  <c r="Q205" i="68"/>
  <c r="AB205" i="68"/>
  <c r="P213" i="68"/>
  <c r="Q213" i="68"/>
  <c r="AB213" i="68"/>
  <c r="P221" i="68"/>
  <c r="Q221" i="68"/>
  <c r="AB221" i="68"/>
  <c r="P229" i="68"/>
  <c r="Q229" i="68"/>
  <c r="AB229" i="68"/>
  <c r="P237" i="68"/>
  <c r="Q237" i="68"/>
  <c r="AB237" i="68"/>
  <c r="P245" i="68"/>
  <c r="Q245" i="68"/>
  <c r="AB245" i="68"/>
  <c r="P253" i="68"/>
  <c r="Q253" i="68"/>
  <c r="AB253" i="68"/>
  <c r="P18" i="68"/>
  <c r="P26" i="68"/>
  <c r="Q26" i="68"/>
  <c r="AB26" i="68"/>
  <c r="P34" i="68"/>
  <c r="Q34" i="68"/>
  <c r="AB34" i="68"/>
  <c r="P42" i="68"/>
  <c r="Q42" i="68"/>
  <c r="AB42" i="68"/>
  <c r="P50" i="68"/>
  <c r="Q50" i="68"/>
  <c r="AB50" i="68"/>
  <c r="P58" i="68"/>
  <c r="Q58" i="68"/>
  <c r="AB58" i="68"/>
  <c r="P66" i="68"/>
  <c r="Q66" i="68"/>
  <c r="AB66" i="68"/>
  <c r="P74" i="68"/>
  <c r="Q74" i="68"/>
  <c r="AB74" i="68"/>
  <c r="P82" i="68"/>
  <c r="Q82" i="68"/>
  <c r="AB82" i="68"/>
  <c r="P90" i="68"/>
  <c r="Q90" i="68"/>
  <c r="AB90" i="68"/>
  <c r="P98" i="68"/>
  <c r="Q98" i="68"/>
  <c r="AB98" i="68"/>
  <c r="P106" i="68"/>
  <c r="Q106" i="68"/>
  <c r="AB106" i="68"/>
  <c r="P114" i="68"/>
  <c r="Q114" i="68"/>
  <c r="AB114" i="68"/>
  <c r="P122" i="68"/>
  <c r="Q122" i="68"/>
  <c r="AB122" i="68"/>
  <c r="P130" i="68"/>
  <c r="Q130" i="68"/>
  <c r="AB130" i="68"/>
  <c r="P138" i="68"/>
  <c r="Q138" i="68"/>
  <c r="AB138" i="68"/>
  <c r="P146" i="68"/>
  <c r="Q146" i="68"/>
  <c r="AB146" i="68"/>
  <c r="P154" i="68"/>
  <c r="Q154" i="68"/>
  <c r="AB154" i="68"/>
  <c r="P162" i="68"/>
  <c r="Q162" i="68"/>
  <c r="AB162" i="68"/>
  <c r="P170" i="68"/>
  <c r="Q170" i="68"/>
  <c r="AB170" i="68"/>
  <c r="P178" i="68"/>
  <c r="Q178" i="68"/>
  <c r="AB178" i="68"/>
  <c r="P186" i="68"/>
  <c r="Q186" i="68"/>
  <c r="AB186" i="68"/>
  <c r="P194" i="68"/>
  <c r="Q194" i="68"/>
  <c r="AB194" i="68"/>
  <c r="P202" i="68"/>
  <c r="Q202" i="68"/>
  <c r="AB202" i="68"/>
  <c r="P210" i="68"/>
  <c r="Q210" i="68"/>
  <c r="AB210" i="68"/>
  <c r="P218" i="68"/>
  <c r="Q218" i="68"/>
  <c r="AB218" i="68"/>
  <c r="P226" i="68"/>
  <c r="Q226" i="68"/>
  <c r="AB226" i="68"/>
  <c r="P234" i="68"/>
  <c r="Q234" i="68"/>
  <c r="AB234" i="68"/>
  <c r="P242" i="68"/>
  <c r="Q242" i="68"/>
  <c r="AB242" i="68"/>
  <c r="P250" i="68"/>
  <c r="Q250" i="68"/>
  <c r="AB250" i="68"/>
  <c r="P258" i="68"/>
  <c r="Q258" i="68"/>
  <c r="AB258" i="68"/>
  <c r="P39" i="68"/>
  <c r="Q39" i="68"/>
  <c r="AB39" i="68"/>
  <c r="P87" i="68"/>
  <c r="Q87" i="68"/>
  <c r="AB87" i="68"/>
  <c r="P103" i="68"/>
  <c r="Q103" i="68"/>
  <c r="AB103" i="68"/>
  <c r="P151" i="68"/>
  <c r="Q151" i="68"/>
  <c r="AB151" i="68"/>
  <c r="P16" i="68"/>
  <c r="P15" i="68"/>
  <c r="P19" i="68"/>
  <c r="P27" i="68"/>
  <c r="Q27" i="68"/>
  <c r="AB27" i="68"/>
  <c r="P35" i="68"/>
  <c r="Q35" i="68"/>
  <c r="AB35" i="68"/>
  <c r="P43" i="68"/>
  <c r="Q43" i="68"/>
  <c r="AB43" i="68"/>
  <c r="P51" i="68"/>
  <c r="Q51" i="68"/>
  <c r="AB51" i="68"/>
  <c r="P59" i="68"/>
  <c r="Q59" i="68"/>
  <c r="AB59" i="68"/>
  <c r="P67" i="68"/>
  <c r="Q67" i="68"/>
  <c r="AB67" i="68"/>
  <c r="P75" i="68"/>
  <c r="Q75" i="68"/>
  <c r="AB75" i="68"/>
  <c r="P83" i="68"/>
  <c r="Q83" i="68"/>
  <c r="AB83" i="68"/>
  <c r="P91" i="68"/>
  <c r="Q91" i="68"/>
  <c r="AB91" i="68"/>
  <c r="P99" i="68"/>
  <c r="Q99" i="68"/>
  <c r="AB99" i="68"/>
  <c r="P107" i="68"/>
  <c r="Q107" i="68"/>
  <c r="AB107" i="68"/>
  <c r="P115" i="68"/>
  <c r="Q115" i="68"/>
  <c r="AB115" i="68"/>
  <c r="P123" i="68"/>
  <c r="Q123" i="68"/>
  <c r="AB123" i="68"/>
  <c r="P131" i="68"/>
  <c r="Q131" i="68"/>
  <c r="AB131" i="68"/>
  <c r="P139" i="68"/>
  <c r="Q139" i="68"/>
  <c r="AB139" i="68"/>
  <c r="P147" i="68"/>
  <c r="Q147" i="68"/>
  <c r="AB147" i="68"/>
  <c r="P155" i="68"/>
  <c r="Q155" i="68"/>
  <c r="AB155" i="68"/>
  <c r="P171" i="68"/>
  <c r="Q171" i="68"/>
  <c r="AB171" i="68"/>
  <c r="P187" i="68"/>
  <c r="Q187" i="68"/>
  <c r="AB187" i="68"/>
  <c r="P203" i="68"/>
  <c r="Q203" i="68"/>
  <c r="AB203" i="68"/>
  <c r="P219" i="68"/>
  <c r="Q219" i="68"/>
  <c r="AB219" i="68"/>
  <c r="P235" i="68"/>
  <c r="Q235" i="68"/>
  <c r="AB235" i="68"/>
  <c r="P251" i="68"/>
  <c r="Q251" i="68"/>
  <c r="AB251" i="68"/>
  <c r="N24" i="57"/>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c r="U12" i="68"/>
  <c r="Q12" i="68"/>
  <c r="O23" i="57"/>
  <c r="AG23" i="57"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K25" i="57"/>
  <c r="J25" i="57"/>
  <c r="E25" i="57"/>
  <c r="H25" i="57"/>
  <c r="F25" i="57"/>
  <c r="D25" i="57"/>
  <c r="G25" i="57"/>
  <c r="C25" i="57"/>
  <c r="M25" i="57" s="1"/>
  <c r="I25" i="57"/>
  <c r="AN24" i="55" a="1"/>
  <c r="AN24" i="55"/>
  <c r="B26" i="57"/>
  <c r="P26" i="57"/>
  <c r="L258" i="64"/>
  <c r="O258" i="64"/>
  <c r="P258" i="64"/>
  <c r="L259" i="64"/>
  <c r="O259" i="64"/>
  <c r="P259" i="64"/>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c r="E259" i="64"/>
  <c r="F259" i="64"/>
  <c r="E12" i="64"/>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AD40" i="63" s="1"/>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AD72" i="63" s="1"/>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AD104" i="63" s="1"/>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AD136" i="63" s="1"/>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AD168" i="63" s="1"/>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AE200" i="63" s="1"/>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AD232" i="63" s="1"/>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F13" i="63"/>
  <c r="F15" i="63"/>
  <c r="G15" i="63"/>
  <c r="V15" i="63"/>
  <c r="G16" i="63"/>
  <c r="V16" i="63"/>
  <c r="F17" i="63"/>
  <c r="G17" i="63"/>
  <c r="V17" i="63"/>
  <c r="F18" i="63"/>
  <c r="G18" i="63" s="1"/>
  <c r="V18" i="63" s="1"/>
  <c r="F19" i="63"/>
  <c r="G19" i="63"/>
  <c r="V19" i="63"/>
  <c r="F20" i="63"/>
  <c r="G20" i="63"/>
  <c r="V20" i="63" s="1"/>
  <c r="F21" i="63"/>
  <c r="G21" i="63"/>
  <c r="V21" i="63" s="1"/>
  <c r="F22" i="63"/>
  <c r="G22" i="63"/>
  <c r="V22" i="63" s="1"/>
  <c r="F23" i="63"/>
  <c r="G23" i="63" s="1"/>
  <c r="V23" i="63" s="1"/>
  <c r="F24" i="63"/>
  <c r="G24" i="63" s="1"/>
  <c r="V24" i="63" s="1"/>
  <c r="F25" i="63"/>
  <c r="F26" i="63"/>
  <c r="G26" i="63"/>
  <c r="V26" i="63"/>
  <c r="F27" i="63"/>
  <c r="G27" i="63"/>
  <c r="V27" i="63"/>
  <c r="F28" i="63"/>
  <c r="G28" i="63"/>
  <c r="V28" i="63" s="1"/>
  <c r="F29" i="63"/>
  <c r="G29" i="63"/>
  <c r="V29" i="63" s="1"/>
  <c r="F30" i="63"/>
  <c r="G30" i="63"/>
  <c r="V30" i="63" s="1"/>
  <c r="F31" i="63"/>
  <c r="G31" i="63" s="1"/>
  <c r="V31" i="63" s="1"/>
  <c r="F32" i="63"/>
  <c r="G32" i="63" s="1"/>
  <c r="V32" i="63" s="1"/>
  <c r="F33" i="63"/>
  <c r="G33" i="63" s="1"/>
  <c r="V33" i="63" s="1"/>
  <c r="F34" i="63"/>
  <c r="G34" i="63"/>
  <c r="V34" i="63"/>
  <c r="F35" i="63"/>
  <c r="G35" i="63"/>
  <c r="V35" i="63"/>
  <c r="F36" i="63"/>
  <c r="G36" i="63"/>
  <c r="V36" i="63" s="1"/>
  <c r="F37" i="63"/>
  <c r="G37" i="63"/>
  <c r="V37" i="63" s="1"/>
  <c r="F38" i="63"/>
  <c r="G38" i="63"/>
  <c r="V38" i="63" s="1"/>
  <c r="F39" i="63"/>
  <c r="G39" i="63" s="1"/>
  <c r="V39" i="63" s="1"/>
  <c r="F40" i="63"/>
  <c r="G40" i="63" s="1"/>
  <c r="V40" i="63" s="1"/>
  <c r="F41" i="63"/>
  <c r="G41" i="63" s="1"/>
  <c r="V41" i="63" s="1"/>
  <c r="F42" i="63"/>
  <c r="G42" i="63"/>
  <c r="V42" i="63"/>
  <c r="F43" i="63"/>
  <c r="G43" i="63"/>
  <c r="V43" i="63"/>
  <c r="F44" i="63"/>
  <c r="G44" i="63"/>
  <c r="V44" i="63" s="1"/>
  <c r="F45" i="63"/>
  <c r="G45" i="63"/>
  <c r="V45" i="63" s="1"/>
  <c r="F46" i="63"/>
  <c r="G46" i="63"/>
  <c r="V46" i="63" s="1"/>
  <c r="F47" i="63"/>
  <c r="G47" i="63" s="1"/>
  <c r="V47" i="63" s="1"/>
  <c r="F48" i="63"/>
  <c r="G48" i="63" s="1"/>
  <c r="V48" i="63" s="1"/>
  <c r="F49" i="63"/>
  <c r="G49" i="63" s="1"/>
  <c r="V49" i="63" s="1"/>
  <c r="F50" i="63"/>
  <c r="G50" i="63"/>
  <c r="V50" i="63"/>
  <c r="F51" i="63"/>
  <c r="G51" i="63"/>
  <c r="V51" i="63"/>
  <c r="F52" i="63"/>
  <c r="G52" i="63"/>
  <c r="V52" i="63" s="1"/>
  <c r="F53" i="63"/>
  <c r="G53" i="63"/>
  <c r="V53" i="63" s="1"/>
  <c r="F54" i="63"/>
  <c r="G54" i="63"/>
  <c r="V54" i="63" s="1"/>
  <c r="F55" i="63"/>
  <c r="G55" i="63" s="1"/>
  <c r="V55" i="63" s="1"/>
  <c r="F56" i="63"/>
  <c r="G56" i="63" s="1"/>
  <c r="V56" i="63" s="1"/>
  <c r="F57" i="63"/>
  <c r="G57" i="63" s="1"/>
  <c r="V57" i="63" s="1"/>
  <c r="F58" i="63"/>
  <c r="G58" i="63"/>
  <c r="V58" i="63"/>
  <c r="F59" i="63"/>
  <c r="G59" i="63"/>
  <c r="V59" i="63"/>
  <c r="F60" i="63"/>
  <c r="G60" i="63"/>
  <c r="V60" i="63" s="1"/>
  <c r="F61" i="63"/>
  <c r="G61" i="63"/>
  <c r="V61" i="63" s="1"/>
  <c r="F62" i="63"/>
  <c r="G62" i="63"/>
  <c r="V62" i="63" s="1"/>
  <c r="F63" i="63"/>
  <c r="G63" i="63" s="1"/>
  <c r="V63" i="63" s="1"/>
  <c r="F64" i="63"/>
  <c r="G64" i="63" s="1"/>
  <c r="V64" i="63" s="1"/>
  <c r="F65" i="63"/>
  <c r="G65" i="63" s="1"/>
  <c r="V65" i="63" s="1"/>
  <c r="F66" i="63"/>
  <c r="G66" i="63"/>
  <c r="V66" i="63"/>
  <c r="F67" i="63"/>
  <c r="G67" i="63"/>
  <c r="V67" i="63"/>
  <c r="F68" i="63"/>
  <c r="G68" i="63"/>
  <c r="V68" i="63" s="1"/>
  <c r="F69" i="63"/>
  <c r="G69" i="63"/>
  <c r="V69" i="63" s="1"/>
  <c r="F70" i="63"/>
  <c r="G70" i="63"/>
  <c r="V70" i="63" s="1"/>
  <c r="F71" i="63"/>
  <c r="G71" i="63" s="1"/>
  <c r="V71" i="63" s="1"/>
  <c r="F72" i="63"/>
  <c r="G72" i="63" s="1"/>
  <c r="V72" i="63" s="1"/>
  <c r="F73" i="63"/>
  <c r="G73" i="63" s="1"/>
  <c r="V73" i="63" s="1"/>
  <c r="F74" i="63"/>
  <c r="G74" i="63"/>
  <c r="V74" i="63"/>
  <c r="F75" i="63"/>
  <c r="G75" i="63"/>
  <c r="V75" i="63"/>
  <c r="F76" i="63"/>
  <c r="G76" i="63"/>
  <c r="V76" i="63" s="1"/>
  <c r="F77" i="63"/>
  <c r="G77" i="63"/>
  <c r="V77" i="63" s="1"/>
  <c r="F78" i="63"/>
  <c r="G78" i="63"/>
  <c r="V78" i="63" s="1"/>
  <c r="F79" i="63"/>
  <c r="G79" i="63" s="1"/>
  <c r="V79" i="63" s="1"/>
  <c r="F80" i="63"/>
  <c r="G80" i="63" s="1"/>
  <c r="V80" i="63" s="1"/>
  <c r="F81" i="63"/>
  <c r="G81" i="63" s="1"/>
  <c r="V81" i="63" s="1"/>
  <c r="F82" i="63"/>
  <c r="G82" i="63"/>
  <c r="V82" i="63"/>
  <c r="F83" i="63"/>
  <c r="G83" i="63"/>
  <c r="V83" i="63"/>
  <c r="F84" i="63"/>
  <c r="G84" i="63"/>
  <c r="V84" i="63" s="1"/>
  <c r="F85" i="63"/>
  <c r="G85" i="63"/>
  <c r="V85" i="63" s="1"/>
  <c r="F86" i="63"/>
  <c r="G86" i="63"/>
  <c r="V86" i="63" s="1"/>
  <c r="F87" i="63"/>
  <c r="G87" i="63" s="1"/>
  <c r="V87" i="63" s="1"/>
  <c r="F88" i="63"/>
  <c r="G88" i="63" s="1"/>
  <c r="V88" i="63" s="1"/>
  <c r="F89" i="63"/>
  <c r="G89" i="63" s="1"/>
  <c r="V89" i="63" s="1"/>
  <c r="F90" i="63"/>
  <c r="G90" i="63"/>
  <c r="V90" i="63"/>
  <c r="F91" i="63"/>
  <c r="G91" i="63"/>
  <c r="V91" i="63"/>
  <c r="F92" i="63"/>
  <c r="G92" i="63"/>
  <c r="V92" i="63" s="1"/>
  <c r="F93" i="63"/>
  <c r="G93" i="63"/>
  <c r="V93" i="63" s="1"/>
  <c r="F94" i="63"/>
  <c r="G94" i="63"/>
  <c r="V94" i="63" s="1"/>
  <c r="F95" i="63"/>
  <c r="G95" i="63" s="1"/>
  <c r="V95" i="63" s="1"/>
  <c r="F96" i="63"/>
  <c r="G96" i="63" s="1"/>
  <c r="V96" i="63" s="1"/>
  <c r="F97" i="63"/>
  <c r="G97" i="63" s="1"/>
  <c r="V97" i="63" s="1"/>
  <c r="F98" i="63"/>
  <c r="G98" i="63"/>
  <c r="V98" i="63"/>
  <c r="F99" i="63"/>
  <c r="G99" i="63"/>
  <c r="V99" i="63"/>
  <c r="F100" i="63"/>
  <c r="G100" i="63"/>
  <c r="V100" i="63" s="1"/>
  <c r="F101" i="63"/>
  <c r="G101" i="63"/>
  <c r="V101" i="63" s="1"/>
  <c r="F102" i="63"/>
  <c r="G102" i="63"/>
  <c r="V102" i="63" s="1"/>
  <c r="F103" i="63"/>
  <c r="G103" i="63" s="1"/>
  <c r="V103" i="63" s="1"/>
  <c r="F104" i="63"/>
  <c r="G104" i="63" s="1"/>
  <c r="V104" i="63" s="1"/>
  <c r="F105" i="63"/>
  <c r="G105" i="63" s="1"/>
  <c r="V105" i="63" s="1"/>
  <c r="F106" i="63"/>
  <c r="G106" i="63"/>
  <c r="V106" i="63"/>
  <c r="F107" i="63"/>
  <c r="G107" i="63"/>
  <c r="V107" i="63"/>
  <c r="F108" i="63"/>
  <c r="G108" i="63"/>
  <c r="V108" i="63" s="1"/>
  <c r="F109" i="63"/>
  <c r="G109" i="63"/>
  <c r="V109" i="63" s="1"/>
  <c r="F110" i="63"/>
  <c r="G110" i="63"/>
  <c r="V110" i="63" s="1"/>
  <c r="F111" i="63"/>
  <c r="G111" i="63" s="1"/>
  <c r="V111" i="63" s="1"/>
  <c r="F112" i="63"/>
  <c r="G112" i="63" s="1"/>
  <c r="V112" i="63" s="1"/>
  <c r="F113" i="63"/>
  <c r="G113" i="63" s="1"/>
  <c r="V113" i="63" s="1"/>
  <c r="F114" i="63"/>
  <c r="G114" i="63"/>
  <c r="V114" i="63"/>
  <c r="F115" i="63"/>
  <c r="G115" i="63"/>
  <c r="V115" i="63"/>
  <c r="F116" i="63"/>
  <c r="G116" i="63"/>
  <c r="V116" i="63" s="1"/>
  <c r="F117" i="63"/>
  <c r="G117" i="63"/>
  <c r="V117" i="63" s="1"/>
  <c r="F118" i="63"/>
  <c r="G118" i="63"/>
  <c r="V118" i="63" s="1"/>
  <c r="F119" i="63"/>
  <c r="G119" i="63" s="1"/>
  <c r="V119" i="63" s="1"/>
  <c r="F120" i="63"/>
  <c r="G120" i="63" s="1"/>
  <c r="V120" i="63" s="1"/>
  <c r="F121" i="63"/>
  <c r="G121" i="63" s="1"/>
  <c r="V121" i="63" s="1"/>
  <c r="F122" i="63"/>
  <c r="G122" i="63"/>
  <c r="V122" i="63"/>
  <c r="F123" i="63"/>
  <c r="G123" i="63"/>
  <c r="V123" i="63"/>
  <c r="F124" i="63"/>
  <c r="G124" i="63"/>
  <c r="V124" i="63" s="1"/>
  <c r="F125" i="63"/>
  <c r="G125" i="63"/>
  <c r="V125" i="63" s="1"/>
  <c r="F126" i="63"/>
  <c r="G126" i="63"/>
  <c r="V126" i="63" s="1"/>
  <c r="F127" i="63"/>
  <c r="G127" i="63" s="1"/>
  <c r="V127" i="63" s="1"/>
  <c r="F128" i="63"/>
  <c r="G128" i="63" s="1"/>
  <c r="V128" i="63" s="1"/>
  <c r="F129" i="63"/>
  <c r="G129" i="63" s="1"/>
  <c r="V129" i="63" s="1"/>
  <c r="F130" i="63"/>
  <c r="G130" i="63"/>
  <c r="V130" i="63"/>
  <c r="F131" i="63"/>
  <c r="G131" i="63"/>
  <c r="V131" i="63"/>
  <c r="F132" i="63"/>
  <c r="G132" i="63"/>
  <c r="V132" i="63" s="1"/>
  <c r="F133" i="63"/>
  <c r="G133" i="63"/>
  <c r="V133" i="63" s="1"/>
  <c r="F134" i="63"/>
  <c r="G134" i="63"/>
  <c r="V134" i="63" s="1"/>
  <c r="F135" i="63"/>
  <c r="G135" i="63" s="1"/>
  <c r="V135" i="63" s="1"/>
  <c r="F136" i="63"/>
  <c r="G136" i="63" s="1"/>
  <c r="V136" i="63" s="1"/>
  <c r="F137" i="63"/>
  <c r="G137" i="63" s="1"/>
  <c r="V137" i="63" s="1"/>
  <c r="F138" i="63"/>
  <c r="G138" i="63"/>
  <c r="V138" i="63"/>
  <c r="F139" i="63"/>
  <c r="G139" i="63"/>
  <c r="V139" i="63"/>
  <c r="F140" i="63"/>
  <c r="G140" i="63"/>
  <c r="V140" i="63" s="1"/>
  <c r="F141" i="63"/>
  <c r="G141" i="63"/>
  <c r="V141" i="63" s="1"/>
  <c r="F142" i="63"/>
  <c r="G142" i="63"/>
  <c r="V142" i="63" s="1"/>
  <c r="F143" i="63"/>
  <c r="G143" i="63" s="1"/>
  <c r="V143" i="63" s="1"/>
  <c r="F144" i="63"/>
  <c r="G144" i="63" s="1"/>
  <c r="V144" i="63" s="1"/>
  <c r="F145" i="63"/>
  <c r="G145" i="63" s="1"/>
  <c r="V145" i="63" s="1"/>
  <c r="F146" i="63"/>
  <c r="G146" i="63"/>
  <c r="V146" i="63"/>
  <c r="F147" i="63"/>
  <c r="G147" i="63"/>
  <c r="V147" i="63"/>
  <c r="F148" i="63"/>
  <c r="G148" i="63"/>
  <c r="V148" i="63" s="1"/>
  <c r="F149" i="63"/>
  <c r="G149" i="63"/>
  <c r="V149" i="63" s="1"/>
  <c r="F150" i="63"/>
  <c r="G150" i="63"/>
  <c r="V150" i="63" s="1"/>
  <c r="F151" i="63"/>
  <c r="G151" i="63" s="1"/>
  <c r="V151" i="63" s="1"/>
  <c r="F152" i="63"/>
  <c r="G152" i="63" s="1"/>
  <c r="V152" i="63" s="1"/>
  <c r="F153" i="63"/>
  <c r="G153" i="63" s="1"/>
  <c r="V153" i="63" s="1"/>
  <c r="F154" i="63"/>
  <c r="G154" i="63"/>
  <c r="V154" i="63"/>
  <c r="F155" i="63"/>
  <c r="G155" i="63"/>
  <c r="V155" i="63"/>
  <c r="F156" i="63"/>
  <c r="G156" i="63"/>
  <c r="V156" i="63" s="1"/>
  <c r="F157" i="63"/>
  <c r="G157" i="63"/>
  <c r="V157" i="63" s="1"/>
  <c r="F158" i="63"/>
  <c r="G158" i="63"/>
  <c r="V158" i="63" s="1"/>
  <c r="F159" i="63"/>
  <c r="G159" i="63" s="1"/>
  <c r="V159" i="63" s="1"/>
  <c r="F160" i="63"/>
  <c r="G160" i="63" s="1"/>
  <c r="V160" i="63" s="1"/>
  <c r="F161" i="63"/>
  <c r="G161" i="63" s="1"/>
  <c r="V161" i="63" s="1"/>
  <c r="F162" i="63"/>
  <c r="G162" i="63"/>
  <c r="V162" i="63"/>
  <c r="F163" i="63"/>
  <c r="G163" i="63"/>
  <c r="V163" i="63"/>
  <c r="F164" i="63"/>
  <c r="G164" i="63"/>
  <c r="V164" i="63" s="1"/>
  <c r="F165" i="63"/>
  <c r="G165" i="63"/>
  <c r="V165" i="63" s="1"/>
  <c r="F166" i="63"/>
  <c r="G166" i="63"/>
  <c r="V166" i="63" s="1"/>
  <c r="F167" i="63"/>
  <c r="G167" i="63" s="1"/>
  <c r="V167" i="63" s="1"/>
  <c r="F168" i="63"/>
  <c r="G168" i="63" s="1"/>
  <c r="V168" i="63" s="1"/>
  <c r="F169" i="63"/>
  <c r="G169" i="63" s="1"/>
  <c r="V169" i="63" s="1"/>
  <c r="F170" i="63"/>
  <c r="G170" i="63"/>
  <c r="V170" i="63"/>
  <c r="F171" i="63"/>
  <c r="G171" i="63"/>
  <c r="V171" i="63"/>
  <c r="F172" i="63"/>
  <c r="G172" i="63"/>
  <c r="V172" i="63" s="1"/>
  <c r="F173" i="63"/>
  <c r="G173" i="63"/>
  <c r="V173" i="63" s="1"/>
  <c r="F174" i="63"/>
  <c r="G174" i="63"/>
  <c r="V174" i="63" s="1"/>
  <c r="F175" i="63"/>
  <c r="G175" i="63" s="1"/>
  <c r="V175" i="63" s="1"/>
  <c r="F176" i="63"/>
  <c r="G176" i="63" s="1"/>
  <c r="V176" i="63" s="1"/>
  <c r="F177" i="63"/>
  <c r="G177" i="63" s="1"/>
  <c r="V177" i="63" s="1"/>
  <c r="F178" i="63"/>
  <c r="G178" i="63"/>
  <c r="V178" i="63"/>
  <c r="F179" i="63"/>
  <c r="G179" i="63"/>
  <c r="V179" i="63"/>
  <c r="F180" i="63"/>
  <c r="G180" i="63"/>
  <c r="V180" i="63" s="1"/>
  <c r="F181" i="63"/>
  <c r="G181" i="63"/>
  <c r="V181" i="63" s="1"/>
  <c r="F182" i="63"/>
  <c r="G182" i="63"/>
  <c r="V182" i="63" s="1"/>
  <c r="F183" i="63"/>
  <c r="G183" i="63" s="1"/>
  <c r="V183" i="63" s="1"/>
  <c r="F184" i="63"/>
  <c r="G184" i="63" s="1"/>
  <c r="V184" i="63" s="1"/>
  <c r="F185" i="63"/>
  <c r="G185" i="63" s="1"/>
  <c r="V185" i="63" s="1"/>
  <c r="F186" i="63"/>
  <c r="G186" i="63"/>
  <c r="V186" i="63"/>
  <c r="F187" i="63"/>
  <c r="G187" i="63"/>
  <c r="V187" i="63"/>
  <c r="F188" i="63"/>
  <c r="G188" i="63"/>
  <c r="V188" i="63" s="1"/>
  <c r="F189" i="63"/>
  <c r="G189" i="63"/>
  <c r="V189" i="63" s="1"/>
  <c r="F190" i="63"/>
  <c r="G190" i="63"/>
  <c r="V190" i="63" s="1"/>
  <c r="F191" i="63"/>
  <c r="G191" i="63" s="1"/>
  <c r="V191" i="63" s="1"/>
  <c r="F192" i="63"/>
  <c r="G192" i="63" s="1"/>
  <c r="V192" i="63" s="1"/>
  <c r="F193" i="63"/>
  <c r="G193" i="63" s="1"/>
  <c r="V193" i="63" s="1"/>
  <c r="F194" i="63"/>
  <c r="G194" i="63" s="1"/>
  <c r="V194" i="63" s="1"/>
  <c r="F195" i="63"/>
  <c r="G195" i="63"/>
  <c r="V195" i="63"/>
  <c r="F196" i="63"/>
  <c r="G196" i="63"/>
  <c r="V196" i="63" s="1"/>
  <c r="F197" i="63"/>
  <c r="G197" i="63"/>
  <c r="V197" i="63" s="1"/>
  <c r="F198" i="63"/>
  <c r="G198" i="63"/>
  <c r="V198" i="63" s="1"/>
  <c r="F199" i="63"/>
  <c r="G199" i="63" s="1"/>
  <c r="V199" i="63" s="1"/>
  <c r="F200" i="63"/>
  <c r="G200" i="63" s="1"/>
  <c r="V200" i="63" s="1"/>
  <c r="F201" i="63"/>
  <c r="G201" i="63" s="1"/>
  <c r="V201" i="63" s="1"/>
  <c r="F202" i="63"/>
  <c r="G202" i="63" s="1"/>
  <c r="V202" i="63" s="1"/>
  <c r="F203" i="63"/>
  <c r="G203" i="63"/>
  <c r="V203" i="63"/>
  <c r="F204" i="63"/>
  <c r="G204" i="63"/>
  <c r="V204" i="63" s="1"/>
  <c r="F205" i="63"/>
  <c r="G205" i="63"/>
  <c r="V205" i="63" s="1"/>
  <c r="F206" i="63"/>
  <c r="G206" i="63"/>
  <c r="V206" i="63" s="1"/>
  <c r="F207" i="63"/>
  <c r="G207" i="63" s="1"/>
  <c r="V207" i="63" s="1"/>
  <c r="F208" i="63"/>
  <c r="G208" i="63" s="1"/>
  <c r="V208" i="63" s="1"/>
  <c r="F209" i="63"/>
  <c r="G209" i="63" s="1"/>
  <c r="V209" i="63" s="1"/>
  <c r="F210" i="63"/>
  <c r="G210" i="63" s="1"/>
  <c r="V210" i="63" s="1"/>
  <c r="F211" i="63"/>
  <c r="G211" i="63"/>
  <c r="V211" i="63"/>
  <c r="F212" i="63"/>
  <c r="G212" i="63"/>
  <c r="V212" i="63" s="1"/>
  <c r="F213" i="63"/>
  <c r="G213" i="63"/>
  <c r="V213" i="63" s="1"/>
  <c r="F214" i="63"/>
  <c r="G214" i="63"/>
  <c r="V214" i="63" s="1"/>
  <c r="F215" i="63"/>
  <c r="G215" i="63" s="1"/>
  <c r="V215" i="63" s="1"/>
  <c r="F216" i="63"/>
  <c r="G216" i="63" s="1"/>
  <c r="V216" i="63" s="1"/>
  <c r="F217" i="63"/>
  <c r="G217" i="63" s="1"/>
  <c r="V217" i="63" s="1"/>
  <c r="F218" i="63"/>
  <c r="G218" i="63" s="1"/>
  <c r="V218" i="63" s="1"/>
  <c r="F219" i="63"/>
  <c r="G219" i="63"/>
  <c r="V219" i="63"/>
  <c r="F220" i="63"/>
  <c r="G220" i="63"/>
  <c r="V220" i="63" s="1"/>
  <c r="F221" i="63"/>
  <c r="G221" i="63"/>
  <c r="V221" i="63" s="1"/>
  <c r="F222" i="63"/>
  <c r="G222" i="63"/>
  <c r="V222" i="63" s="1"/>
  <c r="F223" i="63"/>
  <c r="G223" i="63" s="1"/>
  <c r="V223" i="63" s="1"/>
  <c r="F224" i="63"/>
  <c r="G224" i="63" s="1"/>
  <c r="V224" i="63" s="1"/>
  <c r="F225" i="63"/>
  <c r="G225" i="63" s="1"/>
  <c r="V225" i="63" s="1"/>
  <c r="F226" i="63"/>
  <c r="G226" i="63" s="1"/>
  <c r="V226" i="63" s="1"/>
  <c r="F227" i="63"/>
  <c r="G227" i="63"/>
  <c r="V227" i="63"/>
  <c r="F228" i="63"/>
  <c r="G228" i="63"/>
  <c r="V228" i="63" s="1"/>
  <c r="F229" i="63"/>
  <c r="G229" i="63"/>
  <c r="V229" i="63" s="1"/>
  <c r="F230" i="63"/>
  <c r="G230" i="63"/>
  <c r="V230" i="63" s="1"/>
  <c r="F231" i="63"/>
  <c r="G231" i="63" s="1"/>
  <c r="V231" i="63" s="1"/>
  <c r="F232" i="63"/>
  <c r="G232" i="63" s="1"/>
  <c r="V232" i="63" s="1"/>
  <c r="F233" i="63"/>
  <c r="G233" i="63" s="1"/>
  <c r="V233" i="63" s="1"/>
  <c r="F234" i="63"/>
  <c r="G234" i="63" s="1"/>
  <c r="V234" i="63" s="1"/>
  <c r="F235" i="63"/>
  <c r="G235" i="63"/>
  <c r="V235" i="63"/>
  <c r="F236" i="63"/>
  <c r="G236" i="63"/>
  <c r="V236" i="63" s="1"/>
  <c r="F237" i="63"/>
  <c r="G237" i="63"/>
  <c r="V237" i="63" s="1"/>
  <c r="F238" i="63"/>
  <c r="G238" i="63"/>
  <c r="V238" i="63" s="1"/>
  <c r="F239" i="63"/>
  <c r="G239" i="63" s="1"/>
  <c r="V239" i="63" s="1"/>
  <c r="F240" i="63"/>
  <c r="G240" i="63" s="1"/>
  <c r="V240" i="63" s="1"/>
  <c r="F241" i="63"/>
  <c r="G241" i="63" s="1"/>
  <c r="V241" i="63" s="1"/>
  <c r="F242" i="63"/>
  <c r="G242" i="63" s="1"/>
  <c r="V242" i="63" s="1"/>
  <c r="F243" i="63"/>
  <c r="G243" i="63"/>
  <c r="V243" i="63"/>
  <c r="F244" i="63"/>
  <c r="G244" i="63"/>
  <c r="V244" i="63" s="1"/>
  <c r="F245" i="63"/>
  <c r="G245" i="63"/>
  <c r="V245" i="63" s="1"/>
  <c r="F246" i="63"/>
  <c r="G246" i="63"/>
  <c r="V246" i="63" s="1"/>
  <c r="F247" i="63"/>
  <c r="G247" i="63" s="1"/>
  <c r="V247" i="63" s="1"/>
  <c r="F248" i="63"/>
  <c r="G248" i="63" s="1"/>
  <c r="V248" i="63" s="1"/>
  <c r="F249" i="63"/>
  <c r="G249" i="63" s="1"/>
  <c r="V249" i="63" s="1"/>
  <c r="F250" i="63"/>
  <c r="G250" i="63"/>
  <c r="V250" i="63"/>
  <c r="F251" i="63"/>
  <c r="G251" i="63"/>
  <c r="V251" i="63"/>
  <c r="F252" i="63"/>
  <c r="G252" i="63"/>
  <c r="V252" i="63" s="1"/>
  <c r="F253" i="63"/>
  <c r="G253" i="63"/>
  <c r="V253" i="63" s="1"/>
  <c r="F254" i="63"/>
  <c r="G254" i="63"/>
  <c r="V254" i="63" s="1"/>
  <c r="F255" i="63"/>
  <c r="G255" i="63" s="1"/>
  <c r="V255" i="63" s="1"/>
  <c r="F256" i="63"/>
  <c r="G256" i="63" s="1"/>
  <c r="V256" i="63" s="1"/>
  <c r="F257" i="63"/>
  <c r="G257" i="63" s="1"/>
  <c r="V257" i="63" s="1"/>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O10" i="63" s="1" a="1"/>
  <c r="AI19" i="63"/>
  <c r="AJ18" i="63"/>
  <c r="AI18" i="63"/>
  <c r="AJ17" i="63"/>
  <c r="AI17" i="63"/>
  <c r="AJ16" i="63"/>
  <c r="AI16" i="63"/>
  <c r="AJ15" i="63"/>
  <c r="AI15" i="63"/>
  <c r="AJ13" i="63"/>
  <c r="AI13" i="63"/>
  <c r="AJ12" i="63"/>
  <c r="AI12" i="63"/>
  <c r="AJ11" i="63"/>
  <c r="AI11" i="63"/>
  <c r="AJ10" i="63"/>
  <c r="AI10" i="63"/>
  <c r="B3" i="63"/>
  <c r="AZ10" i="67"/>
  <c r="Y10" i="67"/>
  <c r="AE13" i="63"/>
  <c r="AD13" i="63"/>
  <c r="R10" i="67"/>
  <c r="U10" i="67"/>
  <c r="T173" i="22"/>
  <c r="D184" i="36"/>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32" i="63"/>
  <c r="AD200" i="63"/>
  <c r="AE168" i="63"/>
  <c r="AE136" i="63"/>
  <c r="AE104" i="63"/>
  <c r="AE72" i="63"/>
  <c r="AE40"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c r="X13" i="63"/>
  <c r="V12" i="63"/>
  <c r="X12" i="63"/>
  <c r="V11" i="63"/>
  <c r="X11" i="63"/>
  <c r="X10" i="63"/>
  <c r="P12" i="64"/>
  <c r="Q12" i="64"/>
  <c r="AB40" i="68"/>
  <c r="AB215" i="68"/>
  <c r="AB77" i="68"/>
  <c r="AB104" i="68"/>
  <c r="AB128" i="68"/>
  <c r="AB192" i="68"/>
  <c r="AB239" i="68"/>
  <c r="AB256" i="68"/>
  <c r="AB23" i="68"/>
  <c r="Q21" i="68"/>
  <c r="S21" i="68"/>
  <c r="T21" i="68"/>
  <c r="U21" i="68"/>
  <c r="Q20" i="68"/>
  <c r="S20" i="68"/>
  <c r="T20" i="68"/>
  <c r="U20" i="68"/>
  <c r="Q19" i="68"/>
  <c r="S19" i="68"/>
  <c r="T19" i="68"/>
  <c r="U19" i="68"/>
  <c r="Q18" i="68"/>
  <c r="S18" i="68"/>
  <c r="T18" i="68"/>
  <c r="U18" i="68"/>
  <c r="Q17" i="68"/>
  <c r="S17" i="68"/>
  <c r="T17" i="68"/>
  <c r="U17" i="68"/>
  <c r="Q16" i="68"/>
  <c r="S16" i="68"/>
  <c r="T16" i="68"/>
  <c r="U16" i="68"/>
  <c r="Q15" i="68"/>
  <c r="S15" i="68"/>
  <c r="T15" i="68"/>
  <c r="U15" i="68"/>
  <c r="Q14" i="68"/>
  <c r="S14" i="68"/>
  <c r="T14" i="68"/>
  <c r="U14" i="68"/>
  <c r="V174" i="22"/>
  <c r="S21" i="64"/>
  <c r="T21" i="64"/>
  <c r="U21" i="64"/>
  <c r="S20" i="64"/>
  <c r="T20" i="64"/>
  <c r="U20" i="64"/>
  <c r="S19" i="64"/>
  <c r="T19" i="64"/>
  <c r="U19" i="64"/>
  <c r="S18" i="64"/>
  <c r="T18" i="64"/>
  <c r="U18" i="64"/>
  <c r="S17" i="64"/>
  <c r="T17" i="64"/>
  <c r="U17" i="64"/>
  <c r="S16" i="64"/>
  <c r="T16" i="64"/>
  <c r="U16" i="64"/>
  <c r="S15" i="64"/>
  <c r="T15" i="64"/>
  <c r="U15" i="64"/>
  <c r="S14" i="64"/>
  <c r="T14" i="64"/>
  <c r="U14" i="64"/>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O24" i="57"/>
  <c r="AG24" i="57" s="1"/>
  <c r="N25" i="57"/>
  <c r="S44" i="64"/>
  <c r="T44" i="64"/>
  <c r="V173" i="22"/>
  <c r="S13" i="64"/>
  <c r="T13" i="64"/>
  <c r="U13" i="64"/>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W248" i="63"/>
  <c r="V10" i="63"/>
  <c r="L26" i="57"/>
  <c r="G26" i="57"/>
  <c r="E26" i="57"/>
  <c r="D26" i="57"/>
  <c r="C26" i="57"/>
  <c r="M26" i="57" s="1"/>
  <c r="K26" i="57"/>
  <c r="I26" i="57"/>
  <c r="H26" i="57"/>
  <c r="F26" i="57"/>
  <c r="J26" i="57"/>
  <c r="AN25" i="55" a="1"/>
  <c r="AN25" i="55"/>
  <c r="B27" i="57"/>
  <c r="P27" i="57"/>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c r="AQ11" i="67" a="1"/>
  <c r="AQ11" i="67"/>
  <c r="AQ12" i="67" a="1"/>
  <c r="AQ12" i="67"/>
  <c r="AR10" i="67" a="1"/>
  <c r="AR10" i="67"/>
  <c r="Y13" i="63"/>
  <c r="W11" i="63"/>
  <c r="T176" i="22"/>
  <c r="D187" i="36"/>
  <c r="S12" i="64"/>
  <c r="T12" i="64"/>
  <c r="U12" i="64"/>
  <c r="Z12" i="64"/>
  <c r="AB16" i="68"/>
  <c r="AB19" i="68"/>
  <c r="AB18" i="68"/>
  <c r="AB15" i="68"/>
  <c r="AB21" i="68"/>
  <c r="AB20" i="68"/>
  <c r="AB17" i="68"/>
  <c r="AB14" i="68"/>
  <c r="Z17" i="64"/>
  <c r="Z16" i="64"/>
  <c r="V2" i="64"/>
  <c r="O25" i="57"/>
  <c r="AG25" i="57" s="1"/>
  <c r="N26" i="57"/>
  <c r="Z44" i="64"/>
  <c r="W10" i="63"/>
  <c r="Z15" i="64"/>
  <c r="Z14" i="64"/>
  <c r="Z13" i="64"/>
  <c r="L27" i="57"/>
  <c r="I27" i="57"/>
  <c r="F27" i="57"/>
  <c r="E27" i="57"/>
  <c r="C27" i="57"/>
  <c r="M27" i="57" s="1"/>
  <c r="AK27" i="57" s="1"/>
  <c r="K27" i="57"/>
  <c r="J27" i="57"/>
  <c r="H27" i="57"/>
  <c r="D27" i="57"/>
  <c r="G27" i="57"/>
  <c r="AN26" i="55" a="1"/>
  <c r="AN26" i="55"/>
  <c r="B28" i="57"/>
  <c r="P28" i="57"/>
  <c r="AR11" i="67" a="1"/>
  <c r="AR11" i="67"/>
  <c r="B12" i="69"/>
  <c r="R258" i="67"/>
  <c r="L22" i="73"/>
  <c r="AQ13" i="67" a="1"/>
  <c r="AQ13" i="67"/>
  <c r="Y11" i="63"/>
  <c r="Y10" i="63"/>
  <c r="AC260" i="68"/>
  <c r="AB260" i="68"/>
  <c r="L12" i="69"/>
  <c r="L175" i="22"/>
  <c r="L174" i="22"/>
  <c r="O26" i="57"/>
  <c r="N27" i="57"/>
  <c r="L173" i="22"/>
  <c r="L172" i="22"/>
  <c r="L176" i="22"/>
  <c r="Z260" i="64"/>
  <c r="L28" i="57"/>
  <c r="I28" i="57"/>
  <c r="H28" i="57"/>
  <c r="G28" i="57"/>
  <c r="E28" i="57"/>
  <c r="D28" i="57"/>
  <c r="C28" i="57"/>
  <c r="M28" i="57" s="1"/>
  <c r="R28" i="57" s="1"/>
  <c r="K28" i="57"/>
  <c r="F28" i="57"/>
  <c r="J28" i="57"/>
  <c r="AN27" i="55" a="1"/>
  <c r="AN27" i="55"/>
  <c r="B29" i="57"/>
  <c r="P29" i="57"/>
  <c r="B13" i="69"/>
  <c r="L13" i="69"/>
  <c r="AR12" i="67" a="1"/>
  <c r="AR12" i="67"/>
  <c r="B14" i="69"/>
  <c r="L14" i="69"/>
  <c r="C12" i="69"/>
  <c r="AQ14" i="67" a="1"/>
  <c r="AQ14" i="67"/>
  <c r="AQ15" i="67" a="1"/>
  <c r="AQ15" i="67"/>
  <c r="L124" i="29"/>
  <c r="L123" i="29"/>
  <c r="M131" i="29"/>
  <c r="L131" i="29"/>
  <c r="M132" i="29"/>
  <c r="L132" i="29"/>
  <c r="M133" i="29"/>
  <c r="L133" i="29"/>
  <c r="N12" i="69"/>
  <c r="Q12" i="69"/>
  <c r="AP12" i="69"/>
  <c r="O27" i="57"/>
  <c r="AG27" i="57" s="1"/>
  <c r="N28" i="57"/>
  <c r="D116" i="22"/>
  <c r="L29" i="57"/>
  <c r="J29" i="57"/>
  <c r="G29" i="57"/>
  <c r="H29" i="57"/>
  <c r="D29" i="57"/>
  <c r="C29" i="57"/>
  <c r="M29" i="57" s="1"/>
  <c r="F29" i="57"/>
  <c r="E29" i="57"/>
  <c r="K29" i="57"/>
  <c r="I29" i="57"/>
  <c r="AN28" i="55" a="1"/>
  <c r="AN28" i="55"/>
  <c r="B30" i="57"/>
  <c r="P30" i="57"/>
  <c r="AR13" i="67" a="1"/>
  <c r="AR13" i="67"/>
  <c r="D12" i="69"/>
  <c r="C14" i="69"/>
  <c r="P14" i="69"/>
  <c r="C13" i="69"/>
  <c r="P13" i="69"/>
  <c r="AQ16" i="67" a="1"/>
  <c r="AQ16" i="67"/>
  <c r="AQ17" i="67" a="1"/>
  <c r="AQ17" i="67"/>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c r="D133" i="22"/>
  <c r="C133" i="22"/>
  <c r="B133" i="22"/>
  <c r="D132" i="22"/>
  <c r="C132" i="22"/>
  <c r="B132" i="22"/>
  <c r="A130" i="22"/>
  <c r="A129" i="22"/>
  <c r="B129" i="22"/>
  <c r="C129" i="22"/>
  <c r="F137" i="22"/>
  <c r="X137" i="22"/>
  <c r="T137" i="22"/>
  <c r="F139" i="22"/>
  <c r="X139" i="22"/>
  <c r="T139" i="22"/>
  <c r="X131" i="22"/>
  <c r="T131" i="22"/>
  <c r="F132" i="22"/>
  <c r="X132" i="22"/>
  <c r="T132" i="22"/>
  <c r="T133" i="22"/>
  <c r="X133" i="22"/>
  <c r="F130" i="22"/>
  <c r="T130" i="22"/>
  <c r="X130" i="22"/>
  <c r="F136" i="22"/>
  <c r="T136" i="22"/>
  <c r="X136" i="22"/>
  <c r="F138" i="22"/>
  <c r="X138" i="22"/>
  <c r="T138" i="22"/>
  <c r="F140" i="22"/>
  <c r="X140" i="22"/>
  <c r="T140" i="22"/>
  <c r="F129" i="22"/>
  <c r="X129" i="22"/>
  <c r="T129" i="22"/>
  <c r="AE12" i="69"/>
  <c r="AH12" i="69"/>
  <c r="AP13" i="69"/>
  <c r="N13" i="69"/>
  <c r="AP14" i="69"/>
  <c r="N14" i="69"/>
  <c r="U14" i="69"/>
  <c r="E136" i="22"/>
  <c r="O28" i="57"/>
  <c r="AG28" i="57" s="1"/>
  <c r="N29" i="57"/>
  <c r="U12" i="69"/>
  <c r="AY12" i="69"/>
  <c r="E129" i="22"/>
  <c r="S129" i="22"/>
  <c r="S133" i="22"/>
  <c r="E133" i="22"/>
  <c r="S136" i="22"/>
  <c r="E138" i="22"/>
  <c r="S138" i="22"/>
  <c r="E140" i="22"/>
  <c r="S140" i="22"/>
  <c r="S135" i="22"/>
  <c r="E137" i="22"/>
  <c r="S137" i="22"/>
  <c r="E139" i="22"/>
  <c r="S139" i="22"/>
  <c r="E132" i="22"/>
  <c r="S132" i="22"/>
  <c r="D129" i="22"/>
  <c r="I132" i="22"/>
  <c r="W136" i="22"/>
  <c r="I138" i="22"/>
  <c r="L30" i="57"/>
  <c r="K30" i="57"/>
  <c r="I30" i="57"/>
  <c r="H30" i="57"/>
  <c r="G30" i="57"/>
  <c r="E30" i="57"/>
  <c r="D30" i="57"/>
  <c r="C30" i="57"/>
  <c r="M30" i="57" s="1"/>
  <c r="R30" i="57" s="1"/>
  <c r="F30" i="57"/>
  <c r="J30" i="57"/>
  <c r="AN29" i="55" a="1"/>
  <c r="AN29" i="55"/>
  <c r="B31" i="57"/>
  <c r="P31" i="57"/>
  <c r="AR14" i="67" a="1"/>
  <c r="AR14" i="67"/>
  <c r="B16" i="69"/>
  <c r="L16" i="69"/>
  <c r="B15" i="69"/>
  <c r="L15" i="69"/>
  <c r="D13" i="69"/>
  <c r="E13" i="69"/>
  <c r="F13" i="69"/>
  <c r="G13" i="69"/>
  <c r="H13" i="69"/>
  <c r="I13" i="69"/>
  <c r="J13" i="69"/>
  <c r="K13" i="69"/>
  <c r="M13" i="69"/>
  <c r="D14" i="69"/>
  <c r="E14" i="69"/>
  <c r="F14" i="69"/>
  <c r="G14" i="69"/>
  <c r="H14" i="69"/>
  <c r="I14" i="69"/>
  <c r="J14" i="69"/>
  <c r="K14" i="69"/>
  <c r="M14" i="69"/>
  <c r="R12" i="69"/>
  <c r="S12" i="69"/>
  <c r="E12" i="69"/>
  <c r="F12" i="69"/>
  <c r="AQ18" i="67" a="1"/>
  <c r="AQ18" i="67"/>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U13" i="69"/>
  <c r="Q14" i="69"/>
  <c r="Q13" i="69"/>
  <c r="O12" i="69"/>
  <c r="P12" i="69"/>
  <c r="O29" i="57"/>
  <c r="AG29" i="57" s="1"/>
  <c r="N30" i="57"/>
  <c r="G12" i="69"/>
  <c r="H12" i="69"/>
  <c r="I12" i="69"/>
  <c r="J12" i="69"/>
  <c r="AY14" i="69"/>
  <c r="I129" i="22"/>
  <c r="AY13" i="69"/>
  <c r="L31" i="57"/>
  <c r="K31" i="57"/>
  <c r="I31" i="57"/>
  <c r="F31" i="57"/>
  <c r="C31" i="57"/>
  <c r="M31" i="57" s="1"/>
  <c r="AK31" i="57" s="1"/>
  <c r="E31" i="57"/>
  <c r="J31" i="57"/>
  <c r="H31" i="57"/>
  <c r="D31" i="57"/>
  <c r="G31" i="57"/>
  <c r="AN30" i="55" a="1"/>
  <c r="AN30" i="55"/>
  <c r="B32" i="57"/>
  <c r="P32" i="57"/>
  <c r="AE14" i="69"/>
  <c r="AH14" i="69"/>
  <c r="R14" i="69"/>
  <c r="S14" i="69"/>
  <c r="AR15" i="67" a="1"/>
  <c r="AR15" i="67"/>
  <c r="AE13" i="69"/>
  <c r="AH13" i="69"/>
  <c r="R13" i="69"/>
  <c r="S13" i="69"/>
  <c r="C15" i="69"/>
  <c r="P15" i="69"/>
  <c r="C16" i="69"/>
  <c r="P16" i="69"/>
  <c r="AQ19" i="67" a="1"/>
  <c r="AQ19" i="67"/>
  <c r="E124" i="28"/>
  <c r="D124" i="28"/>
  <c r="C124" i="28"/>
  <c r="B124" i="28"/>
  <c r="D131" i="22"/>
  <c r="C131" i="22"/>
  <c r="B131" i="22"/>
  <c r="Y12" i="69"/>
  <c r="AB12" i="69"/>
  <c r="AC12" i="69"/>
  <c r="AP16" i="69"/>
  <c r="N16" i="69"/>
  <c r="U16" i="69"/>
  <c r="AP15" i="69"/>
  <c r="N15" i="69"/>
  <c r="O14" i="69"/>
  <c r="O13" i="69"/>
  <c r="M12" i="69"/>
  <c r="K12" i="69"/>
  <c r="O30" i="57"/>
  <c r="AG30" i="57" s="1"/>
  <c r="N31" i="57"/>
  <c r="E131" i="22"/>
  <c r="S131" i="22"/>
  <c r="L32" i="57"/>
  <c r="H32" i="57"/>
  <c r="G32" i="57"/>
  <c r="E32" i="57"/>
  <c r="D32" i="57"/>
  <c r="C32" i="57"/>
  <c r="M32" i="57" s="1"/>
  <c r="AJ32" i="57" s="1"/>
  <c r="K32" i="57"/>
  <c r="I32" i="57"/>
  <c r="F32" i="57"/>
  <c r="J32" i="57"/>
  <c r="AN31" i="55" a="1"/>
  <c r="AN31" i="55"/>
  <c r="B33" i="57"/>
  <c r="P33" i="57"/>
  <c r="AR16" i="67" a="1"/>
  <c r="AR16" i="67"/>
  <c r="B18" i="69"/>
  <c r="L18" i="69"/>
  <c r="B17" i="69"/>
  <c r="L17" i="69"/>
  <c r="D16" i="69"/>
  <c r="E16" i="69"/>
  <c r="F16" i="69"/>
  <c r="G16" i="69"/>
  <c r="H16" i="69"/>
  <c r="I16" i="69"/>
  <c r="J16" i="69"/>
  <c r="K16" i="69"/>
  <c r="M16" i="69"/>
  <c r="D15" i="69"/>
  <c r="AQ20" i="67" a="1"/>
  <c r="AQ20" i="67"/>
  <c r="W131" i="22"/>
  <c r="G131" i="22"/>
  <c r="K131" i="22"/>
  <c r="U131" i="22"/>
  <c r="L131" i="22"/>
  <c r="V131" i="22"/>
  <c r="Y4" i="28"/>
  <c r="Z4" i="28"/>
  <c r="Y5" i="28"/>
  <c r="Z5" i="28"/>
  <c r="Y6" i="28"/>
  <c r="Z6" i="28"/>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c r="AB13" i="69"/>
  <c r="AC13" i="69"/>
  <c r="Y14" i="69"/>
  <c r="AB14" i="69"/>
  <c r="AC14" i="69"/>
  <c r="AD14" i="69"/>
  <c r="U15" i="69"/>
  <c r="AF14" i="69"/>
  <c r="U11" i="46"/>
  <c r="Q15" i="69"/>
  <c r="Q16" i="69"/>
  <c r="O31" i="57"/>
  <c r="AG31" i="57" s="1"/>
  <c r="N32" i="57"/>
  <c r="W8" i="78"/>
  <c r="U8" i="78"/>
  <c r="W7" i="78"/>
  <c r="U7" i="78"/>
  <c r="W6" i="78"/>
  <c r="U6" i="78"/>
  <c r="AY15" i="69"/>
  <c r="AY16" i="69"/>
  <c r="L33" i="57"/>
  <c r="K33" i="57"/>
  <c r="J33" i="57"/>
  <c r="E33" i="57"/>
  <c r="C33" i="57"/>
  <c r="M33" i="57" s="1"/>
  <c r="H33" i="57"/>
  <c r="I33" i="57"/>
  <c r="D33" i="57"/>
  <c r="F33" i="57"/>
  <c r="G33" i="57"/>
  <c r="AN32" i="55" a="1"/>
  <c r="AN32" i="55"/>
  <c r="B34" i="57"/>
  <c r="P34" i="57"/>
  <c r="AR17" i="67" a="1"/>
  <c r="AR17" i="67"/>
  <c r="B19" i="69"/>
  <c r="C17" i="69"/>
  <c r="P17" i="69"/>
  <c r="C18" i="69"/>
  <c r="P18" i="69"/>
  <c r="AE16" i="69"/>
  <c r="AH16" i="69"/>
  <c r="R16" i="69"/>
  <c r="S16" i="69"/>
  <c r="AE15" i="69"/>
  <c r="AH15" i="69"/>
  <c r="R15" i="69"/>
  <c r="S15" i="69"/>
  <c r="E15" i="69"/>
  <c r="F15" i="69"/>
  <c r="AQ21" i="67" a="1"/>
  <c r="AQ21" i="67"/>
  <c r="AQ22" i="67" a="1"/>
  <c r="AQ22" i="67"/>
  <c r="AQ23" i="67" a="1"/>
  <c r="AQ23" i="67"/>
  <c r="AQ24" i="67" a="1"/>
  <c r="AQ24" i="67"/>
  <c r="AQ25" i="67" a="1"/>
  <c r="AQ25" i="67"/>
  <c r="AQ26" i="67" a="1"/>
  <c r="AQ26" i="67"/>
  <c r="AQ27" i="67" a="1"/>
  <c r="AQ27" i="67"/>
  <c r="AQ28" i="67" a="1"/>
  <c r="AQ28" i="67"/>
  <c r="AQ29" i="67" a="1"/>
  <c r="AQ29" i="67"/>
  <c r="AQ30" i="67" a="1"/>
  <c r="AQ30" i="67"/>
  <c r="AQ31" i="67" a="1"/>
  <c r="AQ31" i="67"/>
  <c r="AQ32" i="67" a="1"/>
  <c r="AQ32" i="67"/>
  <c r="AQ33" i="67" a="1"/>
  <c r="AQ33" i="67"/>
  <c r="AQ34" i="67" a="1"/>
  <c r="AQ34" i="67"/>
  <c r="AQ35" i="67" a="1"/>
  <c r="AQ35" i="67"/>
  <c r="AQ36" i="67" a="1"/>
  <c r="AQ36" i="67"/>
  <c r="AQ37" i="67" a="1"/>
  <c r="AQ37" i="67"/>
  <c r="AQ38" i="67" a="1"/>
  <c r="AQ38" i="67"/>
  <c r="AQ39" i="67" a="1"/>
  <c r="AQ39" i="67"/>
  <c r="AQ40" i="67" a="1"/>
  <c r="AQ40" i="67"/>
  <c r="AQ41" i="67" a="1"/>
  <c r="AQ41" i="67"/>
  <c r="AQ42" i="67" a="1"/>
  <c r="AQ42" i="67"/>
  <c r="AQ43" i="67" a="1"/>
  <c r="AQ43" i="67"/>
  <c r="AQ44" i="67" a="1"/>
  <c r="AQ44" i="67"/>
  <c r="AQ45" i="67" a="1"/>
  <c r="AQ45" i="67"/>
  <c r="AQ46" i="67" a="1"/>
  <c r="AQ46" i="67"/>
  <c r="AQ47" i="67" a="1"/>
  <c r="AQ47" i="67"/>
  <c r="AQ48" i="67" a="1"/>
  <c r="AQ48" i="67"/>
  <c r="AQ49" i="67" a="1"/>
  <c r="AQ49" i="67"/>
  <c r="AQ50" i="67" a="1"/>
  <c r="AQ50" i="67"/>
  <c r="AQ51" i="67" a="1"/>
  <c r="AQ51" i="67"/>
  <c r="AQ52" i="67" a="1"/>
  <c r="AQ52" i="67"/>
  <c r="AQ53" i="67" a="1"/>
  <c r="AQ53" i="67"/>
  <c r="AQ54" i="67" a="1"/>
  <c r="AQ54" i="67"/>
  <c r="AQ55" i="67" a="1"/>
  <c r="AQ55" i="67"/>
  <c r="AQ56" i="67" a="1"/>
  <c r="AQ56" i="67"/>
  <c r="AQ57" i="67" a="1"/>
  <c r="AQ57" i="67"/>
  <c r="AQ58" i="67" a="1"/>
  <c r="AQ58" i="67"/>
  <c r="AQ59" i="67" a="1"/>
  <c r="AQ59" i="67"/>
  <c r="AQ60" i="67" a="1"/>
  <c r="AQ60" i="67"/>
  <c r="AQ61" i="67" a="1"/>
  <c r="AQ61" i="67"/>
  <c r="AQ62" i="67" a="1"/>
  <c r="AQ62" i="67"/>
  <c r="AQ63" i="67" a="1"/>
  <c r="AQ63" i="67"/>
  <c r="AQ64" i="67" a="1"/>
  <c r="AQ64" i="67"/>
  <c r="AQ65" i="67" a="1"/>
  <c r="AQ65" i="67"/>
  <c r="AQ66" i="67" a="1"/>
  <c r="AQ66" i="67"/>
  <c r="AQ67" i="67" a="1"/>
  <c r="AQ67" i="67"/>
  <c r="AQ68" i="67" a="1"/>
  <c r="AQ68" i="67"/>
  <c r="AQ69" i="67" a="1"/>
  <c r="AQ69" i="67"/>
  <c r="AQ70" i="67" a="1"/>
  <c r="AQ70" i="67"/>
  <c r="AQ71" i="67" a="1"/>
  <c r="AQ71" i="67"/>
  <c r="AQ72" i="67" a="1"/>
  <c r="AQ72" i="67"/>
  <c r="AQ73" i="67" a="1"/>
  <c r="AQ73" i="67"/>
  <c r="AQ74" i="67" a="1"/>
  <c r="AQ74" i="67"/>
  <c r="AQ75" i="67" a="1"/>
  <c r="AQ75" i="67"/>
  <c r="AQ76" i="67" a="1"/>
  <c r="AQ76" i="67"/>
  <c r="AQ77" i="67" a="1"/>
  <c r="AQ77" i="67"/>
  <c r="AQ78" i="67" a="1"/>
  <c r="AQ78" i="67"/>
  <c r="AQ79" i="67" a="1"/>
  <c r="AQ79" i="67"/>
  <c r="AQ80" i="67" a="1"/>
  <c r="AQ80" i="67"/>
  <c r="AQ81" i="67" a="1"/>
  <c r="AQ81" i="67"/>
  <c r="AQ82" i="67" a="1"/>
  <c r="AQ82" i="67"/>
  <c r="AQ83" i="67" a="1"/>
  <c r="AQ83" i="67"/>
  <c r="AQ84" i="67" a="1"/>
  <c r="AQ84" i="67"/>
  <c r="AQ85" i="67" a="1"/>
  <c r="AQ85" i="67"/>
  <c r="AQ86" i="67" a="1"/>
  <c r="AQ86" i="67"/>
  <c r="AQ87" i="67" a="1"/>
  <c r="AQ87" i="67"/>
  <c r="AQ88" i="67" a="1"/>
  <c r="AQ88" i="67"/>
  <c r="AQ89" i="67" a="1"/>
  <c r="AQ89" i="67"/>
  <c r="AQ90" i="67" a="1"/>
  <c r="AQ90" i="67"/>
  <c r="AQ91" i="67" a="1"/>
  <c r="AQ91" i="67"/>
  <c r="AQ92" i="67" a="1"/>
  <c r="AQ92" i="67"/>
  <c r="AQ93" i="67" a="1"/>
  <c r="AQ93" i="67"/>
  <c r="AQ94" i="67" a="1"/>
  <c r="AQ94" i="67"/>
  <c r="AQ95" i="67" a="1"/>
  <c r="AQ95" i="67"/>
  <c r="AQ96" i="67" a="1"/>
  <c r="AQ96" i="67"/>
  <c r="AQ97" i="67" a="1"/>
  <c r="AQ97" i="67"/>
  <c r="AQ98" i="67" a="1"/>
  <c r="AQ98" i="67"/>
  <c r="AQ99" i="67" a="1"/>
  <c r="AQ99" i="67"/>
  <c r="AQ100" i="67" a="1"/>
  <c r="AQ100" i="67"/>
  <c r="AQ101" i="67" a="1"/>
  <c r="AQ101" i="67"/>
  <c r="AQ102" i="67" a="1"/>
  <c r="AQ102" i="67"/>
  <c r="AQ103" i="67" a="1"/>
  <c r="AQ103" i="67"/>
  <c r="AQ104" i="67" a="1"/>
  <c r="AQ104" i="67"/>
  <c r="AQ105" i="67" a="1"/>
  <c r="AQ105" i="67"/>
  <c r="AQ106" i="67" a="1"/>
  <c r="AQ106" i="67"/>
  <c r="AQ107" i="67" a="1"/>
  <c r="AQ107" i="67"/>
  <c r="AQ108" i="67" a="1"/>
  <c r="AQ108" i="67"/>
  <c r="AQ109" i="67" a="1"/>
  <c r="AQ109" i="67"/>
  <c r="AQ110" i="67" a="1"/>
  <c r="AQ110" i="67"/>
  <c r="AQ111" i="67" a="1"/>
  <c r="AQ111" i="67"/>
  <c r="AQ112" i="67" a="1"/>
  <c r="AQ112" i="67"/>
  <c r="AQ113" i="67" a="1"/>
  <c r="AQ113" i="67"/>
  <c r="AQ114" i="67" a="1"/>
  <c r="AQ114" i="67"/>
  <c r="AQ115" i="67" a="1"/>
  <c r="AQ115" i="67"/>
  <c r="AQ116" i="67" a="1"/>
  <c r="AQ116" i="67"/>
  <c r="AQ117" i="67" a="1"/>
  <c r="AQ117" i="67"/>
  <c r="AQ118" i="67" a="1"/>
  <c r="AQ118" i="67"/>
  <c r="AQ119" i="67" a="1"/>
  <c r="AQ119" i="67"/>
  <c r="AQ120" i="67" a="1"/>
  <c r="AQ120" i="67"/>
  <c r="AQ121" i="67" a="1"/>
  <c r="AQ121" i="67"/>
  <c r="AQ122" i="67" a="1"/>
  <c r="AQ122" i="67"/>
  <c r="AQ123" i="67" a="1"/>
  <c r="AQ123" i="67"/>
  <c r="AQ124" i="67" a="1"/>
  <c r="AQ124" i="67"/>
  <c r="AQ125" i="67" a="1"/>
  <c r="AQ125" i="67"/>
  <c r="AQ126" i="67" a="1"/>
  <c r="AQ126" i="67"/>
  <c r="AQ127" i="67" a="1"/>
  <c r="AQ127" i="67"/>
  <c r="AQ128" i="67" a="1"/>
  <c r="AQ128" i="67"/>
  <c r="AQ129" i="67" a="1"/>
  <c r="AQ129" i="67"/>
  <c r="AQ130" i="67" a="1"/>
  <c r="AQ130" i="67"/>
  <c r="AQ131" i="67" a="1"/>
  <c r="AQ131" i="67"/>
  <c r="AQ132" i="67" a="1"/>
  <c r="AQ132" i="67"/>
  <c r="AQ133" i="67" a="1"/>
  <c r="AQ133" i="67"/>
  <c r="AQ134" i="67" a="1"/>
  <c r="AQ134" i="67"/>
  <c r="AQ135" i="67" a="1"/>
  <c r="AQ135" i="67"/>
  <c r="AQ136" i="67" a="1"/>
  <c r="AQ136" i="67"/>
  <c r="AQ137" i="67" a="1"/>
  <c r="AQ137" i="67"/>
  <c r="AQ138" i="67" a="1"/>
  <c r="AQ138" i="67"/>
  <c r="AQ139" i="67" a="1"/>
  <c r="AQ139" i="67"/>
  <c r="AQ140" i="67" a="1"/>
  <c r="AQ140" i="67"/>
  <c r="AQ141" i="67" a="1"/>
  <c r="AQ141" i="67"/>
  <c r="AQ142" i="67" a="1"/>
  <c r="AQ142" i="67"/>
  <c r="AQ143" i="67" a="1"/>
  <c r="AQ143" i="67"/>
  <c r="AQ144" i="67" a="1"/>
  <c r="AQ144" i="67"/>
  <c r="AQ145" i="67" a="1"/>
  <c r="AQ145" i="67"/>
  <c r="AQ146" i="67" a="1"/>
  <c r="AQ146" i="67"/>
  <c r="AQ147" i="67" a="1"/>
  <c r="AQ147" i="67"/>
  <c r="AQ148" i="67" a="1"/>
  <c r="AQ148" i="67"/>
  <c r="AQ149" i="67" a="1"/>
  <c r="AQ149" i="67"/>
  <c r="AQ150" i="67" a="1"/>
  <c r="AQ150" i="67"/>
  <c r="AQ151" i="67" a="1"/>
  <c r="AQ151" i="67"/>
  <c r="AQ152" i="67" a="1"/>
  <c r="AQ152" i="67"/>
  <c r="AQ153" i="67" a="1"/>
  <c r="AQ153" i="67"/>
  <c r="AQ154" i="67" a="1"/>
  <c r="AQ154" i="67"/>
  <c r="AQ155" i="67" a="1"/>
  <c r="AQ155" i="67"/>
  <c r="AQ156" i="67" a="1"/>
  <c r="AQ156" i="67"/>
  <c r="AQ157" i="67" a="1"/>
  <c r="AQ157" i="67"/>
  <c r="AQ158" i="67" a="1"/>
  <c r="AQ158" i="67"/>
  <c r="AQ159" i="67" a="1"/>
  <c r="AQ159" i="67"/>
  <c r="AQ160" i="67" a="1"/>
  <c r="AQ160" i="67"/>
  <c r="AQ161" i="67" a="1"/>
  <c r="AQ161" i="67"/>
  <c r="AQ162" i="67" a="1"/>
  <c r="AQ162" i="67"/>
  <c r="AQ163" i="67" a="1"/>
  <c r="AQ163" i="67"/>
  <c r="AQ164" i="67" a="1"/>
  <c r="AQ164" i="67"/>
  <c r="AQ165" i="67" a="1"/>
  <c r="AQ165" i="67"/>
  <c r="AQ166" i="67" a="1"/>
  <c r="AQ166" i="67"/>
  <c r="AQ167" i="67" a="1"/>
  <c r="AQ167" i="67"/>
  <c r="AQ168" i="67" a="1"/>
  <c r="AQ168" i="67"/>
  <c r="AQ169" i="67" a="1"/>
  <c r="AQ169" i="67"/>
  <c r="AQ170" i="67" a="1"/>
  <c r="AQ170" i="67"/>
  <c r="AQ171" i="67" a="1"/>
  <c r="AQ171" i="67"/>
  <c r="AQ172" i="67" a="1"/>
  <c r="AQ172" i="67"/>
  <c r="AQ173" i="67" a="1"/>
  <c r="AQ173" i="67"/>
  <c r="AQ174" i="67" a="1"/>
  <c r="AQ174" i="67"/>
  <c r="AQ175" i="67" a="1"/>
  <c r="AQ175" i="67"/>
  <c r="AQ176" i="67" a="1"/>
  <c r="AQ176" i="67"/>
  <c r="AQ177" i="67" a="1"/>
  <c r="AQ177" i="67"/>
  <c r="AQ178" i="67" a="1"/>
  <c r="AQ178" i="67"/>
  <c r="AQ179" i="67" a="1"/>
  <c r="AQ179" i="67"/>
  <c r="AQ180" i="67" a="1"/>
  <c r="AQ180" i="67"/>
  <c r="AQ181" i="67" a="1"/>
  <c r="AQ181" i="67"/>
  <c r="AQ182" i="67" a="1"/>
  <c r="AQ182" i="67"/>
  <c r="AQ183" i="67" a="1"/>
  <c r="AQ183" i="67"/>
  <c r="AQ184" i="67" a="1"/>
  <c r="AQ184" i="67"/>
  <c r="AQ185" i="67" a="1"/>
  <c r="AQ185" i="67"/>
  <c r="AQ186" i="67" a="1"/>
  <c r="AQ186" i="67"/>
  <c r="AQ187" i="67" a="1"/>
  <c r="AQ187" i="67"/>
  <c r="AQ188" i="67" a="1"/>
  <c r="AQ188" i="67"/>
  <c r="AQ189" i="67" a="1"/>
  <c r="AQ189" i="67"/>
  <c r="AQ190" i="67" a="1"/>
  <c r="AQ190" i="67"/>
  <c r="AQ191" i="67" a="1"/>
  <c r="AQ191" i="67"/>
  <c r="AQ192" i="67" a="1"/>
  <c r="AQ192" i="67"/>
  <c r="AQ193" i="67" a="1"/>
  <c r="AQ193" i="67"/>
  <c r="AQ194" i="67" a="1"/>
  <c r="AQ194" i="67"/>
  <c r="AQ195" i="67" a="1"/>
  <c r="AQ195" i="67"/>
  <c r="AQ196" i="67" a="1"/>
  <c r="AQ196" i="67"/>
  <c r="AQ197" i="67" a="1"/>
  <c r="AQ197" i="67"/>
  <c r="AQ198" i="67" a="1"/>
  <c r="AQ198" i="67"/>
  <c r="AQ199" i="67" a="1"/>
  <c r="AQ199" i="67"/>
  <c r="AQ200" i="67" a="1"/>
  <c r="AQ200" i="67"/>
  <c r="AQ201" i="67" a="1"/>
  <c r="AQ201" i="67"/>
  <c r="AQ202" i="67" a="1"/>
  <c r="AQ202" i="67"/>
  <c r="AQ203" i="67" a="1"/>
  <c r="AQ203" i="67"/>
  <c r="AQ204" i="67" a="1"/>
  <c r="AQ204" i="67"/>
  <c r="AQ205" i="67" a="1"/>
  <c r="AQ205" i="67"/>
  <c r="AQ206" i="67" a="1"/>
  <c r="AQ206" i="67"/>
  <c r="AQ207" i="67" a="1"/>
  <c r="AQ207" i="67"/>
  <c r="AQ208" i="67" a="1"/>
  <c r="AQ208" i="67"/>
  <c r="AQ209" i="67" a="1"/>
  <c r="AQ209" i="67"/>
  <c r="AQ210" i="67" a="1"/>
  <c r="AQ210" i="67"/>
  <c r="AQ211" i="67" a="1"/>
  <c r="AQ211" i="67"/>
  <c r="AQ212" i="67" a="1"/>
  <c r="AQ212" i="67"/>
  <c r="AQ213" i="67" a="1"/>
  <c r="AQ213" i="67"/>
  <c r="AQ214" i="67" a="1"/>
  <c r="AQ214" i="67"/>
  <c r="AQ215" i="67" a="1"/>
  <c r="AQ215" i="67"/>
  <c r="AQ216" i="67" a="1"/>
  <c r="AQ216" i="67"/>
  <c r="AQ217" i="67" a="1"/>
  <c r="AQ217" i="67"/>
  <c r="AQ218" i="67" a="1"/>
  <c r="AQ218" i="67"/>
  <c r="AQ219" i="67" a="1"/>
  <c r="AQ219" i="67"/>
  <c r="AQ220" i="67" a="1"/>
  <c r="AQ220" i="67"/>
  <c r="AQ221" i="67" a="1"/>
  <c r="AQ221" i="67"/>
  <c r="AQ222" i="67" a="1"/>
  <c r="AQ222" i="67"/>
  <c r="AQ223" i="67" a="1"/>
  <c r="AQ223" i="67"/>
  <c r="AQ224" i="67" a="1"/>
  <c r="AQ224" i="67"/>
  <c r="AQ225" i="67" a="1"/>
  <c r="AQ225" i="67"/>
  <c r="AQ226" i="67" a="1"/>
  <c r="AQ226" i="67"/>
  <c r="AQ227" i="67" a="1"/>
  <c r="AQ227" i="67"/>
  <c r="AQ228" i="67" a="1"/>
  <c r="AQ228" i="67"/>
  <c r="AQ229" i="67" a="1"/>
  <c r="AQ229" i="67"/>
  <c r="AQ230" i="67" a="1"/>
  <c r="AQ230" i="67"/>
  <c r="AQ231" i="67" a="1"/>
  <c r="AQ231" i="67"/>
  <c r="AQ232" i="67" a="1"/>
  <c r="AQ232" i="67"/>
  <c r="AQ233" i="67" a="1"/>
  <c r="AQ233" i="67"/>
  <c r="AQ234" i="67" a="1"/>
  <c r="AQ234" i="67"/>
  <c r="AQ235" i="67" a="1"/>
  <c r="AQ235" i="67"/>
  <c r="AQ236" i="67" a="1"/>
  <c r="AQ236" i="67"/>
  <c r="AQ237" i="67" a="1"/>
  <c r="AQ237" i="67"/>
  <c r="AQ238" i="67" a="1"/>
  <c r="AQ238" i="67"/>
  <c r="AQ239" i="67" a="1"/>
  <c r="AQ239" i="67"/>
  <c r="AQ240" i="67" a="1"/>
  <c r="AQ240" i="67"/>
  <c r="AQ241" i="67" a="1"/>
  <c r="AQ241" i="67"/>
  <c r="AQ242" i="67" a="1"/>
  <c r="AQ242" i="67"/>
  <c r="AQ243" i="67" a="1"/>
  <c r="AQ243" i="67"/>
  <c r="AQ244" i="67" a="1"/>
  <c r="AQ244" i="67"/>
  <c r="AQ245" i="67" a="1"/>
  <c r="AQ245" i="67"/>
  <c r="AQ246" i="67" a="1"/>
  <c r="AQ246" i="67"/>
  <c r="AQ247" i="67" a="1"/>
  <c r="AQ247" i="67"/>
  <c r="AQ248" i="67" a="1"/>
  <c r="AQ248" i="67"/>
  <c r="AQ249" i="67" a="1"/>
  <c r="AQ249" i="67"/>
  <c r="AQ250" i="67" a="1"/>
  <c r="AQ250" i="67"/>
  <c r="AQ251" i="67" a="1"/>
  <c r="AQ251" i="67"/>
  <c r="AQ252" i="67" a="1"/>
  <c r="AQ252" i="67"/>
  <c r="AQ253" i="67" a="1"/>
  <c r="AQ253" i="67"/>
  <c r="AQ254" i="67" a="1"/>
  <c r="AQ254" i="67"/>
  <c r="AQ255" i="67" a="1"/>
  <c r="AQ255" i="67"/>
  <c r="AQ256" i="67" a="1"/>
  <c r="AQ256" i="67"/>
  <c r="AQ257" i="67" a="1"/>
  <c r="AQ257" i="67"/>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c r="AP18" i="69"/>
  <c r="N18" i="69"/>
  <c r="U18" i="69"/>
  <c r="AP17" i="69"/>
  <c r="N17" i="69"/>
  <c r="O16" i="69"/>
  <c r="O15" i="69"/>
  <c r="AO14" i="69"/>
  <c r="AD13" i="69"/>
  <c r="AF13" i="69"/>
  <c r="AG13" i="69"/>
  <c r="L19" i="69"/>
  <c r="U9" i="78"/>
  <c r="AD12" i="69"/>
  <c r="AF12" i="69"/>
  <c r="AG12" i="69"/>
  <c r="O32" i="57"/>
  <c r="AG32" i="57" s="1"/>
  <c r="N33" i="57"/>
  <c r="G15" i="69"/>
  <c r="H15" i="69"/>
  <c r="I15" i="69"/>
  <c r="J15" i="69"/>
  <c r="K15" i="69"/>
  <c r="M15" i="69"/>
  <c r="W9" i="78"/>
  <c r="C19" i="69"/>
  <c r="P19" i="69"/>
  <c r="L34" i="57"/>
  <c r="G34" i="57"/>
  <c r="E34" i="57"/>
  <c r="D34" i="57"/>
  <c r="C34" i="57"/>
  <c r="M34" i="57" s="1"/>
  <c r="AJ34" i="57" s="1"/>
  <c r="K34" i="57"/>
  <c r="I34" i="57"/>
  <c r="H34" i="57"/>
  <c r="F34" i="57"/>
  <c r="J34" i="57"/>
  <c r="AN33" i="55" a="1"/>
  <c r="AN33" i="55"/>
  <c r="B35" i="57"/>
  <c r="P35" i="57"/>
  <c r="AR18" i="67" a="1"/>
  <c r="AR18" i="67"/>
  <c r="B20" i="69"/>
  <c r="D18" i="69"/>
  <c r="E18" i="69"/>
  <c r="F18" i="69"/>
  <c r="G18" i="69"/>
  <c r="H18" i="69"/>
  <c r="I18" i="69"/>
  <c r="J18" i="69"/>
  <c r="K18" i="69"/>
  <c r="M18" i="69"/>
  <c r="D17" i="69"/>
  <c r="Y15" i="69"/>
  <c r="Y16" i="69"/>
  <c r="AB16" i="69"/>
  <c r="AC16" i="69"/>
  <c r="AD16" i="69"/>
  <c r="AP19" i="69"/>
  <c r="N19" i="69"/>
  <c r="U19" i="69"/>
  <c r="U17" i="69"/>
  <c r="AF16" i="69"/>
  <c r="AO13" i="69"/>
  <c r="AO12" i="69"/>
  <c r="L20" i="69"/>
  <c r="Q17" i="69"/>
  <c r="Q18" i="69"/>
  <c r="O33" i="57"/>
  <c r="AG33" i="57" s="1"/>
  <c r="N34" i="57"/>
  <c r="D19" i="69"/>
  <c r="E19" i="69"/>
  <c r="F19" i="69"/>
  <c r="G19" i="69"/>
  <c r="H19" i="69"/>
  <c r="I19" i="69"/>
  <c r="J19" i="69"/>
  <c r="K19" i="69"/>
  <c r="M19" i="69"/>
  <c r="AY18" i="69"/>
  <c r="AY17" i="69"/>
  <c r="L35" i="57"/>
  <c r="AH17" i="69"/>
  <c r="I35" i="57"/>
  <c r="F35" i="57"/>
  <c r="E35" i="57"/>
  <c r="C35" i="57"/>
  <c r="M35" i="57" s="1"/>
  <c r="K35" i="57"/>
  <c r="J35" i="57"/>
  <c r="H35" i="57"/>
  <c r="D35" i="57"/>
  <c r="G35" i="57"/>
  <c r="AN34" i="55" a="1"/>
  <c r="AN34" i="55"/>
  <c r="B36" i="57"/>
  <c r="P36" i="57"/>
  <c r="AR19" i="67" a="1"/>
  <c r="AR19" i="67"/>
  <c r="B21" i="69"/>
  <c r="C20" i="69"/>
  <c r="P20" i="69"/>
  <c r="E17" i="69"/>
  <c r="F17" i="69"/>
  <c r="G17" i="69"/>
  <c r="H17" i="69"/>
  <c r="I17" i="69"/>
  <c r="J17" i="69"/>
  <c r="K17" i="69"/>
  <c r="M17" i="69"/>
  <c r="AE17" i="69"/>
  <c r="R17" i="69"/>
  <c r="S17" i="69"/>
  <c r="AE18" i="69"/>
  <c r="AH18" i="69"/>
  <c r="R18" i="69"/>
  <c r="S18" i="69"/>
  <c r="J40" i="36"/>
  <c r="J42" i="36"/>
  <c r="J44" i="36"/>
  <c r="J46" i="36"/>
  <c r="J48" i="36"/>
  <c r="AG16" i="69"/>
  <c r="AP20" i="69"/>
  <c r="N20" i="69"/>
  <c r="O17" i="69"/>
  <c r="Y17" i="69"/>
  <c r="O18" i="69"/>
  <c r="AO16" i="69"/>
  <c r="L21" i="69"/>
  <c r="Q19" i="69"/>
  <c r="N35" i="57"/>
  <c r="O34" i="57"/>
  <c r="AG34" i="57" s="1"/>
  <c r="AB15" i="69"/>
  <c r="R19" i="69"/>
  <c r="S19" i="69"/>
  <c r="AE19" i="69"/>
  <c r="AH19" i="69"/>
  <c r="AY19" i="69"/>
  <c r="D20" i="69"/>
  <c r="E20" i="69"/>
  <c r="F20" i="69"/>
  <c r="G20" i="69"/>
  <c r="H20" i="69"/>
  <c r="I20" i="69"/>
  <c r="J20" i="69"/>
  <c r="K20" i="69"/>
  <c r="M20" i="69"/>
  <c r="L36" i="57"/>
  <c r="I36" i="57"/>
  <c r="H36" i="57"/>
  <c r="G36" i="57"/>
  <c r="E36" i="57"/>
  <c r="D36" i="57"/>
  <c r="C36" i="57"/>
  <c r="M36" i="57" s="1"/>
  <c r="K36" i="57"/>
  <c r="F36" i="57"/>
  <c r="J36" i="57"/>
  <c r="AN35" i="55" a="1"/>
  <c r="AN35" i="55"/>
  <c r="B37" i="57"/>
  <c r="P37" i="57"/>
  <c r="AR20" i="67" a="1"/>
  <c r="AR20" i="67"/>
  <c r="AR21" i="67" a="1"/>
  <c r="AR21" i="67"/>
  <c r="C21" i="69"/>
  <c r="P21" i="69"/>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M219" i="46"/>
  <c r="I219" i="46"/>
  <c r="M218" i="46"/>
  <c r="I218" i="46"/>
  <c r="M217" i="46"/>
  <c r="I217" i="46"/>
  <c r="M216" i="46"/>
  <c r="I216" i="46"/>
  <c r="M215" i="46"/>
  <c r="I215" i="46"/>
  <c r="M214" i="46"/>
  <c r="I214" i="46"/>
  <c r="M213" i="46"/>
  <c r="I213" i="46"/>
  <c r="M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M171" i="46"/>
  <c r="I171" i="46"/>
  <c r="M170" i="46"/>
  <c r="I170" i="46"/>
  <c r="M169" i="46"/>
  <c r="I169" i="46"/>
  <c r="M168" i="46"/>
  <c r="I168" i="46"/>
  <c r="M167" i="46"/>
  <c r="I167" i="46"/>
  <c r="M166" i="46"/>
  <c r="I166" i="46"/>
  <c r="M165" i="46"/>
  <c r="I165" i="46"/>
  <c r="M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M107" i="46"/>
  <c r="I107" i="46"/>
  <c r="M106" i="46"/>
  <c r="I106" i="46"/>
  <c r="M105" i="46"/>
  <c r="I105" i="46"/>
  <c r="M104" i="46"/>
  <c r="I104" i="46"/>
  <c r="M103" i="46"/>
  <c r="I103" i="46"/>
  <c r="M102" i="46"/>
  <c r="I102" i="46"/>
  <c r="M101" i="46"/>
  <c r="I101" i="46"/>
  <c r="M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M83" i="46"/>
  <c r="I83" i="46"/>
  <c r="M82" i="46"/>
  <c r="I82" i="46"/>
  <c r="M81" i="46"/>
  <c r="I81" i="46"/>
  <c r="M80" i="46"/>
  <c r="I80" i="46"/>
  <c r="M79" i="46"/>
  <c r="I79" i="46"/>
  <c r="M78" i="46"/>
  <c r="I78" i="46"/>
  <c r="M77" i="46"/>
  <c r="I77" i="46"/>
  <c r="M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M32" i="46"/>
  <c r="M31" i="46"/>
  <c r="M30" i="46"/>
  <c r="M29" i="46"/>
  <c r="M28" i="46"/>
  <c r="M27" i="46"/>
  <c r="M26" i="46"/>
  <c r="M25" i="46"/>
  <c r="M24" i="46"/>
  <c r="M23" i="46"/>
  <c r="M22" i="46"/>
  <c r="M21" i="46"/>
  <c r="M20" i="46"/>
  <c r="M19" i="46"/>
  <c r="M18" i="46"/>
  <c r="M17" i="46"/>
  <c r="M16" i="46"/>
  <c r="I16" i="46"/>
  <c r="M15" i="46"/>
  <c r="I15" i="46"/>
  <c r="M14" i="46"/>
  <c r="I14" i="46"/>
  <c r="M13" i="46"/>
  <c r="I13" i="46"/>
  <c r="M12" i="46"/>
  <c r="I12" i="46"/>
  <c r="Q103" i="29"/>
  <c r="E3" i="28"/>
  <c r="Q128" i="29"/>
  <c r="E41" i="28"/>
  <c r="O128" i="29"/>
  <c r="C41" i="28"/>
  <c r="M128" i="29"/>
  <c r="L128" i="29"/>
  <c r="Q127" i="29"/>
  <c r="E45" i="28"/>
  <c r="O127" i="29"/>
  <c r="C45" i="28"/>
  <c r="M127" i="29"/>
  <c r="L127" i="29"/>
  <c r="Q126" i="29"/>
  <c r="E43" i="28"/>
  <c r="O126" i="29"/>
  <c r="C43" i="28"/>
  <c r="M126" i="29"/>
  <c r="L126" i="29"/>
  <c r="Q125" i="29"/>
  <c r="E44" i="28"/>
  <c r="O125" i="29"/>
  <c r="C44" i="28"/>
  <c r="M125" i="29"/>
  <c r="L125" i="29"/>
  <c r="Q122" i="29"/>
  <c r="E42" i="28"/>
  <c r="O122" i="29"/>
  <c r="C42" i="28"/>
  <c r="M122" i="29"/>
  <c r="L122" i="29"/>
  <c r="Q121" i="29"/>
  <c r="E46" i="28"/>
  <c r="O121" i="29"/>
  <c r="C46" i="28"/>
  <c r="M121" i="29"/>
  <c r="L121" i="29"/>
  <c r="Q120" i="29"/>
  <c r="E47" i="28"/>
  <c r="O120" i="29"/>
  <c r="C47" i="28"/>
  <c r="M120" i="29"/>
  <c r="L120" i="29"/>
  <c r="Q118" i="29"/>
  <c r="E52" i="28"/>
  <c r="O118" i="29"/>
  <c r="C52" i="28"/>
  <c r="M118" i="29"/>
  <c r="L118" i="29"/>
  <c r="Q117" i="29"/>
  <c r="E51" i="28"/>
  <c r="O117" i="29"/>
  <c r="C51" i="28"/>
  <c r="M117" i="29"/>
  <c r="L117" i="29"/>
  <c r="Q112" i="29"/>
  <c r="E4" i="28"/>
  <c r="O112" i="29"/>
  <c r="C4" i="28"/>
  <c r="Q116" i="29"/>
  <c r="E49" i="28"/>
  <c r="O116" i="29"/>
  <c r="C49" i="28"/>
  <c r="M116" i="29"/>
  <c r="L116" i="29"/>
  <c r="Q115" i="29"/>
  <c r="E50" i="28"/>
  <c r="O115" i="29"/>
  <c r="C50" i="28"/>
  <c r="M115" i="29"/>
  <c r="L115" i="29"/>
  <c r="Q114" i="29"/>
  <c r="E48" i="28"/>
  <c r="O114" i="29"/>
  <c r="C48" i="28"/>
  <c r="M114" i="29"/>
  <c r="L114" i="29"/>
  <c r="Q111" i="29"/>
  <c r="E65" i="28"/>
  <c r="O111" i="29"/>
  <c r="C65" i="28"/>
  <c r="Q110" i="29"/>
  <c r="E64" i="28"/>
  <c r="O110" i="29"/>
  <c r="C64" i="28"/>
  <c r="Q109" i="29"/>
  <c r="E69" i="28"/>
  <c r="O109" i="29"/>
  <c r="C69" i="28"/>
  <c r="Q108" i="29"/>
  <c r="E68" i="28"/>
  <c r="O108" i="29"/>
  <c r="C68" i="28"/>
  <c r="Q107" i="29"/>
  <c r="E71" i="28"/>
  <c r="O107" i="29"/>
  <c r="C71" i="28"/>
  <c r="Q106" i="29"/>
  <c r="E70" i="28"/>
  <c r="O106" i="29"/>
  <c r="C70" i="28"/>
  <c r="Q105" i="29"/>
  <c r="E67" i="28"/>
  <c r="O105" i="29"/>
  <c r="C67" i="28"/>
  <c r="Q104" i="29"/>
  <c r="E66" i="28"/>
  <c r="O104" i="29"/>
  <c r="C66" i="28"/>
  <c r="O103" i="29"/>
  <c r="C3" i="28"/>
  <c r="Y18" i="69"/>
  <c r="AB18" i="69"/>
  <c r="AC18" i="69"/>
  <c r="AP21" i="69"/>
  <c r="N21" i="69"/>
  <c r="U21" i="69"/>
  <c r="U20" i="69"/>
  <c r="O19" i="69"/>
  <c r="O35" i="57"/>
  <c r="AG35" i="57" s="1"/>
  <c r="Q20" i="69"/>
  <c r="AC15" i="69"/>
  <c r="N36" i="57"/>
  <c r="AB17" i="69"/>
  <c r="D21" i="69"/>
  <c r="E21" i="69"/>
  <c r="F21" i="69"/>
  <c r="G21" i="69"/>
  <c r="H21" i="69"/>
  <c r="I21" i="69"/>
  <c r="J21" i="69"/>
  <c r="K21" i="69"/>
  <c r="D115" i="22"/>
  <c r="M21" i="69"/>
  <c r="AY20" i="69"/>
  <c r="L37" i="57"/>
  <c r="G37" i="57"/>
  <c r="I37" i="57"/>
  <c r="J37" i="57"/>
  <c r="F37" i="57"/>
  <c r="K37" i="57"/>
  <c r="H37" i="57"/>
  <c r="E37" i="57"/>
  <c r="D37" i="57"/>
  <c r="C37" i="57"/>
  <c r="M37" i="57" s="1"/>
  <c r="AD37" i="57" s="1"/>
  <c r="AN36" i="55" a="1"/>
  <c r="AN36" i="55"/>
  <c r="B38" i="57"/>
  <c r="AE20" i="69"/>
  <c r="AH20" i="69"/>
  <c r="R20" i="69"/>
  <c r="S20" i="69"/>
  <c r="B22" i="69"/>
  <c r="AR22" i="67" a="1"/>
  <c r="AR22" i="67"/>
  <c r="B23" i="69"/>
  <c r="L23" i="69"/>
  <c r="Y19" i="69"/>
  <c r="AB19" i="69"/>
  <c r="AC19" i="69"/>
  <c r="O20" i="69"/>
  <c r="AD18" i="69"/>
  <c r="AF18" i="69"/>
  <c r="AG18" i="69"/>
  <c r="AD15" i="69"/>
  <c r="AF15" i="69"/>
  <c r="AG15" i="69"/>
  <c r="O22" i="69"/>
  <c r="L22" i="69"/>
  <c r="Q21" i="69"/>
  <c r="O38" i="57"/>
  <c r="AG38" i="57" s="1"/>
  <c r="P38" i="57"/>
  <c r="AC17" i="69"/>
  <c r="O36" i="57"/>
  <c r="AG36" i="57" s="1"/>
  <c r="N37" i="57"/>
  <c r="O23" i="69"/>
  <c r="AY21" i="69"/>
  <c r="L38" i="57"/>
  <c r="N38" i="57"/>
  <c r="D38" i="57"/>
  <c r="K38" i="57"/>
  <c r="I38" i="57"/>
  <c r="H38" i="57"/>
  <c r="G38" i="57"/>
  <c r="E38" i="57"/>
  <c r="C38" i="57"/>
  <c r="M38" i="57" s="1"/>
  <c r="F38" i="57"/>
  <c r="J38" i="57"/>
  <c r="AN37" i="55" a="1"/>
  <c r="AN37" i="55"/>
  <c r="B39" i="57"/>
  <c r="R21" i="69"/>
  <c r="S21" i="69"/>
  <c r="AE21" i="69"/>
  <c r="AH21" i="69"/>
  <c r="C22" i="69"/>
  <c r="P22" i="69"/>
  <c r="C23" i="69"/>
  <c r="P23" i="69"/>
  <c r="AR23" i="67" a="1"/>
  <c r="AR23" i="67"/>
  <c r="B24" i="69"/>
  <c r="L24" i="69"/>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F107" i="22"/>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F103" i="22"/>
  <c r="X103" i="22"/>
  <c r="T103" i="22"/>
  <c r="F104"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c r="AC20" i="69"/>
  <c r="AD20" i="69"/>
  <c r="AP23" i="69"/>
  <c r="N23" i="69"/>
  <c r="U23" i="69"/>
  <c r="AP22" i="69"/>
  <c r="N22" i="69"/>
  <c r="U22" i="69"/>
  <c r="O21" i="69"/>
  <c r="AF20" i="69"/>
  <c r="AD19" i="69"/>
  <c r="AF19" i="69"/>
  <c r="AG19" i="69"/>
  <c r="AO18" i="69"/>
  <c r="AD17" i="69"/>
  <c r="AF17" i="69"/>
  <c r="AG17" i="69"/>
  <c r="AO15" i="69"/>
  <c r="O39" i="57"/>
  <c r="AG39" i="57" s="1"/>
  <c r="P39" i="57"/>
  <c r="O37" i="57"/>
  <c r="AG37" i="57" s="1"/>
  <c r="O24" i="69"/>
  <c r="AO23" i="69"/>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N39" i="57"/>
  <c r="F39" i="57"/>
  <c r="K39" i="57"/>
  <c r="I39" i="57"/>
  <c r="C39" i="57"/>
  <c r="M39" i="57" s="1"/>
  <c r="AQ39" i="57" s="1"/>
  <c r="H39" i="57"/>
  <c r="D39" i="57"/>
  <c r="E39" i="57"/>
  <c r="G39" i="57"/>
  <c r="J39" i="57"/>
  <c r="AN38" i="55" a="1"/>
  <c r="AN38" i="55"/>
  <c r="B40" i="57"/>
  <c r="D22" i="69"/>
  <c r="E22" i="69"/>
  <c r="F22" i="69"/>
  <c r="G22" i="69"/>
  <c r="H22" i="69"/>
  <c r="I22" i="69"/>
  <c r="J22" i="69"/>
  <c r="K22" i="69"/>
  <c r="M22" i="69"/>
  <c r="AR24" i="67" a="1"/>
  <c r="AR24" i="67"/>
  <c r="B25" i="69"/>
  <c r="L25" i="69"/>
  <c r="D23" i="69"/>
  <c r="E23" i="69"/>
  <c r="F23" i="69"/>
  <c r="G23" i="69"/>
  <c r="H23" i="69"/>
  <c r="I23" i="69"/>
  <c r="J23" i="69"/>
  <c r="K23" i="69"/>
  <c r="M23" i="69"/>
  <c r="C24" i="69"/>
  <c r="P24" i="69"/>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c r="AB21" i="69"/>
  <c r="AC21" i="69"/>
  <c r="AG20" i="69"/>
  <c r="AP24" i="69"/>
  <c r="N24" i="69"/>
  <c r="U24" i="69"/>
  <c r="AO20" i="69"/>
  <c r="AO19" i="69"/>
  <c r="AO17" i="69"/>
  <c r="AF22" i="69"/>
  <c r="Q22" i="69"/>
  <c r="AF23" i="69"/>
  <c r="Q23" i="69"/>
  <c r="O40" i="57"/>
  <c r="AG40" i="57" s="1"/>
  <c r="P40" i="57"/>
  <c r="AO24" i="69"/>
  <c r="O25" i="69"/>
  <c r="AY22" i="69"/>
  <c r="AY23" i="69"/>
  <c r="L40" i="57"/>
  <c r="N40" i="57"/>
  <c r="AH22" i="69"/>
  <c r="AH23" i="69"/>
  <c r="K40" i="57"/>
  <c r="G40" i="57"/>
  <c r="E40" i="57"/>
  <c r="D40" i="57"/>
  <c r="C40" i="57"/>
  <c r="M40" i="57" s="1"/>
  <c r="AC40" i="57" s="1"/>
  <c r="H40" i="57"/>
  <c r="I40" i="57"/>
  <c r="F40" i="57"/>
  <c r="J40" i="57"/>
  <c r="AN39" i="55" a="1"/>
  <c r="AN39" i="55"/>
  <c r="B41" i="57"/>
  <c r="AE22" i="69"/>
  <c r="R22" i="69"/>
  <c r="S22" i="69"/>
  <c r="D24" i="69"/>
  <c r="E24" i="69"/>
  <c r="F24" i="69"/>
  <c r="G24" i="69"/>
  <c r="H24" i="69"/>
  <c r="I24" i="69"/>
  <c r="J24" i="69"/>
  <c r="K24" i="69"/>
  <c r="M24" i="69"/>
  <c r="R23" i="69"/>
  <c r="S23" i="69"/>
  <c r="Y23" i="69"/>
  <c r="AE23" i="69"/>
  <c r="C25" i="69"/>
  <c r="P25" i="69"/>
  <c r="AR25" i="67" a="1"/>
  <c r="AR25" i="67"/>
  <c r="B26" i="69"/>
  <c r="L26" i="69"/>
  <c r="Y22" i="69"/>
  <c r="AB22" i="69"/>
  <c r="AC22" i="69"/>
  <c r="AD22" i="69"/>
  <c r="AP25" i="69"/>
  <c r="N25" i="69"/>
  <c r="U25" i="69"/>
  <c r="AD21" i="69"/>
  <c r="AF21" i="69"/>
  <c r="AG21" i="69"/>
  <c r="AF24" i="69"/>
  <c r="Q24" i="69"/>
  <c r="O41" i="57"/>
  <c r="AG41" i="57" s="1"/>
  <c r="P41" i="57"/>
  <c r="AB23" i="69"/>
  <c r="AG23" i="69"/>
  <c r="O26" i="69"/>
  <c r="AO25" i="69"/>
  <c r="AY24" i="69"/>
  <c r="L41" i="57"/>
  <c r="N41" i="57"/>
  <c r="AH24" i="69"/>
  <c r="K41" i="57"/>
  <c r="J41" i="57"/>
  <c r="E41" i="57"/>
  <c r="C41" i="57"/>
  <c r="M41" i="57" s="1"/>
  <c r="I41" i="57"/>
  <c r="H41" i="57"/>
  <c r="D41" i="57"/>
  <c r="G41" i="57"/>
  <c r="F41" i="57"/>
  <c r="AN40" i="55" a="1"/>
  <c r="AN40" i="55"/>
  <c r="B42" i="57"/>
  <c r="AR26" i="67" a="1"/>
  <c r="AR26" i="67"/>
  <c r="B27" i="69"/>
  <c r="L27" i="69"/>
  <c r="D25" i="69"/>
  <c r="E25" i="69"/>
  <c r="F25" i="69"/>
  <c r="G25" i="69"/>
  <c r="H25" i="69"/>
  <c r="I25" i="69"/>
  <c r="J25" i="69"/>
  <c r="K25" i="69"/>
  <c r="M25" i="69"/>
  <c r="AE24" i="69"/>
  <c r="R24" i="69"/>
  <c r="S24" i="69"/>
  <c r="Y24" i="69"/>
  <c r="C26" i="69"/>
  <c r="P26" i="69"/>
  <c r="AG22" i="69"/>
  <c r="AB24" i="69"/>
  <c r="AC24" i="69"/>
  <c r="AD24" i="69"/>
  <c r="AP26" i="69"/>
  <c r="N26" i="69"/>
  <c r="U26" i="69"/>
  <c r="AO21" i="69"/>
  <c r="AF25" i="69"/>
  <c r="Q25" i="69"/>
  <c r="O42" i="57"/>
  <c r="AG42" i="57" s="1"/>
  <c r="P42" i="57"/>
  <c r="AC23" i="69"/>
  <c r="AD23" i="69"/>
  <c r="O27" i="69"/>
  <c r="AG24" i="69"/>
  <c r="AO26" i="69"/>
  <c r="AY25" i="69"/>
  <c r="L42" i="57"/>
  <c r="N42" i="57"/>
  <c r="AH25" i="69"/>
  <c r="I42" i="57"/>
  <c r="E42" i="57"/>
  <c r="D42" i="57"/>
  <c r="C42" i="57"/>
  <c r="M42" i="57" s="1"/>
  <c r="K42" i="57"/>
  <c r="H42" i="57"/>
  <c r="G42" i="57"/>
  <c r="F42" i="57"/>
  <c r="J42" i="57"/>
  <c r="AN41" i="55" a="1"/>
  <c r="AN41" i="55"/>
  <c r="B43" i="57"/>
  <c r="AR27" i="67" a="1"/>
  <c r="AR27" i="67"/>
  <c r="B28" i="69"/>
  <c r="L28" i="69"/>
  <c r="R25" i="69"/>
  <c r="S25" i="69"/>
  <c r="Y25" i="69"/>
  <c r="AE25" i="69"/>
  <c r="D26" i="69"/>
  <c r="E26" i="69"/>
  <c r="F26" i="69"/>
  <c r="G26" i="69"/>
  <c r="H26" i="69"/>
  <c r="I26" i="69"/>
  <c r="J26" i="69"/>
  <c r="K26" i="69"/>
  <c r="M26" i="69"/>
  <c r="C27" i="69"/>
  <c r="P27" i="69"/>
  <c r="AP27" i="69"/>
  <c r="N27" i="69"/>
  <c r="U27" i="69"/>
  <c r="AF26" i="69"/>
  <c r="Q26" i="69"/>
  <c r="O43" i="57"/>
  <c r="AG43" i="57" s="1"/>
  <c r="P43" i="57"/>
  <c r="AB25" i="69"/>
  <c r="AG25" i="69"/>
  <c r="O28" i="69"/>
  <c r="AO27" i="69"/>
  <c r="AY26" i="69"/>
  <c r="L43" i="57"/>
  <c r="N43" i="57"/>
  <c r="AH26" i="69"/>
  <c r="K43" i="57"/>
  <c r="F43" i="57"/>
  <c r="E43" i="57"/>
  <c r="C43" i="57"/>
  <c r="M43" i="57" s="1"/>
  <c r="J43" i="57"/>
  <c r="I43" i="57"/>
  <c r="H43" i="57"/>
  <c r="D43" i="57"/>
  <c r="G43" i="57"/>
  <c r="AN42" i="55" a="1"/>
  <c r="AN42" i="55"/>
  <c r="B44" i="57"/>
  <c r="D27" i="69"/>
  <c r="E27" i="69"/>
  <c r="F27" i="69"/>
  <c r="G27" i="69"/>
  <c r="H27" i="69"/>
  <c r="I27" i="69"/>
  <c r="J27" i="69"/>
  <c r="K27" i="69"/>
  <c r="M27" i="69"/>
  <c r="AE26" i="69"/>
  <c r="R26" i="69"/>
  <c r="S26" i="69"/>
  <c r="Y26" i="69"/>
  <c r="C28" i="69"/>
  <c r="P28" i="69"/>
  <c r="AR28" i="67" a="1"/>
  <c r="AR28" i="67"/>
  <c r="B29" i="69"/>
  <c r="L29" i="69"/>
  <c r="AP28" i="69"/>
  <c r="N28" i="69"/>
  <c r="U28" i="69"/>
  <c r="AF27" i="69"/>
  <c r="Q27" i="69"/>
  <c r="O44" i="57"/>
  <c r="AG44" i="57" s="1"/>
  <c r="P44" i="57"/>
  <c r="AC25" i="69"/>
  <c r="AD25" i="69"/>
  <c r="AB26" i="69"/>
  <c r="AG26" i="69"/>
  <c r="AO28" i="69"/>
  <c r="O29" i="69"/>
  <c r="AY27" i="69"/>
  <c r="L44" i="57"/>
  <c r="N44" i="57"/>
  <c r="AH27" i="69"/>
  <c r="H44" i="57"/>
  <c r="G44" i="57"/>
  <c r="E44" i="57"/>
  <c r="D44" i="57"/>
  <c r="C44" i="57"/>
  <c r="M44" i="57" s="1"/>
  <c r="AJ44" i="57" s="1"/>
  <c r="K44" i="57"/>
  <c r="I44" i="57"/>
  <c r="F44" i="57"/>
  <c r="J44" i="57"/>
  <c r="AN43" i="55" a="1"/>
  <c r="AN43" i="55"/>
  <c r="B45" i="57"/>
  <c r="AR29" i="67" a="1"/>
  <c r="AR29" i="67"/>
  <c r="B30" i="69"/>
  <c r="L30" i="69"/>
  <c r="C29" i="69"/>
  <c r="P29" i="69"/>
  <c r="D28" i="69"/>
  <c r="E28" i="69"/>
  <c r="F28" i="69"/>
  <c r="G28" i="69"/>
  <c r="H28" i="69"/>
  <c r="I28" i="69"/>
  <c r="J28" i="69"/>
  <c r="K28" i="69"/>
  <c r="M28" i="69"/>
  <c r="AE27" i="69"/>
  <c r="R27" i="69"/>
  <c r="S27" i="69"/>
  <c r="C41" i="33"/>
  <c r="Y27" i="69"/>
  <c r="AB27" i="69"/>
  <c r="AC27" i="69"/>
  <c r="AD27" i="69"/>
  <c r="AP29" i="69"/>
  <c r="N29" i="69"/>
  <c r="U29" i="69"/>
  <c r="AF28" i="69"/>
  <c r="Q28" i="69"/>
  <c r="O45" i="57"/>
  <c r="AG45" i="57" s="1"/>
  <c r="P45" i="57"/>
  <c r="AC26" i="69"/>
  <c r="AD26" i="69"/>
  <c r="O30" i="69"/>
  <c r="AO29" i="69"/>
  <c r="AY28" i="69"/>
  <c r="L45" i="57"/>
  <c r="N45" i="57"/>
  <c r="AH28" i="69"/>
  <c r="C45" i="57"/>
  <c r="M45" i="57" s="1"/>
  <c r="J45" i="57"/>
  <c r="F45" i="57"/>
  <c r="I45" i="57"/>
  <c r="K45" i="57"/>
  <c r="H45" i="57"/>
  <c r="D45" i="57"/>
  <c r="G45" i="57"/>
  <c r="E45" i="57"/>
  <c r="AN44" i="55" a="1"/>
  <c r="AN44" i="55"/>
  <c r="B46" i="57"/>
  <c r="D29" i="69"/>
  <c r="E29" i="69"/>
  <c r="F29" i="69"/>
  <c r="G29" i="69"/>
  <c r="H29" i="69"/>
  <c r="I29" i="69"/>
  <c r="J29" i="69"/>
  <c r="K29" i="69"/>
  <c r="M29" i="69"/>
  <c r="AE28" i="69"/>
  <c r="R28" i="69"/>
  <c r="S28" i="69"/>
  <c r="Y28" i="69"/>
  <c r="C30" i="69"/>
  <c r="P30" i="69"/>
  <c r="AR30" i="67" a="1"/>
  <c r="AR30" i="67"/>
  <c r="B31" i="69"/>
  <c r="L31" i="69"/>
  <c r="B2" i="73"/>
  <c r="B2" i="36"/>
  <c r="AG27" i="69"/>
  <c r="AP30" i="69"/>
  <c r="N30" i="69"/>
  <c r="U30" i="69"/>
  <c r="AF29" i="69"/>
  <c r="Q29" i="69"/>
  <c r="O46" i="57"/>
  <c r="AG46" i="57" s="1"/>
  <c r="P46" i="57"/>
  <c r="AB28" i="69"/>
  <c r="AG28" i="69"/>
  <c r="AO30" i="69"/>
  <c r="O31" i="69"/>
  <c r="AY29" i="69"/>
  <c r="L46" i="57"/>
  <c r="N46" i="57"/>
  <c r="AH29" i="69"/>
  <c r="D46" i="57"/>
  <c r="K46" i="57"/>
  <c r="I46" i="57"/>
  <c r="H46" i="57"/>
  <c r="G46" i="57"/>
  <c r="E46" i="57"/>
  <c r="C46" i="57"/>
  <c r="M46" i="57" s="1"/>
  <c r="AJ46" i="57" s="1"/>
  <c r="F46" i="57"/>
  <c r="J46" i="57"/>
  <c r="AN45" i="55" a="1"/>
  <c r="AN45" i="55"/>
  <c r="B47" i="57"/>
  <c r="AR31" i="67" a="1"/>
  <c r="AR31" i="67"/>
  <c r="B32" i="69"/>
  <c r="L32" i="69"/>
  <c r="R29" i="69"/>
  <c r="S29" i="69"/>
  <c r="Y29" i="69"/>
  <c r="AE29" i="69"/>
  <c r="D30" i="69"/>
  <c r="E30" i="69"/>
  <c r="F30" i="69"/>
  <c r="G30" i="69"/>
  <c r="H30" i="69"/>
  <c r="I30" i="69"/>
  <c r="J30" i="69"/>
  <c r="K30" i="69"/>
  <c r="M30" i="69"/>
  <c r="C31" i="69"/>
  <c r="P31" i="69"/>
  <c r="AP31" i="69"/>
  <c r="N31" i="69"/>
  <c r="U31" i="69"/>
  <c r="AF30" i="69"/>
  <c r="Q30" i="69"/>
  <c r="O47" i="57"/>
  <c r="AG47" i="57" s="1"/>
  <c r="P47" i="57"/>
  <c r="AC28" i="69"/>
  <c r="AD28" i="69"/>
  <c r="AB29" i="69"/>
  <c r="AG29" i="69"/>
  <c r="AO31" i="69"/>
  <c r="O32" i="69"/>
  <c r="AY30" i="69"/>
  <c r="L47" i="57"/>
  <c r="N47" i="57"/>
  <c r="AH30" i="69"/>
  <c r="F47" i="57"/>
  <c r="K47" i="57"/>
  <c r="I47" i="57"/>
  <c r="C47" i="57"/>
  <c r="M47" i="57" s="1"/>
  <c r="E47" i="57"/>
  <c r="J47" i="57"/>
  <c r="H47" i="57"/>
  <c r="D47" i="57"/>
  <c r="G47" i="57"/>
  <c r="AN46" i="55" a="1"/>
  <c r="AN46" i="55"/>
  <c r="B48" i="57"/>
  <c r="AR32" i="67" a="1"/>
  <c r="AR32" i="67"/>
  <c r="B33" i="69"/>
  <c r="L33" i="69"/>
  <c r="C32" i="69"/>
  <c r="P32" i="69"/>
  <c r="R30" i="69"/>
  <c r="S30" i="69"/>
  <c r="AE30" i="69"/>
  <c r="D31" i="69"/>
  <c r="E31" i="69"/>
  <c r="F31" i="69"/>
  <c r="G31" i="69"/>
  <c r="H31" i="69"/>
  <c r="I31" i="69"/>
  <c r="J31" i="69"/>
  <c r="K31" i="69"/>
  <c r="M31" i="69"/>
  <c r="H4" i="32"/>
  <c r="Y30" i="69"/>
  <c r="AB30" i="69"/>
  <c r="AC30" i="69"/>
  <c r="AD30" i="69"/>
  <c r="AP32" i="69"/>
  <c r="N32" i="69"/>
  <c r="U32" i="69"/>
  <c r="AF31" i="69"/>
  <c r="Q31" i="69"/>
  <c r="O48" i="57"/>
  <c r="AG48" i="57" s="1"/>
  <c r="P48" i="57"/>
  <c r="AC29" i="69"/>
  <c r="AD29" i="69"/>
  <c r="AO32" i="69"/>
  <c r="O33" i="69"/>
  <c r="AY31" i="69"/>
  <c r="L48" i="57"/>
  <c r="N48" i="57"/>
  <c r="AH31" i="69"/>
  <c r="K48" i="57"/>
  <c r="G48" i="57"/>
  <c r="E48" i="57"/>
  <c r="D48" i="57"/>
  <c r="C48" i="57"/>
  <c r="M48" i="57" s="1"/>
  <c r="AE48" i="57" s="1"/>
  <c r="I48" i="57"/>
  <c r="H48" i="57"/>
  <c r="F48" i="57"/>
  <c r="J48" i="57"/>
  <c r="AN47" i="55" a="1"/>
  <c r="AN47" i="55"/>
  <c r="B49" i="57"/>
  <c r="AR33" i="67" a="1"/>
  <c r="AR33" i="67"/>
  <c r="B34" i="69"/>
  <c r="L34" i="69"/>
  <c r="D32" i="69"/>
  <c r="E32" i="69"/>
  <c r="F32" i="69"/>
  <c r="G32" i="69"/>
  <c r="H32" i="69"/>
  <c r="I32" i="69"/>
  <c r="J32" i="69"/>
  <c r="K32" i="69"/>
  <c r="M32" i="69"/>
  <c r="AE31" i="69"/>
  <c r="R31" i="69"/>
  <c r="S31" i="69"/>
  <c r="Y31" i="69"/>
  <c r="C33" i="69"/>
  <c r="P33" i="69"/>
  <c r="AG30" i="69"/>
  <c r="AP33" i="69"/>
  <c r="N33" i="69"/>
  <c r="U33" i="69"/>
  <c r="AF32" i="69"/>
  <c r="Q32" i="69"/>
  <c r="O49" i="57"/>
  <c r="AG49" i="57" s="1"/>
  <c r="P49" i="57"/>
  <c r="AB31" i="69"/>
  <c r="AG31" i="69"/>
  <c r="AO33" i="69"/>
  <c r="O34" i="69"/>
  <c r="AY32" i="69"/>
  <c r="L49" i="57"/>
  <c r="N49" i="57"/>
  <c r="AH32" i="69"/>
  <c r="E49" i="57"/>
  <c r="G49" i="57"/>
  <c r="F49" i="57"/>
  <c r="I49" i="57"/>
  <c r="H49" i="57"/>
  <c r="D49" i="57"/>
  <c r="C49" i="57"/>
  <c r="M49" i="57" s="1"/>
  <c r="AD49" i="57" s="1"/>
  <c r="K49" i="57"/>
  <c r="J49" i="57"/>
  <c r="AN48" i="55" a="1"/>
  <c r="AN48" i="55"/>
  <c r="B50" i="57"/>
  <c r="AE32" i="69"/>
  <c r="R32" i="69"/>
  <c r="S32" i="69"/>
  <c r="Y32" i="69"/>
  <c r="D33" i="69"/>
  <c r="E33" i="69"/>
  <c r="F33" i="69"/>
  <c r="G33" i="69"/>
  <c r="H33" i="69"/>
  <c r="I33" i="69"/>
  <c r="J33" i="69"/>
  <c r="K33" i="69"/>
  <c r="M33" i="69"/>
  <c r="C34" i="69"/>
  <c r="P34" i="69"/>
  <c r="AR34" i="67" a="1"/>
  <c r="AR34" i="67"/>
  <c r="B35" i="69"/>
  <c r="L35" i="69"/>
  <c r="D3" i="71"/>
  <c r="AP34" i="69"/>
  <c r="N34" i="69"/>
  <c r="U34" i="69"/>
  <c r="AF33" i="69"/>
  <c r="Q33" i="69"/>
  <c r="O50" i="57"/>
  <c r="AG50" i="57" s="1"/>
  <c r="P50" i="57"/>
  <c r="AC31" i="69"/>
  <c r="AD31" i="69"/>
  <c r="AB32" i="69"/>
  <c r="AG32" i="69"/>
  <c r="AO34" i="69"/>
  <c r="O35" i="69"/>
  <c r="AY33" i="69"/>
  <c r="L50" i="57"/>
  <c r="N50" i="57"/>
  <c r="AH33" i="69"/>
  <c r="H50" i="57"/>
  <c r="G50" i="57"/>
  <c r="E50" i="57"/>
  <c r="D50" i="57"/>
  <c r="C50" i="57"/>
  <c r="M50" i="57" s="1"/>
  <c r="AD50" i="57" s="1"/>
  <c r="K50" i="57"/>
  <c r="I50" i="57"/>
  <c r="F50" i="57"/>
  <c r="J50" i="57"/>
  <c r="AN49" i="55" a="1"/>
  <c r="AN49" i="55"/>
  <c r="B51" i="57"/>
  <c r="AR35" i="67" a="1"/>
  <c r="AR35" i="67"/>
  <c r="B36" i="69"/>
  <c r="L36" i="69"/>
  <c r="D34" i="69"/>
  <c r="E34" i="69"/>
  <c r="F34" i="69"/>
  <c r="G34" i="69"/>
  <c r="H34" i="69"/>
  <c r="I34" i="69"/>
  <c r="J34" i="69"/>
  <c r="K34" i="69"/>
  <c r="M34" i="69"/>
  <c r="C35" i="69"/>
  <c r="P35" i="69"/>
  <c r="AE33" i="69"/>
  <c r="R33" i="69"/>
  <c r="S33" i="69"/>
  <c r="Y33" i="69"/>
  <c r="AB33" i="69"/>
  <c r="AC33" i="69"/>
  <c r="AD33" i="69"/>
  <c r="AP35" i="69"/>
  <c r="N35" i="69"/>
  <c r="U35" i="69"/>
  <c r="AF34" i="69"/>
  <c r="Q34" i="69"/>
  <c r="O51" i="57"/>
  <c r="AG51" i="57" s="1"/>
  <c r="P51" i="57"/>
  <c r="AC32" i="69"/>
  <c r="AD32" i="69"/>
  <c r="AO35" i="69"/>
  <c r="O36" i="69"/>
  <c r="AY34" i="69"/>
  <c r="L51" i="57"/>
  <c r="N51" i="57"/>
  <c r="AH34" i="69"/>
  <c r="K51" i="57"/>
  <c r="I51" i="57"/>
  <c r="G51" i="57"/>
  <c r="E51" i="57"/>
  <c r="C51" i="57"/>
  <c r="M51" i="57" s="1"/>
  <c r="AK51" i="57" s="1"/>
  <c r="J51" i="57"/>
  <c r="D51" i="57"/>
  <c r="H51" i="57"/>
  <c r="F51" i="57"/>
  <c r="AN50" i="55" a="1"/>
  <c r="AN50" i="55"/>
  <c r="B52" i="57"/>
  <c r="AR36" i="67" a="1"/>
  <c r="AR36" i="67"/>
  <c r="B37" i="69"/>
  <c r="L37" i="69"/>
  <c r="R34" i="69"/>
  <c r="S34" i="69"/>
  <c r="Y34" i="69"/>
  <c r="AE34" i="69"/>
  <c r="D35" i="69"/>
  <c r="E35" i="69"/>
  <c r="F35" i="69"/>
  <c r="G35" i="69"/>
  <c r="H35" i="69"/>
  <c r="I35" i="69"/>
  <c r="J35" i="69"/>
  <c r="K35" i="69"/>
  <c r="M35" i="69"/>
  <c r="C36" i="69"/>
  <c r="P36" i="69"/>
  <c r="R9" i="78"/>
  <c r="AG33" i="69"/>
  <c r="AB34" i="69"/>
  <c r="AC34" i="69"/>
  <c r="AD34" i="69"/>
  <c r="AP36" i="69"/>
  <c r="N36" i="69"/>
  <c r="U36" i="69"/>
  <c r="AF35" i="69"/>
  <c r="Q35" i="69"/>
  <c r="O52" i="57"/>
  <c r="AG52" i="57" s="1"/>
  <c r="P52" i="57"/>
  <c r="O37" i="69"/>
  <c r="AO36" i="69"/>
  <c r="AG34" i="69"/>
  <c r="AY35" i="69"/>
  <c r="L52" i="57"/>
  <c r="N52" i="57"/>
  <c r="AH35" i="69"/>
  <c r="H52" i="57"/>
  <c r="G52" i="57"/>
  <c r="E52" i="57"/>
  <c r="D52" i="57"/>
  <c r="C52" i="57"/>
  <c r="M52" i="57" s="1"/>
  <c r="K52" i="57"/>
  <c r="I52" i="57"/>
  <c r="J52" i="57"/>
  <c r="F52" i="57"/>
  <c r="AN51" i="55" a="1"/>
  <c r="AN51" i="55"/>
  <c r="B53" i="57"/>
  <c r="AE35" i="69"/>
  <c r="R35" i="69"/>
  <c r="S35" i="69"/>
  <c r="Y35" i="69"/>
  <c r="D36" i="69"/>
  <c r="E36" i="69"/>
  <c r="F36" i="69"/>
  <c r="G36" i="69"/>
  <c r="H36" i="69"/>
  <c r="I36" i="69"/>
  <c r="J36" i="69"/>
  <c r="K36" i="69"/>
  <c r="M36" i="69"/>
  <c r="C37" i="69"/>
  <c r="P37" i="69"/>
  <c r="AR37" i="67" a="1"/>
  <c r="AR37" i="67"/>
  <c r="B38" i="69"/>
  <c r="L38" i="69"/>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AP37" i="69"/>
  <c r="N37" i="69"/>
  <c r="U37" i="69"/>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K242" i="46"/>
  <c r="K162" i="46"/>
  <c r="K106" i="46"/>
  <c r="L250" i="59"/>
  <c r="AY250" i="59"/>
  <c r="L230" i="59"/>
  <c r="AY230" i="59"/>
  <c r="L222" i="59"/>
  <c r="AY222" i="59"/>
  <c r="L202" i="59"/>
  <c r="AY202" i="59"/>
  <c r="L194" i="59"/>
  <c r="AY194" i="59"/>
  <c r="L186" i="59"/>
  <c r="AY186" i="59"/>
  <c r="L146" i="59"/>
  <c r="AY146" i="59"/>
  <c r="L118" i="59"/>
  <c r="AY118" i="59"/>
  <c r="L110" i="59"/>
  <c r="AY110" i="59"/>
  <c r="L102" i="59"/>
  <c r="AY102" i="59"/>
  <c r="L94" i="59"/>
  <c r="AY94" i="59"/>
  <c r="L86" i="59"/>
  <c r="AY86" i="59"/>
  <c r="L78" i="59"/>
  <c r="AY78" i="59"/>
  <c r="L70" i="59"/>
  <c r="AY70" i="59"/>
  <c r="L58" i="59"/>
  <c r="AY58" i="59"/>
  <c r="L46" i="59"/>
  <c r="AY46" i="59"/>
  <c r="L38" i="59"/>
  <c r="AY38" i="59"/>
  <c r="K36" i="46"/>
  <c r="K228" i="71"/>
  <c r="K196" i="71"/>
  <c r="K148" i="71"/>
  <c r="K96" i="71"/>
  <c r="K36" i="71"/>
  <c r="K14" i="46"/>
  <c r="L235" i="11"/>
  <c r="L203" i="11"/>
  <c r="L179" i="11"/>
  <c r="L233" i="11"/>
  <c r="L169" i="11"/>
  <c r="L248" i="11"/>
  <c r="L240" i="11"/>
  <c r="L232" i="11"/>
  <c r="L224" i="11"/>
  <c r="L254" i="59"/>
  <c r="AY254" i="59"/>
  <c r="L242" i="59"/>
  <c r="AY242" i="59"/>
  <c r="L234" i="59"/>
  <c r="AY234" i="59"/>
  <c r="L214" i="59"/>
  <c r="AY214" i="59"/>
  <c r="L178" i="59"/>
  <c r="AY178" i="59"/>
  <c r="L170" i="59"/>
  <c r="AY170" i="59"/>
  <c r="L166" i="59"/>
  <c r="AY166" i="59"/>
  <c r="L158" i="59"/>
  <c r="AY158" i="59"/>
  <c r="L138" i="59"/>
  <c r="AY138" i="59"/>
  <c r="L130" i="59"/>
  <c r="AY130" i="59"/>
  <c r="L122" i="59"/>
  <c r="AY122" i="59"/>
  <c r="K252" i="71"/>
  <c r="K220" i="71"/>
  <c r="K184" i="71"/>
  <c r="K132" i="71"/>
  <c r="K84" i="71"/>
  <c r="K20" i="71"/>
  <c r="L249" i="11"/>
  <c r="L185" i="11"/>
  <c r="L125" i="11"/>
  <c r="L109" i="11"/>
  <c r="L93" i="11"/>
  <c r="L77" i="11"/>
  <c r="L61" i="11"/>
  <c r="L45" i="11"/>
  <c r="K255" i="46"/>
  <c r="L12" i="11"/>
  <c r="L252" i="11"/>
  <c r="L216" i="11"/>
  <c r="L208" i="11"/>
  <c r="L200" i="11"/>
  <c r="L192" i="11"/>
  <c r="L184" i="11"/>
  <c r="L176" i="11"/>
  <c r="L168" i="11"/>
  <c r="U168" i="11" s="1"/>
  <c r="L160" i="11"/>
  <c r="L152" i="11"/>
  <c r="L144" i="11"/>
  <c r="L136" i="11"/>
  <c r="L128" i="11"/>
  <c r="L120" i="11"/>
  <c r="L112" i="11"/>
  <c r="L104" i="11"/>
  <c r="U104" i="11" s="1"/>
  <c r="L96" i="11"/>
  <c r="L88" i="11"/>
  <c r="L80" i="11"/>
  <c r="L72" i="11"/>
  <c r="L64" i="11"/>
  <c r="L56" i="11"/>
  <c r="L48" i="11"/>
  <c r="L40" i="11"/>
  <c r="L16" i="11"/>
  <c r="K178" i="46"/>
  <c r="K146" i="46"/>
  <c r="K98" i="46"/>
  <c r="L226" i="59"/>
  <c r="AY226" i="59"/>
  <c r="L218" i="59"/>
  <c r="AY218" i="59"/>
  <c r="L206" i="59"/>
  <c r="AY206" i="59"/>
  <c r="L198" i="59"/>
  <c r="AY198" i="59"/>
  <c r="L190" i="59"/>
  <c r="AY190" i="59"/>
  <c r="L150" i="59"/>
  <c r="AY150" i="59"/>
  <c r="L114" i="59"/>
  <c r="AY114" i="59"/>
  <c r="L106" i="59"/>
  <c r="AY106" i="59"/>
  <c r="L98" i="59"/>
  <c r="AY98" i="59"/>
  <c r="L90" i="59"/>
  <c r="AY90" i="59"/>
  <c r="L82" i="59"/>
  <c r="AY82" i="59"/>
  <c r="L74" i="59"/>
  <c r="AY74" i="59"/>
  <c r="L66" i="59"/>
  <c r="AY66" i="59"/>
  <c r="L42" i="59"/>
  <c r="AY42" i="59"/>
  <c r="L34" i="59"/>
  <c r="AY34" i="59"/>
  <c r="L177" i="59"/>
  <c r="AY177" i="59"/>
  <c r="L169" i="59"/>
  <c r="AY169" i="59"/>
  <c r="L125" i="59"/>
  <c r="AY125" i="59"/>
  <c r="L101" i="59"/>
  <c r="AY101" i="59"/>
  <c r="K244" i="71"/>
  <c r="K212" i="71"/>
  <c r="K172" i="71"/>
  <c r="K120" i="71"/>
  <c r="K68" i="71"/>
  <c r="K30" i="46"/>
  <c r="L255" i="11"/>
  <c r="L223" i="11"/>
  <c r="L191" i="11"/>
  <c r="L159" i="11"/>
  <c r="L201" i="11"/>
  <c r="L141" i="11"/>
  <c r="L117" i="11"/>
  <c r="L101" i="11"/>
  <c r="V101" i="11" s="1"/>
  <c r="L85" i="11"/>
  <c r="L69" i="11"/>
  <c r="L244" i="11"/>
  <c r="L236" i="11"/>
  <c r="L228" i="11"/>
  <c r="L220" i="11"/>
  <c r="L258" i="59"/>
  <c r="AY258" i="59"/>
  <c r="L246" i="59"/>
  <c r="AY246" i="59"/>
  <c r="L238" i="59"/>
  <c r="AY238" i="59"/>
  <c r="L210" i="59"/>
  <c r="AY210" i="59"/>
  <c r="L182" i="59"/>
  <c r="AY182" i="59"/>
  <c r="L174" i="59"/>
  <c r="AY174" i="59"/>
  <c r="L162" i="59"/>
  <c r="AY162" i="59"/>
  <c r="L154" i="59"/>
  <c r="AY154" i="59"/>
  <c r="L142" i="59"/>
  <c r="AY142" i="59"/>
  <c r="L134" i="59"/>
  <c r="AY134" i="59"/>
  <c r="L126" i="59"/>
  <c r="AY126" i="59"/>
  <c r="L54" i="59"/>
  <c r="AY54" i="59"/>
  <c r="L26" i="59"/>
  <c r="AY26" i="59"/>
  <c r="L18" i="59"/>
  <c r="AY18" i="59"/>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V167" i="11" s="1"/>
  <c r="L147" i="11"/>
  <c r="L131" i="11"/>
  <c r="L115" i="11"/>
  <c r="L99" i="11"/>
  <c r="L83" i="11"/>
  <c r="L67" i="11"/>
  <c r="L51" i="11"/>
  <c r="L15" i="11"/>
  <c r="K181" i="46"/>
  <c r="L257" i="59"/>
  <c r="AY257" i="59"/>
  <c r="L249" i="59"/>
  <c r="AY249" i="59"/>
  <c r="L241" i="59"/>
  <c r="AY241" i="59"/>
  <c r="L233" i="59"/>
  <c r="AY233" i="59"/>
  <c r="L225" i="59"/>
  <c r="AY225" i="59"/>
  <c r="L217" i="59"/>
  <c r="AY217" i="59"/>
  <c r="L209" i="59"/>
  <c r="AY209" i="59"/>
  <c r="L201" i="59"/>
  <c r="AY201" i="59"/>
  <c r="L193" i="59"/>
  <c r="AY193" i="59"/>
  <c r="K242" i="71"/>
  <c r="K186" i="71"/>
  <c r="K154" i="71"/>
  <c r="K122" i="71"/>
  <c r="K90" i="71"/>
  <c r="K58" i="71"/>
  <c r="K26" i="71"/>
  <c r="L183" i="11"/>
  <c r="L107" i="11"/>
  <c r="L43" i="11"/>
  <c r="K117" i="46"/>
  <c r="L229" i="59"/>
  <c r="AY229" i="59"/>
  <c r="L197" i="59"/>
  <c r="AY197" i="59"/>
  <c r="L165" i="59"/>
  <c r="AY165" i="59"/>
  <c r="L157" i="59"/>
  <c r="AY157" i="59"/>
  <c r="L129" i="59"/>
  <c r="AY129" i="59"/>
  <c r="L121" i="59"/>
  <c r="AY121" i="59"/>
  <c r="L109" i="59"/>
  <c r="AY109" i="59"/>
  <c r="L65" i="59"/>
  <c r="AY65" i="59"/>
  <c r="L41" i="59"/>
  <c r="AY41" i="59"/>
  <c r="L33" i="59"/>
  <c r="AY33" i="59"/>
  <c r="L25" i="59"/>
  <c r="AY25" i="59"/>
  <c r="L17" i="59"/>
  <c r="AY17" i="59"/>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U87" i="11" s="1"/>
  <c r="L71" i="11"/>
  <c r="L55" i="11"/>
  <c r="L39" i="11"/>
  <c r="L258" i="11"/>
  <c r="L222" i="11"/>
  <c r="L206" i="11"/>
  <c r="L182" i="11"/>
  <c r="L166" i="11"/>
  <c r="U166" i="11" s="1"/>
  <c r="L150" i="11"/>
  <c r="L138" i="11"/>
  <c r="L62" i="59"/>
  <c r="AY62" i="59"/>
  <c r="L14" i="59"/>
  <c r="AY14" i="59"/>
  <c r="K194" i="71"/>
  <c r="K162" i="71"/>
  <c r="K130" i="71"/>
  <c r="K98" i="71"/>
  <c r="K66" i="71"/>
  <c r="K34" i="71"/>
  <c r="L211" i="11"/>
  <c r="L123" i="11"/>
  <c r="L59" i="11"/>
  <c r="K245" i="46"/>
  <c r="L237" i="59"/>
  <c r="AY237" i="59"/>
  <c r="L205" i="59"/>
  <c r="AY205" i="59"/>
  <c r="L181" i="59"/>
  <c r="AY181" i="59"/>
  <c r="L173" i="59"/>
  <c r="AY173" i="59"/>
  <c r="L149" i="59"/>
  <c r="AY149" i="59"/>
  <c r="L141" i="59"/>
  <c r="AY141" i="59"/>
  <c r="L133" i="59"/>
  <c r="AY133" i="59"/>
  <c r="L85" i="59"/>
  <c r="AY85" i="59"/>
  <c r="L77" i="59"/>
  <c r="AY77" i="59"/>
  <c r="L69" i="59"/>
  <c r="AY69" i="59"/>
  <c r="L53" i="59"/>
  <c r="AY53" i="59"/>
  <c r="L250" i="11"/>
  <c r="L242" i="11"/>
  <c r="V242" i="11" s="1"/>
  <c r="L234" i="11"/>
  <c r="L190" i="11"/>
  <c r="L174" i="11"/>
  <c r="L158" i="11"/>
  <c r="L142" i="11"/>
  <c r="L134" i="11"/>
  <c r="L130" i="11"/>
  <c r="L122" i="11"/>
  <c r="V122" i="11" s="1"/>
  <c r="L114" i="11"/>
  <c r="L106" i="11"/>
  <c r="L98" i="11"/>
  <c r="L22" i="59"/>
  <c r="AY22" i="59"/>
  <c r="K210" i="71"/>
  <c r="K170" i="71"/>
  <c r="K138" i="71"/>
  <c r="K106" i="71"/>
  <c r="K74" i="71"/>
  <c r="K42" i="71"/>
  <c r="L243" i="11"/>
  <c r="L139" i="11"/>
  <c r="L75" i="11"/>
  <c r="L245" i="59"/>
  <c r="AY245" i="59"/>
  <c r="L213" i="59"/>
  <c r="AY213" i="59"/>
  <c r="L185" i="59"/>
  <c r="AY185" i="59"/>
  <c r="L113" i="59"/>
  <c r="AY113" i="59"/>
  <c r="L105" i="59"/>
  <c r="AY105" i="59"/>
  <c r="L97" i="59"/>
  <c r="AY97" i="59"/>
  <c r="L89" i="59"/>
  <c r="AY89" i="59"/>
  <c r="L61" i="59"/>
  <c r="AY61" i="59"/>
  <c r="L57" i="59"/>
  <c r="AY57" i="59"/>
  <c r="L45" i="59"/>
  <c r="AY45" i="59"/>
  <c r="L37" i="59"/>
  <c r="AY37" i="59"/>
  <c r="L29" i="59"/>
  <c r="AY29" i="59"/>
  <c r="L21" i="59"/>
  <c r="AY21" i="59"/>
  <c r="L13" i="59"/>
  <c r="AY13" i="59"/>
  <c r="K233" i="71"/>
  <c r="K217" i="71"/>
  <c r="K201" i="71"/>
  <c r="K189" i="71"/>
  <c r="K177" i="71"/>
  <c r="K165" i="71"/>
  <c r="K149" i="71"/>
  <c r="K137" i="71"/>
  <c r="K125" i="71"/>
  <c r="K113" i="71"/>
  <c r="K101" i="71"/>
  <c r="K81" i="71"/>
  <c r="K73" i="71"/>
  <c r="K57" i="71"/>
  <c r="K45" i="71"/>
  <c r="K33" i="71"/>
  <c r="K17" i="71"/>
  <c r="L251" i="11"/>
  <c r="L219" i="11"/>
  <c r="L187" i="11"/>
  <c r="L163" i="11"/>
  <c r="L143" i="11"/>
  <c r="U143" i="11" s="1"/>
  <c r="L127" i="11"/>
  <c r="L111" i="11"/>
  <c r="L95" i="11"/>
  <c r="L79" i="11"/>
  <c r="L63" i="11"/>
  <c r="L47" i="11"/>
  <c r="L246" i="11"/>
  <c r="L230" i="11"/>
  <c r="U230" i="11" s="1"/>
  <c r="L226" i="11"/>
  <c r="L218" i="11"/>
  <c r="L210" i="11"/>
  <c r="L202" i="11"/>
  <c r="L118" i="11"/>
  <c r="L102" i="11"/>
  <c r="L86" i="11"/>
  <c r="L74" i="11"/>
  <c r="U74" i="11" s="1"/>
  <c r="L58" i="11"/>
  <c r="L50" i="11"/>
  <c r="L42" i="11"/>
  <c r="K252" i="46"/>
  <c r="K244" i="46"/>
  <c r="K236" i="46"/>
  <c r="K228" i="46"/>
  <c r="K220" i="46"/>
  <c r="K212" i="46"/>
  <c r="K200" i="46"/>
  <c r="K192" i="46"/>
  <c r="K180" i="46"/>
  <c r="K172" i="46"/>
  <c r="K156" i="46"/>
  <c r="K144" i="46"/>
  <c r="K108" i="46"/>
  <c r="K80" i="46"/>
  <c r="K44" i="46"/>
  <c r="L220" i="59"/>
  <c r="AY220" i="59"/>
  <c r="L208" i="59"/>
  <c r="AY208" i="59"/>
  <c r="L50" i="59"/>
  <c r="AY50" i="59"/>
  <c r="L30" i="59"/>
  <c r="AY30" i="59"/>
  <c r="K226" i="71"/>
  <c r="K178" i="71"/>
  <c r="K146" i="71"/>
  <c r="K114" i="71"/>
  <c r="K82" i="71"/>
  <c r="K50" i="71"/>
  <c r="K18" i="71"/>
  <c r="L155" i="11"/>
  <c r="L91" i="11"/>
  <c r="L253" i="59"/>
  <c r="AY253" i="59"/>
  <c r="L221" i="59"/>
  <c r="AY221" i="59"/>
  <c r="L189" i="59"/>
  <c r="AY189" i="59"/>
  <c r="L161" i="59"/>
  <c r="AY161" i="59"/>
  <c r="L153" i="59"/>
  <c r="AY153" i="59"/>
  <c r="L145" i="59"/>
  <c r="AY145" i="59"/>
  <c r="L137" i="59"/>
  <c r="AY137" i="59"/>
  <c r="L117" i="59"/>
  <c r="AY117" i="59"/>
  <c r="L93" i="59"/>
  <c r="AY93" i="59"/>
  <c r="L81" i="59"/>
  <c r="AY81" i="59"/>
  <c r="L73" i="59"/>
  <c r="AY73" i="59"/>
  <c r="L49" i="59"/>
  <c r="AY49" i="59"/>
  <c r="L254" i="11"/>
  <c r="L238" i="11"/>
  <c r="L214" i="11"/>
  <c r="L198" i="11"/>
  <c r="L194" i="11"/>
  <c r="V194" i="11" s="1"/>
  <c r="L186" i="11"/>
  <c r="L178" i="11"/>
  <c r="L170" i="11"/>
  <c r="L162" i="11"/>
  <c r="L154" i="11"/>
  <c r="L146" i="11"/>
  <c r="L126" i="11"/>
  <c r="L110" i="11"/>
  <c r="U110" i="11" s="1"/>
  <c r="L94" i="11"/>
  <c r="L78" i="11"/>
  <c r="L70" i="11"/>
  <c r="L66" i="11"/>
  <c r="L256" i="59"/>
  <c r="AY256" i="59"/>
  <c r="L248" i="59"/>
  <c r="AY248" i="59"/>
  <c r="L240" i="59"/>
  <c r="AY240" i="59"/>
  <c r="L232" i="59"/>
  <c r="AY232" i="59"/>
  <c r="L212" i="59"/>
  <c r="AY212" i="59"/>
  <c r="L168" i="59"/>
  <c r="AY168" i="59"/>
  <c r="L156" i="59"/>
  <c r="AY156" i="59"/>
  <c r="L128" i="59"/>
  <c r="AY128" i="59"/>
  <c r="K240" i="46"/>
  <c r="K208" i="46"/>
  <c r="K160" i="46"/>
  <c r="K64" i="46"/>
  <c r="L228" i="59"/>
  <c r="AY228" i="59"/>
  <c r="L204" i="59"/>
  <c r="AY204" i="59"/>
  <c r="L196" i="59"/>
  <c r="AY196" i="59"/>
  <c r="L188" i="59"/>
  <c r="AY188" i="59"/>
  <c r="L180" i="59"/>
  <c r="AY180" i="59"/>
  <c r="L172" i="59"/>
  <c r="AY172" i="59"/>
  <c r="L144" i="59"/>
  <c r="AY144" i="59"/>
  <c r="L136" i="59"/>
  <c r="AY136" i="59"/>
  <c r="L88" i="59"/>
  <c r="AY88" i="59"/>
  <c r="L72" i="59"/>
  <c r="AY72" i="59"/>
  <c r="L60" i="59"/>
  <c r="AY60" i="59"/>
  <c r="L52" i="59"/>
  <c r="AY52" i="59"/>
  <c r="L28" i="59"/>
  <c r="AY28" i="59"/>
  <c r="L20" i="59"/>
  <c r="AY20" i="59"/>
  <c r="L12" i="59"/>
  <c r="AY12" i="59"/>
  <c r="L163" i="59"/>
  <c r="AY163" i="59"/>
  <c r="L159" i="59"/>
  <c r="AY159" i="59"/>
  <c r="L151" i="59"/>
  <c r="AY151" i="59"/>
  <c r="L143" i="59"/>
  <c r="AY143" i="59"/>
  <c r="L135" i="59"/>
  <c r="AY135" i="59"/>
  <c r="L127" i="59"/>
  <c r="AY127" i="59"/>
  <c r="L119" i="59"/>
  <c r="AY119" i="59"/>
  <c r="L111" i="59"/>
  <c r="AY111" i="59"/>
  <c r="L95" i="59"/>
  <c r="AY95" i="59"/>
  <c r="L87" i="59"/>
  <c r="AY87" i="59"/>
  <c r="L71" i="59"/>
  <c r="AY71" i="59"/>
  <c r="L55" i="59"/>
  <c r="AY55" i="59"/>
  <c r="L39" i="59"/>
  <c r="AY39" i="59"/>
  <c r="L15" i="59"/>
  <c r="AY15" i="59"/>
  <c r="K183" i="71"/>
  <c r="K135" i="71"/>
  <c r="K103" i="71"/>
  <c r="K87" i="71"/>
  <c r="K55" i="71"/>
  <c r="L82" i="11"/>
  <c r="V82" i="11" s="1"/>
  <c r="L62" i="11"/>
  <c r="L38" i="11"/>
  <c r="K248" i="46"/>
  <c r="K216" i="46"/>
  <c r="K176" i="46"/>
  <c r="K104" i="46"/>
  <c r="L236" i="59"/>
  <c r="AY236" i="59"/>
  <c r="L164" i="59"/>
  <c r="AY164" i="59"/>
  <c r="L120" i="59"/>
  <c r="AY120" i="59"/>
  <c r="L112" i="59"/>
  <c r="AY112" i="59"/>
  <c r="L104" i="59"/>
  <c r="AY104" i="59"/>
  <c r="L92" i="59"/>
  <c r="AY92" i="59"/>
  <c r="L80" i="59"/>
  <c r="AY80" i="59"/>
  <c r="L40" i="59"/>
  <c r="AY40" i="59"/>
  <c r="K176" i="71"/>
  <c r="K152" i="71"/>
  <c r="K136" i="71"/>
  <c r="K112" i="71"/>
  <c r="K88" i="71"/>
  <c r="K72" i="71"/>
  <c r="K56" i="71"/>
  <c r="K40" i="71"/>
  <c r="K24" i="71"/>
  <c r="L247" i="11"/>
  <c r="V247" i="11" s="1"/>
  <c r="L215" i="11"/>
  <c r="L171" i="11"/>
  <c r="L253" i="11"/>
  <c r="L237" i="11"/>
  <c r="L221" i="11"/>
  <c r="L205" i="11"/>
  <c r="L189" i="11"/>
  <c r="L173" i="11"/>
  <c r="U173" i="11" s="1"/>
  <c r="L157" i="11"/>
  <c r="L137" i="11"/>
  <c r="L121" i="11"/>
  <c r="L105" i="11"/>
  <c r="L89" i="11"/>
  <c r="L73" i="11"/>
  <c r="L57" i="11"/>
  <c r="L41" i="11"/>
  <c r="K215" i="46"/>
  <c r="K191" i="46"/>
  <c r="K175" i="46"/>
  <c r="K159" i="46"/>
  <c r="K135" i="46"/>
  <c r="K103" i="46"/>
  <c r="K79" i="46"/>
  <c r="K63" i="46"/>
  <c r="L251" i="59"/>
  <c r="AY251" i="59"/>
  <c r="L243" i="59"/>
  <c r="AY243" i="59"/>
  <c r="L235" i="59"/>
  <c r="AY235" i="59"/>
  <c r="L227" i="59"/>
  <c r="AY227" i="59"/>
  <c r="L219" i="59"/>
  <c r="AY219" i="59"/>
  <c r="L211" i="59"/>
  <c r="AY211" i="59"/>
  <c r="L203" i="59"/>
  <c r="AY203" i="59"/>
  <c r="L195" i="59"/>
  <c r="AY195" i="59"/>
  <c r="L187" i="59"/>
  <c r="AY187" i="59"/>
  <c r="L179" i="59"/>
  <c r="AY179" i="59"/>
  <c r="L171" i="59"/>
  <c r="AY171" i="59"/>
  <c r="L155" i="59"/>
  <c r="AY155" i="59"/>
  <c r="L147" i="59"/>
  <c r="AY147" i="59"/>
  <c r="L115" i="59"/>
  <c r="AY115" i="59"/>
  <c r="L51" i="59"/>
  <c r="AY51" i="59"/>
  <c r="L19" i="59"/>
  <c r="AY19" i="59"/>
  <c r="K34" i="46"/>
  <c r="K127" i="71"/>
  <c r="K95" i="71"/>
  <c r="K63" i="71"/>
  <c r="K31" i="71"/>
  <c r="K15" i="71"/>
  <c r="L90" i="11"/>
  <c r="L46" i="11"/>
  <c r="V46" i="11" s="1"/>
  <c r="K256" i="46"/>
  <c r="K224" i="46"/>
  <c r="K188" i="46"/>
  <c r="K128" i="46"/>
  <c r="L244" i="59"/>
  <c r="AY244" i="59"/>
  <c r="L200" i="59"/>
  <c r="AY200" i="59"/>
  <c r="L192" i="59"/>
  <c r="AY192" i="59"/>
  <c r="L184" i="59"/>
  <c r="AY184" i="59"/>
  <c r="L176" i="59"/>
  <c r="AY176" i="59"/>
  <c r="L148" i="59"/>
  <c r="AY148" i="59"/>
  <c r="L132" i="59"/>
  <c r="AY132" i="59"/>
  <c r="L124" i="59"/>
  <c r="AY124" i="59"/>
  <c r="L108" i="59"/>
  <c r="AY108" i="59"/>
  <c r="L84" i="59"/>
  <c r="AY84" i="59"/>
  <c r="L76" i="59"/>
  <c r="AY76" i="59"/>
  <c r="L64" i="59"/>
  <c r="AY64" i="59"/>
  <c r="L56" i="59"/>
  <c r="AY56" i="59"/>
  <c r="L48" i="59"/>
  <c r="AY48" i="59"/>
  <c r="L32" i="59"/>
  <c r="AY32" i="59"/>
  <c r="L24" i="59"/>
  <c r="AY24" i="59"/>
  <c r="L16" i="59"/>
  <c r="AY16" i="59"/>
  <c r="L245" i="11"/>
  <c r="L229" i="11"/>
  <c r="U229" i="11" s="1"/>
  <c r="L213" i="11"/>
  <c r="L197" i="11"/>
  <c r="L181" i="11"/>
  <c r="L165" i="11"/>
  <c r="L149" i="11"/>
  <c r="L129" i="11"/>
  <c r="L113" i="11"/>
  <c r="L97" i="11"/>
  <c r="V97" i="11" s="1"/>
  <c r="L81" i="11"/>
  <c r="L65" i="11"/>
  <c r="L49" i="11"/>
  <c r="L139" i="59"/>
  <c r="AY139" i="59"/>
  <c r="L131" i="59"/>
  <c r="AY131" i="59"/>
  <c r="L123" i="59"/>
  <c r="AY123" i="59"/>
  <c r="L107" i="59"/>
  <c r="AY107" i="59"/>
  <c r="L99" i="59"/>
  <c r="AY99" i="59"/>
  <c r="L91" i="59"/>
  <c r="AY91" i="59"/>
  <c r="L83" i="59"/>
  <c r="AY83" i="59"/>
  <c r="L75" i="59"/>
  <c r="AY75" i="59"/>
  <c r="L67" i="59"/>
  <c r="AY67" i="59"/>
  <c r="L59" i="59"/>
  <c r="AY59" i="59"/>
  <c r="L43" i="59"/>
  <c r="AY43" i="59"/>
  <c r="L35" i="59"/>
  <c r="AY35" i="59"/>
  <c r="L27" i="59"/>
  <c r="AY27" i="59"/>
  <c r="K191" i="71"/>
  <c r="K175" i="71"/>
  <c r="K159" i="71"/>
  <c r="K143" i="71"/>
  <c r="K111" i="71"/>
  <c r="K79" i="71"/>
  <c r="K47" i="71"/>
  <c r="L54" i="11"/>
  <c r="L14" i="11"/>
  <c r="K232" i="46"/>
  <c r="K196" i="46"/>
  <c r="K148" i="46"/>
  <c r="L252" i="59"/>
  <c r="AY252" i="59"/>
  <c r="L224" i="59"/>
  <c r="AY224" i="59"/>
  <c r="L216" i="59"/>
  <c r="AY216" i="59"/>
  <c r="L160" i="59"/>
  <c r="AY160" i="59"/>
  <c r="L152" i="59"/>
  <c r="AY152" i="59"/>
  <c r="L140" i="59"/>
  <c r="AY140" i="59"/>
  <c r="L116" i="59"/>
  <c r="L100" i="59"/>
  <c r="AY100" i="59"/>
  <c r="L96" i="59"/>
  <c r="AY96" i="59"/>
  <c r="L68" i="59"/>
  <c r="AY68" i="59"/>
  <c r="L44" i="59"/>
  <c r="AY44" i="59"/>
  <c r="L36" i="59"/>
  <c r="AY36" i="59"/>
  <c r="K192" i="71"/>
  <c r="K168" i="71"/>
  <c r="K144" i="71"/>
  <c r="K128" i="71"/>
  <c r="K104" i="71"/>
  <c r="K80" i="71"/>
  <c r="K64" i="71"/>
  <c r="K48" i="71"/>
  <c r="K32" i="71"/>
  <c r="K16" i="71"/>
  <c r="L231" i="11"/>
  <c r="L195" i="11"/>
  <c r="L13" i="11"/>
  <c r="K199" i="46"/>
  <c r="K183" i="46"/>
  <c r="K171" i="46"/>
  <c r="K143" i="46"/>
  <c r="K127" i="46"/>
  <c r="K87" i="46"/>
  <c r="K71" i="46"/>
  <c r="L255" i="59"/>
  <c r="AY255" i="59"/>
  <c r="L247" i="59"/>
  <c r="AY247" i="59"/>
  <c r="L239" i="59"/>
  <c r="AY239" i="59"/>
  <c r="L231" i="59"/>
  <c r="AY231" i="59"/>
  <c r="L223" i="59"/>
  <c r="AY223" i="59"/>
  <c r="L215" i="59"/>
  <c r="AY215" i="59"/>
  <c r="L207" i="59"/>
  <c r="AY207" i="59"/>
  <c r="L199" i="59"/>
  <c r="AY199" i="59"/>
  <c r="L191" i="59"/>
  <c r="AY191" i="59"/>
  <c r="L183" i="59"/>
  <c r="AY183" i="59"/>
  <c r="L175" i="59"/>
  <c r="AY175" i="59"/>
  <c r="L167" i="59"/>
  <c r="AY167" i="59"/>
  <c r="L79" i="59"/>
  <c r="AY79" i="59"/>
  <c r="L23" i="59"/>
  <c r="AY23" i="59"/>
  <c r="L103" i="59"/>
  <c r="AY103" i="59"/>
  <c r="L63" i="59"/>
  <c r="AY63" i="59"/>
  <c r="L47" i="59"/>
  <c r="AY47" i="59"/>
  <c r="L31" i="59"/>
  <c r="AY31" i="59"/>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AG53" i="57" s="1"/>
  <c r="P53" i="57"/>
  <c r="AB35" i="69"/>
  <c r="AG35" i="69"/>
  <c r="AO37" i="69"/>
  <c r="O38" i="69"/>
  <c r="AY36" i="69"/>
  <c r="L53" i="57"/>
  <c r="N53" i="57"/>
  <c r="AH36" i="69"/>
  <c r="K53" i="57"/>
  <c r="I53" i="57"/>
  <c r="G53" i="57"/>
  <c r="E53" i="57"/>
  <c r="C53" i="57"/>
  <c r="M53" i="57" s="1"/>
  <c r="AQ53" i="57" s="1"/>
  <c r="D53" i="57"/>
  <c r="F53" i="57"/>
  <c r="H53" i="57"/>
  <c r="J53" i="57"/>
  <c r="AN52" i="55" a="1"/>
  <c r="AN52" i="55"/>
  <c r="B54" i="57"/>
  <c r="AR38" i="67" a="1"/>
  <c r="AR38" i="67"/>
  <c r="B39" i="69"/>
  <c r="L39" i="69"/>
  <c r="D37" i="69"/>
  <c r="E37" i="69"/>
  <c r="F37" i="69"/>
  <c r="G37" i="69"/>
  <c r="H37" i="69"/>
  <c r="I37" i="69"/>
  <c r="J37" i="69"/>
  <c r="K37" i="69"/>
  <c r="M37" i="69"/>
  <c r="AE36" i="69"/>
  <c r="R36" i="69"/>
  <c r="S36" i="69"/>
  <c r="Y36" i="69"/>
  <c r="C38" i="69"/>
  <c r="P38" i="69"/>
  <c r="Y116" i="59"/>
  <c r="AY116" i="59"/>
  <c r="AP38" i="69"/>
  <c r="N38" i="69"/>
  <c r="U38" i="69"/>
  <c r="AF37" i="69"/>
  <c r="Q37" i="69"/>
  <c r="O54" i="57"/>
  <c r="AG54" i="57" s="1"/>
  <c r="P54" i="57"/>
  <c r="AC35" i="69"/>
  <c r="AD35" i="69"/>
  <c r="AB36" i="69"/>
  <c r="AG36" i="69"/>
  <c r="O39" i="69"/>
  <c r="AO38" i="69"/>
  <c r="X12" i="59"/>
  <c r="V55" i="22"/>
  <c r="Y12" i="59"/>
  <c r="Y15" i="59"/>
  <c r="X15" i="59"/>
  <c r="Y13" i="59"/>
  <c r="X13" i="59"/>
  <c r="Y14" i="59"/>
  <c r="X14" i="59"/>
  <c r="Y150" i="59"/>
  <c r="X150" i="59"/>
  <c r="Y87" i="59"/>
  <c r="X87" i="59"/>
  <c r="Y215" i="59"/>
  <c r="X215" i="59"/>
  <c r="Y43" i="59"/>
  <c r="X43" i="59"/>
  <c r="V108" i="22"/>
  <c r="Y171" i="59"/>
  <c r="X171" i="59"/>
  <c r="Y108" i="59"/>
  <c r="X108" i="59"/>
  <c r="Y236" i="59"/>
  <c r="X236" i="59"/>
  <c r="Y46" i="59"/>
  <c r="X46" i="59"/>
  <c r="V114" i="22"/>
  <c r="Y174" i="59"/>
  <c r="X174" i="59"/>
  <c r="Y111" i="59"/>
  <c r="X111" i="59"/>
  <c r="Y239" i="59"/>
  <c r="X239" i="59"/>
  <c r="Y51" i="59"/>
  <c r="X51" i="59"/>
  <c r="V130" i="22"/>
  <c r="Y179" i="59"/>
  <c r="X179" i="59"/>
  <c r="X116" i="59"/>
  <c r="Y244" i="59"/>
  <c r="X244" i="59"/>
  <c r="Y16" i="59"/>
  <c r="X16" i="59"/>
  <c r="X80" i="59"/>
  <c r="Y80" i="59"/>
  <c r="Y144" i="59"/>
  <c r="X144" i="59"/>
  <c r="X208" i="59"/>
  <c r="Y208" i="59"/>
  <c r="X49" i="59"/>
  <c r="V120" i="22"/>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c r="Y172" i="59"/>
  <c r="X172" i="59"/>
  <c r="Y110" i="59"/>
  <c r="X110" i="59"/>
  <c r="Y238" i="59"/>
  <c r="X238" i="59"/>
  <c r="Y47" i="59"/>
  <c r="X47" i="59"/>
  <c r="V115" i="22"/>
  <c r="Y175" i="59"/>
  <c r="X175" i="59"/>
  <c r="Y115" i="59"/>
  <c r="X115" i="59"/>
  <c r="Y243" i="59"/>
  <c r="X243" i="59"/>
  <c r="Y52" i="59"/>
  <c r="X52" i="59"/>
  <c r="V117" i="22"/>
  <c r="X180" i="59"/>
  <c r="Y180" i="59"/>
  <c r="Y48" i="59"/>
  <c r="X48" i="59"/>
  <c r="V119" i="22"/>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N54" i="57"/>
  <c r="AH37" i="69"/>
  <c r="V81" i="11"/>
  <c r="U81" i="11"/>
  <c r="V91" i="11"/>
  <c r="U91" i="11"/>
  <c r="V252" i="11"/>
  <c r="U252" i="11"/>
  <c r="V190" i="11"/>
  <c r="U190" i="11"/>
  <c r="V120" i="11"/>
  <c r="U120" i="11"/>
  <c r="V153" i="11"/>
  <c r="U153" i="11"/>
  <c r="V227" i="11"/>
  <c r="U227" i="11"/>
  <c r="V132" i="11"/>
  <c r="U132" i="11"/>
  <c r="V165" i="11"/>
  <c r="U165" i="11"/>
  <c r="V198" i="11"/>
  <c r="U198" i="11"/>
  <c r="V16" i="11"/>
  <c r="U16" i="11"/>
  <c r="V80" i="11"/>
  <c r="U80" i="11"/>
  <c r="V144" i="11"/>
  <c r="U144" i="11"/>
  <c r="V208" i="11"/>
  <c r="U208" i="11"/>
  <c r="V49" i="11"/>
  <c r="U49" i="11"/>
  <c r="H128" i="22"/>
  <c r="V113" i="11"/>
  <c r="U113" i="11"/>
  <c r="V177" i="11"/>
  <c r="U177" i="11"/>
  <c r="V241" i="11"/>
  <c r="U241" i="11"/>
  <c r="U90" i="11"/>
  <c r="V90" i="11"/>
  <c r="V154" i="11"/>
  <c r="U154" i="11"/>
  <c r="V218" i="11"/>
  <c r="U218" i="11"/>
  <c r="V59" i="11"/>
  <c r="U59" i="11"/>
  <c r="V123" i="11"/>
  <c r="U123" i="11"/>
  <c r="V187" i="11"/>
  <c r="U187" i="11"/>
  <c r="V251" i="11"/>
  <c r="U251" i="11"/>
  <c r="V92" i="11"/>
  <c r="U92" i="11"/>
  <c r="V156" i="11"/>
  <c r="U156" i="11"/>
  <c r="V220" i="11"/>
  <c r="U220" i="11"/>
  <c r="V61" i="11"/>
  <c r="U61" i="11"/>
  <c r="V125" i="11"/>
  <c r="U125" i="11"/>
  <c r="V189" i="11"/>
  <c r="U189" i="11"/>
  <c r="V253" i="11"/>
  <c r="U253" i="11"/>
  <c r="V94" i="11"/>
  <c r="U94" i="11"/>
  <c r="V158" i="11"/>
  <c r="U158" i="11"/>
  <c r="V222" i="11"/>
  <c r="U222" i="11"/>
  <c r="U63" i="11"/>
  <c r="V63" i="11"/>
  <c r="V127" i="11"/>
  <c r="U127" i="11"/>
  <c r="V191" i="11"/>
  <c r="U191" i="11"/>
  <c r="U255" i="11"/>
  <c r="V255" i="11"/>
  <c r="V176" i="11"/>
  <c r="U176" i="11"/>
  <c r="V186" i="11"/>
  <c r="U186" i="11"/>
  <c r="V60" i="11"/>
  <c r="U60" i="11"/>
  <c r="H121" i="22"/>
  <c r="V221" i="11"/>
  <c r="U221" i="11"/>
  <c r="V95" i="11"/>
  <c r="U95" i="11"/>
  <c r="V56" i="11"/>
  <c r="U56" i="11"/>
  <c r="H123" i="22"/>
  <c r="V89" i="11"/>
  <c r="U89" i="11"/>
  <c r="U130" i="11"/>
  <c r="V130" i="11"/>
  <c r="V99" i="11"/>
  <c r="U99" i="11"/>
  <c r="V88" i="11"/>
  <c r="U88" i="11"/>
  <c r="V152" i="11"/>
  <c r="U152" i="11"/>
  <c r="V216" i="11"/>
  <c r="U216" i="11"/>
  <c r="V57" i="11"/>
  <c r="U57" i="11"/>
  <c r="H119" i="22"/>
  <c r="U121" i="11"/>
  <c r="V121" i="11"/>
  <c r="V185" i="11"/>
  <c r="U185" i="11"/>
  <c r="V249" i="11"/>
  <c r="U249" i="11"/>
  <c r="V98" i="11"/>
  <c r="U98" i="11"/>
  <c r="V162" i="11"/>
  <c r="U162" i="11"/>
  <c r="U226" i="11"/>
  <c r="V226" i="11"/>
  <c r="V67" i="11"/>
  <c r="U67" i="11"/>
  <c r="H129" i="22"/>
  <c r="V131" i="11"/>
  <c r="U131" i="11"/>
  <c r="V195" i="11"/>
  <c r="U195" i="11"/>
  <c r="V100" i="11"/>
  <c r="U100" i="11"/>
  <c r="V164" i="11"/>
  <c r="U164" i="11"/>
  <c r="V228" i="11"/>
  <c r="U228" i="11"/>
  <c r="V69" i="11"/>
  <c r="U69" i="11"/>
  <c r="V133" i="11"/>
  <c r="U133" i="11"/>
  <c r="V197" i="11"/>
  <c r="U197" i="11"/>
  <c r="V38" i="11"/>
  <c r="U38" i="11"/>
  <c r="V102" i="11"/>
  <c r="U102" i="11"/>
  <c r="V166" i="11"/>
  <c r="V71" i="11"/>
  <c r="U71" i="11"/>
  <c r="V135" i="11"/>
  <c r="U135" i="11"/>
  <c r="V199" i="11"/>
  <c r="U199"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110" i="11"/>
  <c r="V174" i="11"/>
  <c r="U174" i="11"/>
  <c r="V238" i="11"/>
  <c r="U238" i="11"/>
  <c r="V15" i="11"/>
  <c r="U15" i="11"/>
  <c r="V79" i="11"/>
  <c r="U79" i="11"/>
  <c r="V207" i="11"/>
  <c r="U207" i="11"/>
  <c r="V40" i="11"/>
  <c r="U40" i="11"/>
  <c r="V104" i="11"/>
  <c r="V232" i="11"/>
  <c r="U232" i="11"/>
  <c r="V73" i="11"/>
  <c r="U73" i="11"/>
  <c r="V137" i="11"/>
  <c r="U137" i="11"/>
  <c r="V201" i="11"/>
  <c r="U201" i="11"/>
  <c r="V50" i="11"/>
  <c r="U50" i="11"/>
  <c r="H122" i="22"/>
  <c r="V114" i="11"/>
  <c r="U114" i="11"/>
  <c r="V178" i="11"/>
  <c r="U178" i="11"/>
  <c r="V83" i="11"/>
  <c r="U83" i="11"/>
  <c r="V147" i="11"/>
  <c r="U147" i="11"/>
  <c r="V211" i="11"/>
  <c r="U211" i="11"/>
  <c r="V52" i="11"/>
  <c r="U52" i="11"/>
  <c r="V116" i="11"/>
  <c r="U116" i="11"/>
  <c r="V180" i="11"/>
  <c r="U180" i="11"/>
  <c r="V244" i="11"/>
  <c r="U244" i="11"/>
  <c r="V85" i="11"/>
  <c r="U85" i="11"/>
  <c r="V149" i="11"/>
  <c r="U149" i="11"/>
  <c r="V213" i="11"/>
  <c r="U213" i="11"/>
  <c r="V54" i="11"/>
  <c r="U54" i="11"/>
  <c r="H124" i="22"/>
  <c r="V118" i="11"/>
  <c r="U118" i="11"/>
  <c r="V182" i="11"/>
  <c r="U182" i="11"/>
  <c r="V246" i="11"/>
  <c r="U246" i="11"/>
  <c r="V151" i="11"/>
  <c r="U151" i="11"/>
  <c r="V215" i="11"/>
  <c r="U215" i="11"/>
  <c r="V145" i="11"/>
  <c r="U145" i="11"/>
  <c r="U250" i="11"/>
  <c r="V250" i="11"/>
  <c r="V188" i="11"/>
  <c r="U188" i="11"/>
  <c r="V126" i="11"/>
  <c r="U126" i="11"/>
  <c r="V48" i="11"/>
  <c r="U48" i="11"/>
  <c r="V209" i="11"/>
  <c r="U209" i="11"/>
  <c r="V155" i="11"/>
  <c r="U155" i="11"/>
  <c r="V93" i="11"/>
  <c r="U93" i="11"/>
  <c r="V254" i="11"/>
  <c r="U254" i="11"/>
  <c r="V223" i="11"/>
  <c r="U223" i="11"/>
  <c r="V184" i="11"/>
  <c r="U184" i="11"/>
  <c r="V217" i="11"/>
  <c r="U217" i="11"/>
  <c r="V196" i="11"/>
  <c r="U196" i="11"/>
  <c r="V39" i="11"/>
  <c r="U39" i="11"/>
  <c r="E54" i="57"/>
  <c r="K54" i="57"/>
  <c r="I54" i="57"/>
  <c r="H54" i="57"/>
  <c r="G54" i="57"/>
  <c r="D54" i="57"/>
  <c r="C54" i="57"/>
  <c r="M54" i="57" s="1"/>
  <c r="F54" i="57"/>
  <c r="J54" i="57"/>
  <c r="V240" i="11"/>
  <c r="U240" i="11"/>
  <c r="U124" i="11"/>
  <c r="V124" i="11"/>
  <c r="V62" i="11"/>
  <c r="U62" i="11"/>
  <c r="H130" i="22"/>
  <c r="V159" i="11"/>
  <c r="U159" i="11"/>
  <c r="V66" i="11"/>
  <c r="U66" i="11"/>
  <c r="H132" i="22"/>
  <c r="V163" i="11"/>
  <c r="U163" i="11"/>
  <c r="V68" i="11"/>
  <c r="U68" i="11"/>
  <c r="V37" i="11"/>
  <c r="U37" i="11"/>
  <c r="V70" i="11"/>
  <c r="U70" i="11"/>
  <c r="V103" i="11"/>
  <c r="U103" i="11"/>
  <c r="V64" i="11"/>
  <c r="U64" i="11"/>
  <c r="V128" i="11"/>
  <c r="U128" i="11"/>
  <c r="V192" i="11"/>
  <c r="U192" i="11"/>
  <c r="V256" i="11"/>
  <c r="U256" i="11"/>
  <c r="U97" i="11"/>
  <c r="V161" i="11"/>
  <c r="U161" i="11"/>
  <c r="V225" i="11"/>
  <c r="U225" i="11"/>
  <c r="U138" i="11"/>
  <c r="V138" i="11"/>
  <c r="U202" i="11"/>
  <c r="V202" i="11"/>
  <c r="V43" i="11"/>
  <c r="U43" i="11"/>
  <c r="H110" i="22"/>
  <c r="V107" i="11"/>
  <c r="U107" i="11"/>
  <c r="V171" i="11"/>
  <c r="U171" i="11"/>
  <c r="V235" i="11"/>
  <c r="U235" i="11"/>
  <c r="V12" i="11"/>
  <c r="U12" i="11"/>
  <c r="V76" i="11"/>
  <c r="U76" i="11"/>
  <c r="V140" i="11"/>
  <c r="U140" i="11"/>
  <c r="V204" i="11"/>
  <c r="U204" i="11"/>
  <c r="V45" i="11"/>
  <c r="U45" i="11"/>
  <c r="V109" i="11"/>
  <c r="U109" i="11"/>
  <c r="V173" i="11"/>
  <c r="V237" i="11"/>
  <c r="U237" i="11"/>
  <c r="V14" i="11"/>
  <c r="U14" i="11"/>
  <c r="V78" i="11"/>
  <c r="U78" i="11"/>
  <c r="V142" i="11"/>
  <c r="U142" i="11"/>
  <c r="V206" i="11"/>
  <c r="U206" i="11"/>
  <c r="V47" i="11"/>
  <c r="U47" i="11"/>
  <c r="V111" i="11"/>
  <c r="U111" i="11"/>
  <c r="V175" i="11"/>
  <c r="U175" i="11"/>
  <c r="V239" i="11"/>
  <c r="U239" i="11"/>
  <c r="V112" i="11"/>
  <c r="U112" i="11"/>
  <c r="V58" i="11"/>
  <c r="U58" i="11"/>
  <c r="H120" i="22"/>
  <c r="V219" i="11"/>
  <c r="U219" i="11"/>
  <c r="V157" i="11"/>
  <c r="U157" i="11"/>
  <c r="V248" i="11"/>
  <c r="U248" i="11"/>
  <c r="V258" i="11"/>
  <c r="U258" i="11"/>
  <c r="V134" i="11"/>
  <c r="U134" i="11"/>
  <c r="V231" i="11"/>
  <c r="U231" i="11"/>
  <c r="V72" i="11"/>
  <c r="U72" i="11"/>
  <c r="V136" i="11"/>
  <c r="U136" i="11"/>
  <c r="V200" i="11"/>
  <c r="U200" i="11"/>
  <c r="V41" i="11"/>
  <c r="U41" i="11"/>
  <c r="V105" i="11"/>
  <c r="U105" i="11"/>
  <c r="V169" i="11"/>
  <c r="U169" i="11"/>
  <c r="V233" i="11"/>
  <c r="U233" i="11"/>
  <c r="V146" i="11"/>
  <c r="U146" i="11"/>
  <c r="V210" i="11"/>
  <c r="U210" i="11"/>
  <c r="V51" i="11"/>
  <c r="U51" i="11"/>
  <c r="V115" i="11"/>
  <c r="U115" i="11"/>
  <c r="V179" i="11"/>
  <c r="U179" i="11"/>
  <c r="V243" i="11"/>
  <c r="U243" i="11"/>
  <c r="U84" i="11"/>
  <c r="V84" i="11"/>
  <c r="V148" i="11"/>
  <c r="U148" i="11"/>
  <c r="V212" i="11"/>
  <c r="U212" i="11"/>
  <c r="V53" i="11"/>
  <c r="U53" i="11"/>
  <c r="H125" i="22"/>
  <c r="V117" i="11"/>
  <c r="U117" i="11"/>
  <c r="V181" i="11"/>
  <c r="U181" i="11"/>
  <c r="V245" i="11"/>
  <c r="U245" i="11"/>
  <c r="V86" i="11"/>
  <c r="U86" i="11"/>
  <c r="V150" i="11"/>
  <c r="U150" i="11"/>
  <c r="V214" i="11"/>
  <c r="U214" i="11"/>
  <c r="V55" i="11"/>
  <c r="U55" i="11"/>
  <c r="H126" i="22"/>
  <c r="V119" i="11"/>
  <c r="U119" i="11"/>
  <c r="V183" i="11"/>
  <c r="U183" i="11"/>
  <c r="U247" i="11"/>
  <c r="AN53" i="55" a="1"/>
  <c r="AN53" i="55"/>
  <c r="B55" i="57"/>
  <c r="AE37" i="69"/>
  <c r="R37" i="69"/>
  <c r="S37" i="69"/>
  <c r="Y37" i="69"/>
  <c r="D38" i="69"/>
  <c r="E38" i="69"/>
  <c r="F38" i="69"/>
  <c r="G38" i="69"/>
  <c r="H38" i="69"/>
  <c r="I38" i="69"/>
  <c r="J38" i="69"/>
  <c r="K38" i="69"/>
  <c r="M38" i="69"/>
  <c r="C39" i="69"/>
  <c r="P39" i="69"/>
  <c r="AR39" i="67" a="1"/>
  <c r="AR39" i="67"/>
  <c r="B40" i="69"/>
  <c r="L40" i="69"/>
  <c r="B26" i="72"/>
  <c r="B25" i="72"/>
  <c r="B24" i="72"/>
  <c r="B23" i="72"/>
  <c r="B22" i="72"/>
  <c r="B21" i="72"/>
  <c r="B20" i="72"/>
  <c r="B19" i="72"/>
  <c r="B18" i="72"/>
  <c r="B17" i="72"/>
  <c r="AP39" i="69"/>
  <c r="N39" i="69"/>
  <c r="U39" i="69"/>
  <c r="H135" i="22"/>
  <c r="AF38" i="69"/>
  <c r="Q38" i="69"/>
  <c r="O55" i="57"/>
  <c r="AG55" i="57" s="1"/>
  <c r="P55" i="57"/>
  <c r="AC36" i="69"/>
  <c r="AD36" i="69"/>
  <c r="AB37" i="69"/>
  <c r="AG37" i="69"/>
  <c r="O40" i="69"/>
  <c r="AO39" i="69"/>
  <c r="H112" i="22"/>
  <c r="H105" i="22"/>
  <c r="H107" i="22"/>
  <c r="H111" i="22"/>
  <c r="H118" i="22"/>
  <c r="V113" i="22"/>
  <c r="V116" i="22"/>
  <c r="V106" i="22"/>
  <c r="V103" i="22"/>
  <c r="H106" i="22"/>
  <c r="AY38" i="69"/>
  <c r="L55" i="57"/>
  <c r="H108" i="22"/>
  <c r="N55" i="57"/>
  <c r="AH38" i="69"/>
  <c r="G55" i="57"/>
  <c r="K55" i="57"/>
  <c r="I55" i="57"/>
  <c r="C55" i="57"/>
  <c r="M55" i="57" s="1"/>
  <c r="AJ55" i="57" s="1"/>
  <c r="E55" i="57"/>
  <c r="F55" i="57"/>
  <c r="J55" i="57"/>
  <c r="D55" i="57"/>
  <c r="H55" i="57"/>
  <c r="AN54" i="55" a="1"/>
  <c r="AN54" i="55"/>
  <c r="B56" i="57"/>
  <c r="AR40" i="67" a="1"/>
  <c r="AR40" i="67"/>
  <c r="B41" i="69"/>
  <c r="L41" i="69"/>
  <c r="D39" i="69"/>
  <c r="E39" i="69"/>
  <c r="F39" i="69"/>
  <c r="G39" i="69"/>
  <c r="H39" i="69"/>
  <c r="I39" i="69"/>
  <c r="J39" i="69"/>
  <c r="K39" i="69"/>
  <c r="M39" i="69"/>
  <c r="R38" i="69"/>
  <c r="S38" i="69"/>
  <c r="Y38" i="69"/>
  <c r="AE38" i="69"/>
  <c r="C40" i="69"/>
  <c r="P40" i="69"/>
  <c r="L15" i="29"/>
  <c r="AP40" i="69"/>
  <c r="N40" i="69"/>
  <c r="U40" i="69"/>
  <c r="AF39" i="69"/>
  <c r="Q39" i="69"/>
  <c r="O56" i="57"/>
  <c r="AG56" i="57" s="1"/>
  <c r="P56" i="57"/>
  <c r="AC37" i="69"/>
  <c r="AD37" i="69"/>
  <c r="AB38" i="69"/>
  <c r="AG38" i="69"/>
  <c r="O41" i="69"/>
  <c r="AO40" i="69"/>
  <c r="AY39" i="69"/>
  <c r="L56" i="57"/>
  <c r="N56" i="57"/>
  <c r="AH39" i="69"/>
  <c r="I56" i="57"/>
  <c r="C56" i="57"/>
  <c r="M56" i="57" s="1"/>
  <c r="K56" i="57"/>
  <c r="J56" i="57"/>
  <c r="F56" i="57"/>
  <c r="E56" i="57"/>
  <c r="H56" i="57"/>
  <c r="D56" i="57"/>
  <c r="G56" i="57"/>
  <c r="AN55" i="55" a="1"/>
  <c r="AN55" i="55"/>
  <c r="B57" i="57"/>
  <c r="AR41" i="67" a="1"/>
  <c r="AR41" i="67"/>
  <c r="B42" i="69"/>
  <c r="L42" i="69"/>
  <c r="C41" i="69"/>
  <c r="P41" i="69"/>
  <c r="D40" i="69"/>
  <c r="E40" i="69"/>
  <c r="F40" i="69"/>
  <c r="G40" i="69"/>
  <c r="H40" i="69"/>
  <c r="I40" i="69"/>
  <c r="J40" i="69"/>
  <c r="K40" i="69"/>
  <c r="M40" i="69"/>
  <c r="R39" i="69"/>
  <c r="S39" i="69"/>
  <c r="Y39" i="69"/>
  <c r="AE39" i="69"/>
  <c r="AP41" i="69"/>
  <c r="N41" i="69"/>
  <c r="U41" i="69"/>
  <c r="AF40" i="69"/>
  <c r="Q40" i="69"/>
  <c r="O57" i="57"/>
  <c r="AG57" i="57" s="1"/>
  <c r="P57" i="57"/>
  <c r="AC38" i="69"/>
  <c r="AD38" i="69"/>
  <c r="AB39" i="69"/>
  <c r="AG39" i="69"/>
  <c r="AO41" i="69"/>
  <c r="O42" i="69"/>
  <c r="AY40" i="69"/>
  <c r="L57" i="57"/>
  <c r="N57" i="57"/>
  <c r="AH40" i="69"/>
  <c r="I57" i="57"/>
  <c r="E57" i="57"/>
  <c r="D57" i="57"/>
  <c r="C57" i="57"/>
  <c r="M57" i="57" s="1"/>
  <c r="K57" i="57"/>
  <c r="H57" i="57"/>
  <c r="G57" i="57"/>
  <c r="F57" i="57"/>
  <c r="J57" i="57"/>
  <c r="AN56" i="55" a="1"/>
  <c r="AN56" i="55"/>
  <c r="B58" i="57"/>
  <c r="AE40" i="69"/>
  <c r="R40" i="69"/>
  <c r="S40" i="69"/>
  <c r="Y40" i="69"/>
  <c r="D41" i="69"/>
  <c r="E41" i="69"/>
  <c r="F41" i="69"/>
  <c r="G41" i="69"/>
  <c r="H41" i="69"/>
  <c r="I41" i="69"/>
  <c r="J41" i="69"/>
  <c r="K41" i="69"/>
  <c r="M41" i="69"/>
  <c r="C42" i="69"/>
  <c r="P42" i="69"/>
  <c r="AR42" i="67" a="1"/>
  <c r="AR42" i="67"/>
  <c r="B43" i="69"/>
  <c r="L43" i="69"/>
  <c r="B3" i="73"/>
  <c r="AP42" i="69"/>
  <c r="N42" i="69"/>
  <c r="U42" i="69"/>
  <c r="AF41" i="69"/>
  <c r="Q41" i="69"/>
  <c r="O58" i="57"/>
  <c r="AG58" i="57" s="1"/>
  <c r="P58" i="57"/>
  <c r="AC39" i="69"/>
  <c r="AD39" i="69"/>
  <c r="AB40" i="69"/>
  <c r="AG40" i="69"/>
  <c r="O43" i="69"/>
  <c r="AO42" i="69"/>
  <c r="AY41" i="69"/>
  <c r="L58" i="57"/>
  <c r="N58" i="57"/>
  <c r="AH41" i="69"/>
  <c r="D58" i="57"/>
  <c r="G58" i="57"/>
  <c r="K58" i="57"/>
  <c r="F58" i="57"/>
  <c r="E58" i="57"/>
  <c r="I58" i="57"/>
  <c r="C58" i="57"/>
  <c r="M58" i="57" s="1"/>
  <c r="H58" i="57"/>
  <c r="J58" i="57"/>
  <c r="AN57" i="55" a="1"/>
  <c r="AN57" i="55"/>
  <c r="B59" i="57"/>
  <c r="C43" i="69"/>
  <c r="P43" i="69"/>
  <c r="D42" i="69"/>
  <c r="E42" i="69"/>
  <c r="F42" i="69"/>
  <c r="G42" i="69"/>
  <c r="H42" i="69"/>
  <c r="I42" i="69"/>
  <c r="J42" i="69"/>
  <c r="K42" i="69"/>
  <c r="M42" i="69"/>
  <c r="R41" i="69"/>
  <c r="S41" i="69"/>
  <c r="Y41" i="69"/>
  <c r="AE41" i="69"/>
  <c r="AR43" i="67" a="1"/>
  <c r="AR43" i="67"/>
  <c r="B44" i="69"/>
  <c r="L44" i="69"/>
  <c r="AP43" i="69"/>
  <c r="N43" i="69"/>
  <c r="U43" i="69"/>
  <c r="AF42" i="69"/>
  <c r="Q42" i="69"/>
  <c r="O59" i="57"/>
  <c r="AG59" i="57" s="1"/>
  <c r="P59" i="57"/>
  <c r="AC40" i="69"/>
  <c r="AD40" i="69"/>
  <c r="AB41" i="69"/>
  <c r="AG41" i="69"/>
  <c r="O44" i="69"/>
  <c r="AO43" i="69"/>
  <c r="AY42" i="69"/>
  <c r="L59" i="57"/>
  <c r="N59" i="57"/>
  <c r="AH42" i="69"/>
  <c r="K59" i="57"/>
  <c r="G59" i="57"/>
  <c r="E59" i="57"/>
  <c r="D59" i="57"/>
  <c r="C59" i="57"/>
  <c r="M59" i="57" s="1"/>
  <c r="I59" i="57"/>
  <c r="H59" i="57"/>
  <c r="F59" i="57"/>
  <c r="J59" i="57"/>
  <c r="AN58" i="55" a="1"/>
  <c r="AN58" i="55"/>
  <c r="B60" i="57"/>
  <c r="C44" i="69"/>
  <c r="P44" i="69"/>
  <c r="D43" i="69"/>
  <c r="E43" i="69"/>
  <c r="F43" i="69"/>
  <c r="G43" i="69"/>
  <c r="H43" i="69"/>
  <c r="I43" i="69"/>
  <c r="J43" i="69"/>
  <c r="K43" i="69"/>
  <c r="M43" i="69"/>
  <c r="R42" i="69"/>
  <c r="S42" i="69"/>
  <c r="Y42" i="69"/>
  <c r="AE42" i="69"/>
  <c r="AR44" i="67" a="1"/>
  <c r="AR44" i="67"/>
  <c r="B45" i="69"/>
  <c r="L45" i="69"/>
  <c r="AP44" i="69"/>
  <c r="N44" i="69"/>
  <c r="U44" i="69"/>
  <c r="AF43" i="69"/>
  <c r="Q43" i="69"/>
  <c r="O60" i="57"/>
  <c r="P60" i="57"/>
  <c r="AC41" i="69"/>
  <c r="AD41" i="69"/>
  <c r="AB42" i="69"/>
  <c r="AG42" i="69"/>
  <c r="AO44" i="69"/>
  <c r="O45" i="69"/>
  <c r="AY43" i="69"/>
  <c r="L60" i="57"/>
  <c r="N60" i="57"/>
  <c r="AH43" i="69"/>
  <c r="K60" i="57"/>
  <c r="I60" i="57"/>
  <c r="F60" i="57"/>
  <c r="C60" i="57"/>
  <c r="M60" i="57" s="1"/>
  <c r="AJ60" i="57" s="1"/>
  <c r="H60" i="57"/>
  <c r="D60" i="57"/>
  <c r="G60" i="57"/>
  <c r="E60" i="57"/>
  <c r="J60" i="57"/>
  <c r="AN59" i="55" a="1"/>
  <c r="AN59" i="55"/>
  <c r="B61" i="57"/>
  <c r="R43" i="69"/>
  <c r="S43" i="69"/>
  <c r="Y43" i="69"/>
  <c r="AE43" i="69"/>
  <c r="C45" i="69"/>
  <c r="P45" i="69"/>
  <c r="AR45" i="67" a="1"/>
  <c r="AR45" i="67"/>
  <c r="B46" i="69"/>
  <c r="L46" i="69"/>
  <c r="D44" i="69"/>
  <c r="E44" i="69"/>
  <c r="F44" i="69"/>
  <c r="G44" i="69"/>
  <c r="H44" i="69"/>
  <c r="I44" i="69"/>
  <c r="J44" i="69"/>
  <c r="K44" i="69"/>
  <c r="M44" i="69"/>
  <c r="AB43" i="69"/>
  <c r="AC43" i="69"/>
  <c r="AD43" i="69"/>
  <c r="AP45" i="69"/>
  <c r="N45" i="69"/>
  <c r="U45" i="69"/>
  <c r="AF44" i="69"/>
  <c r="Q44" i="69"/>
  <c r="O61" i="57"/>
  <c r="AG61" i="57" s="1"/>
  <c r="P61" i="57"/>
  <c r="AC42" i="69"/>
  <c r="AD42" i="69"/>
  <c r="O46" i="69"/>
  <c r="AO45" i="69"/>
  <c r="AG43" i="69"/>
  <c r="AY44" i="69"/>
  <c r="L61" i="57"/>
  <c r="N61" i="57"/>
  <c r="AH44" i="69"/>
  <c r="G61" i="57"/>
  <c r="C61" i="57"/>
  <c r="M61" i="57" s="1"/>
  <c r="AK61" i="57" s="1"/>
  <c r="K61" i="57"/>
  <c r="I61" i="57"/>
  <c r="H61" i="57"/>
  <c r="E61" i="57"/>
  <c r="D61" i="57"/>
  <c r="J61" i="57"/>
  <c r="F61" i="57"/>
  <c r="AN60" i="55" a="1"/>
  <c r="AN60" i="55"/>
  <c r="B62" i="57"/>
  <c r="R44" i="69"/>
  <c r="S44" i="69"/>
  <c r="Y44" i="69"/>
  <c r="AE44" i="69"/>
  <c r="C46" i="69"/>
  <c r="P46" i="69"/>
  <c r="AR46" i="67" a="1"/>
  <c r="AR46" i="67"/>
  <c r="B47" i="69"/>
  <c r="L47" i="69"/>
  <c r="D45" i="69"/>
  <c r="E45" i="69"/>
  <c r="F45" i="69"/>
  <c r="G45" i="69"/>
  <c r="H45" i="69"/>
  <c r="I45" i="69"/>
  <c r="J45" i="69"/>
  <c r="K45" i="69"/>
  <c r="M45" i="69"/>
  <c r="AP46" i="69"/>
  <c r="N46" i="69"/>
  <c r="U46" i="69"/>
  <c r="AF45" i="69"/>
  <c r="Q45" i="69"/>
  <c r="O62" i="57"/>
  <c r="AG62" i="57" s="1"/>
  <c r="P62" i="57"/>
  <c r="AB44" i="69"/>
  <c r="AG44" i="69"/>
  <c r="O47" i="69"/>
  <c r="AO46" i="69"/>
  <c r="AY45" i="69"/>
  <c r="L62" i="57"/>
  <c r="N62" i="57"/>
  <c r="AH45" i="69"/>
  <c r="E62" i="57"/>
  <c r="J62" i="57"/>
  <c r="G62" i="57"/>
  <c r="C62" i="57"/>
  <c r="M62" i="57" s="1"/>
  <c r="K62" i="57"/>
  <c r="F62" i="57"/>
  <c r="H62" i="57"/>
  <c r="D62" i="57"/>
  <c r="I62" i="57"/>
  <c r="AN61" i="55" a="1"/>
  <c r="AN61" i="55"/>
  <c r="B63" i="57"/>
  <c r="AR47" i="67" a="1"/>
  <c r="AR47" i="67"/>
  <c r="B48" i="69"/>
  <c r="L48" i="69"/>
  <c r="R45" i="69"/>
  <c r="S45" i="69"/>
  <c r="Y45" i="69"/>
  <c r="AE45" i="69"/>
  <c r="C47" i="69"/>
  <c r="P47" i="69"/>
  <c r="D46" i="69"/>
  <c r="E46" i="69"/>
  <c r="F46" i="69"/>
  <c r="G46" i="69"/>
  <c r="H46" i="69"/>
  <c r="I46" i="69"/>
  <c r="J46" i="69"/>
  <c r="K46" i="69"/>
  <c r="M46" i="69"/>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AP47" i="69"/>
  <c r="N47" i="69"/>
  <c r="U47" i="69"/>
  <c r="AF46" i="69"/>
  <c r="Q46" i="69"/>
  <c r="O63" i="57"/>
  <c r="AG63" i="57" s="1"/>
  <c r="P63" i="57"/>
  <c r="AC44" i="69"/>
  <c r="AD44" i="69"/>
  <c r="AB45" i="69"/>
  <c r="AG45" i="69"/>
  <c r="AO47" i="69"/>
  <c r="O48" i="69"/>
  <c r="AY46" i="69"/>
  <c r="L63" i="57"/>
  <c r="N63" i="57"/>
  <c r="AH46" i="69"/>
  <c r="D63" i="57"/>
  <c r="K63" i="57"/>
  <c r="I63" i="57"/>
  <c r="H63" i="57"/>
  <c r="G63" i="57"/>
  <c r="E63" i="57"/>
  <c r="C63" i="57"/>
  <c r="M63" i="57" s="1"/>
  <c r="F63" i="57"/>
  <c r="J63" i="57"/>
  <c r="AN62" i="55" a="1"/>
  <c r="AN62" i="55"/>
  <c r="B64" i="57"/>
  <c r="AR48" i="67" a="1"/>
  <c r="AR48" i="67"/>
  <c r="B49" i="69"/>
  <c r="L49" i="69"/>
  <c r="R46" i="69"/>
  <c r="S46" i="69"/>
  <c r="Y46" i="69"/>
  <c r="AE46" i="69"/>
  <c r="C48" i="69"/>
  <c r="P48" i="69"/>
  <c r="D47" i="69"/>
  <c r="E47" i="69"/>
  <c r="F47" i="69"/>
  <c r="G47" i="69"/>
  <c r="H47" i="69"/>
  <c r="I47" i="69"/>
  <c r="J47" i="69"/>
  <c r="K47" i="69"/>
  <c r="M47" i="69"/>
  <c r="AP48" i="69"/>
  <c r="N48" i="69"/>
  <c r="U48" i="69"/>
  <c r="AF47" i="69"/>
  <c r="Q47" i="69"/>
  <c r="O64" i="57"/>
  <c r="AG64" i="57" s="1"/>
  <c r="P64" i="57"/>
  <c r="AC45" i="69"/>
  <c r="AD45" i="69"/>
  <c r="AB46" i="69"/>
  <c r="AG46" i="69"/>
  <c r="AO48" i="69"/>
  <c r="O49" i="69"/>
  <c r="AY47" i="69"/>
  <c r="L64" i="57"/>
  <c r="N64" i="57"/>
  <c r="AH47" i="69"/>
  <c r="E64" i="57"/>
  <c r="K64" i="57"/>
  <c r="J64" i="57"/>
  <c r="I64" i="57"/>
  <c r="F64" i="57"/>
  <c r="C64" i="57"/>
  <c r="M64" i="57" s="1"/>
  <c r="AK64" i="57" s="1"/>
  <c r="H64" i="57"/>
  <c r="D64" i="57"/>
  <c r="G64" i="57"/>
  <c r="AN63" i="55" a="1"/>
  <c r="AN63" i="55"/>
  <c r="B65" i="57"/>
  <c r="D48" i="69"/>
  <c r="E48" i="69"/>
  <c r="F48" i="69"/>
  <c r="G48" i="69"/>
  <c r="H48" i="69"/>
  <c r="I48" i="69"/>
  <c r="J48" i="69"/>
  <c r="K48" i="69"/>
  <c r="M48" i="69"/>
  <c r="AE47" i="69"/>
  <c r="R47" i="69"/>
  <c r="S47" i="69"/>
  <c r="Y47" i="69"/>
  <c r="C49" i="69"/>
  <c r="P49" i="69"/>
  <c r="AR49" i="67" a="1"/>
  <c r="AR49" i="67"/>
  <c r="B50" i="69"/>
  <c r="L50" i="69"/>
  <c r="M15" i="29"/>
  <c r="A96" i="22"/>
  <c r="T96" i="22"/>
  <c r="B96" i="22"/>
  <c r="C96" i="22"/>
  <c r="A97" i="22"/>
  <c r="B97" i="22"/>
  <c r="C97" i="22"/>
  <c r="A98" i="22"/>
  <c r="B98" i="22"/>
  <c r="C98" i="22"/>
  <c r="A99" i="22"/>
  <c r="B99" i="22"/>
  <c r="C99" i="22"/>
  <c r="A100" i="22"/>
  <c r="B100" i="22"/>
  <c r="C100" i="22"/>
  <c r="A101" i="22"/>
  <c r="B101" i="22"/>
  <c r="C101" i="22"/>
  <c r="A102" i="22"/>
  <c r="X102" i="22"/>
  <c r="B102" i="22"/>
  <c r="C102" i="22"/>
  <c r="A5" i="22"/>
  <c r="B5" i="22"/>
  <c r="C5" i="22"/>
  <c r="A6" i="22"/>
  <c r="B6" i="22"/>
  <c r="C6" i="22"/>
  <c r="A7" i="22"/>
  <c r="B7" i="22"/>
  <c r="C7" i="22"/>
  <c r="A8" i="22"/>
  <c r="X8" i="22"/>
  <c r="B8" i="22"/>
  <c r="C8" i="22"/>
  <c r="A9" i="22"/>
  <c r="B9" i="22"/>
  <c r="C9" i="22"/>
  <c r="A10" i="22"/>
  <c r="B10" i="22"/>
  <c r="C10" i="22"/>
  <c r="A11" i="22"/>
  <c r="B11" i="22"/>
  <c r="C11" i="22"/>
  <c r="A12" i="22"/>
  <c r="B12" i="22"/>
  <c r="C12" i="22"/>
  <c r="A13" i="22"/>
  <c r="B13" i="22"/>
  <c r="C13" i="22"/>
  <c r="A14" i="22"/>
  <c r="B14" i="22"/>
  <c r="C14" i="22"/>
  <c r="A15" i="22"/>
  <c r="X15" i="22"/>
  <c r="B15" i="22"/>
  <c r="C15" i="22"/>
  <c r="A16" i="22"/>
  <c r="B16" i="22"/>
  <c r="C16" i="22"/>
  <c r="A17" i="22"/>
  <c r="B17" i="22"/>
  <c r="C17" i="22"/>
  <c r="A18" i="22"/>
  <c r="T18" i="22"/>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c r="B30" i="22"/>
  <c r="C30" i="22"/>
  <c r="A31" i="22"/>
  <c r="B31" i="22"/>
  <c r="C31" i="22"/>
  <c r="A32" i="22"/>
  <c r="T32" i="22"/>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F84" i="22"/>
  <c r="X84" i="22"/>
  <c r="T84" i="22"/>
  <c r="F72" i="22"/>
  <c r="T72" i="22"/>
  <c r="X72" i="22"/>
  <c r="T64" i="22"/>
  <c r="X64" i="22"/>
  <c r="T57" i="22"/>
  <c r="X57" i="22"/>
  <c r="X48" i="22"/>
  <c r="T48" i="22"/>
  <c r="F39" i="22"/>
  <c r="X39" i="22"/>
  <c r="T39" i="22"/>
  <c r="AC15" i="11"/>
  <c r="Q15" i="11"/>
  <c r="F22" i="22" s="1"/>
  <c r="X22" i="22"/>
  <c r="T22" i="22"/>
  <c r="X6" i="22"/>
  <c r="T6" i="22"/>
  <c r="F89" i="22"/>
  <c r="T89" i="22"/>
  <c r="X89" i="22"/>
  <c r="F81" i="22"/>
  <c r="X81" i="22"/>
  <c r="T81" i="22"/>
  <c r="T69" i="22"/>
  <c r="X69" i="22"/>
  <c r="AC14" i="11"/>
  <c r="Q14" i="11"/>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C91" i="36" s="1"/>
  <c r="AL35" i="22"/>
  <c r="D72" i="36"/>
  <c r="AK35" i="22"/>
  <c r="C72" i="36"/>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F31" i="22"/>
  <c r="X31" i="22"/>
  <c r="T31" i="22"/>
  <c r="T23" i="22"/>
  <c r="X23" i="22"/>
  <c r="F7" i="22"/>
  <c r="T7" i="22"/>
  <c r="X7" i="22"/>
  <c r="T97" i="22"/>
  <c r="X97" i="22"/>
  <c r="AP49" i="69"/>
  <c r="N49" i="69"/>
  <c r="U49" i="69"/>
  <c r="AW151" i="22"/>
  <c r="AW80" i="22"/>
  <c r="AW134" i="22"/>
  <c r="S4" i="22"/>
  <c r="AF48" i="69"/>
  <c r="Q48" i="69"/>
  <c r="O65" i="57"/>
  <c r="AG65" i="57" s="1"/>
  <c r="P65" i="57"/>
  <c r="AC46" i="69"/>
  <c r="AD46" i="69"/>
  <c r="AB47" i="69"/>
  <c r="AG47" i="69"/>
  <c r="O50" i="69"/>
  <c r="AO49" i="69"/>
  <c r="U4" i="22"/>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AW84" i="22" s="1"/>
  <c r="S13" i="22"/>
  <c r="E13" i="22"/>
  <c r="S6" i="22"/>
  <c r="E6" i="22"/>
  <c r="E96" i="22"/>
  <c r="AW99" i="22" s="1"/>
  <c r="S96" i="22"/>
  <c r="S76" i="22"/>
  <c r="AK34" i="22"/>
  <c r="C73" i="36"/>
  <c r="E76" i="22"/>
  <c r="AW105" i="22" s="1"/>
  <c r="S68" i="22"/>
  <c r="E68" i="22"/>
  <c r="S41" i="22"/>
  <c r="E41" i="22"/>
  <c r="S52" i="22"/>
  <c r="E52" i="22"/>
  <c r="S44" i="22"/>
  <c r="E44" i="22"/>
  <c r="E34" i="22"/>
  <c r="S34" i="22"/>
  <c r="S26" i="22"/>
  <c r="E26" i="22"/>
  <c r="S18" i="22"/>
  <c r="E18" i="22"/>
  <c r="E10" i="22"/>
  <c r="AW114" i="22" s="1"/>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N65" i="57"/>
  <c r="AH48" i="69"/>
  <c r="G65" i="57"/>
  <c r="C65" i="57"/>
  <c r="M65" i="57" s="1"/>
  <c r="K65" i="57"/>
  <c r="I65" i="57"/>
  <c r="H65" i="57"/>
  <c r="E65" i="57"/>
  <c r="D65" i="57"/>
  <c r="F65" i="57"/>
  <c r="J65" i="57"/>
  <c r="AW139" i="22"/>
  <c r="AW102" i="22"/>
  <c r="AW101" i="22"/>
  <c r="AK16" i="22"/>
  <c r="C51" i="36" s="1"/>
  <c r="C90" i="36" s="1"/>
  <c r="AK33" i="22"/>
  <c r="AN64" i="55" a="1"/>
  <c r="AN64" i="55"/>
  <c r="B66" i="57"/>
  <c r="D49" i="69"/>
  <c r="E49" i="69"/>
  <c r="F49" i="69"/>
  <c r="G49" i="69"/>
  <c r="H49" i="69"/>
  <c r="I49" i="69"/>
  <c r="J49" i="69"/>
  <c r="K49" i="69"/>
  <c r="M49" i="69"/>
  <c r="C50" i="69"/>
  <c r="P50" i="69"/>
  <c r="AR50" i="67" a="1"/>
  <c r="AR50" i="67"/>
  <c r="B51" i="69"/>
  <c r="L51" i="69"/>
  <c r="AE48" i="69"/>
  <c r="R48" i="69"/>
  <c r="S48" i="69"/>
  <c r="Y48" i="69"/>
  <c r="V97" i="22"/>
  <c r="U97" i="22"/>
  <c r="V49" i="22"/>
  <c r="U49" i="22"/>
  <c r="U81" i="22"/>
  <c r="V81" i="22"/>
  <c r="U60" i="22"/>
  <c r="V60" i="22"/>
  <c r="U43" i="22"/>
  <c r="V43" i="22"/>
  <c r="AK30" i="22"/>
  <c r="C68" i="36"/>
  <c r="AK32" i="22"/>
  <c r="C70" i="36"/>
  <c r="AK29" i="22"/>
  <c r="C67" i="36"/>
  <c r="AK31" i="22"/>
  <c r="C69" i="36"/>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C48" i="36" s="1"/>
  <c r="C87" i="36" s="1"/>
  <c r="AK14" i="22"/>
  <c r="AK15" i="22"/>
  <c r="C50" i="36" s="1"/>
  <c r="C89" i="36" s="1"/>
  <c r="K99" i="22"/>
  <c r="G98" i="22"/>
  <c r="W97" i="22"/>
  <c r="K97" i="22"/>
  <c r="G96" i="22"/>
  <c r="G102" i="22"/>
  <c r="W101" i="22"/>
  <c r="K101" i="22"/>
  <c r="G100" i="22"/>
  <c r="W99" i="22"/>
  <c r="W102" i="22"/>
  <c r="G99" i="22"/>
  <c r="W98" i="22"/>
  <c r="K98" i="22"/>
  <c r="G97" i="22"/>
  <c r="W96" i="22"/>
  <c r="K96" i="22"/>
  <c r="W100" i="22"/>
  <c r="Q4" i="29"/>
  <c r="E6" i="28"/>
  <c r="Q5" i="29"/>
  <c r="E7" i="28"/>
  <c r="Q6" i="29"/>
  <c r="E8" i="28"/>
  <c r="Q7" i="29"/>
  <c r="E9" i="28"/>
  <c r="Q8" i="29"/>
  <c r="E10" i="28"/>
  <c r="Q9" i="29"/>
  <c r="E11" i="28"/>
  <c r="Q10" i="29"/>
  <c r="E12" i="28"/>
  <c r="Q11" i="29"/>
  <c r="E13" i="28"/>
  <c r="Q12" i="29"/>
  <c r="E14" i="28"/>
  <c r="Q13" i="29"/>
  <c r="E15" i="28"/>
  <c r="Q14" i="29"/>
  <c r="E16" i="28"/>
  <c r="Q15" i="29"/>
  <c r="E17" i="28"/>
  <c r="Q16" i="29"/>
  <c r="E18" i="28"/>
  <c r="Q17" i="29"/>
  <c r="E19" i="28"/>
  <c r="Q18" i="29"/>
  <c r="E20" i="28"/>
  <c r="Q19" i="29"/>
  <c r="E21" i="28"/>
  <c r="Q20" i="29"/>
  <c r="E22" i="28"/>
  <c r="Q21" i="29"/>
  <c r="E23" i="28"/>
  <c r="Q22" i="29"/>
  <c r="E24" i="28"/>
  <c r="Q23" i="29"/>
  <c r="E25" i="28"/>
  <c r="Q24" i="29"/>
  <c r="E26" i="28"/>
  <c r="Q25" i="29"/>
  <c r="E27" i="28"/>
  <c r="Q26" i="29"/>
  <c r="E28" i="28"/>
  <c r="Q27" i="29"/>
  <c r="E29" i="28"/>
  <c r="Q28" i="29"/>
  <c r="E30" i="28"/>
  <c r="Q29" i="29"/>
  <c r="E31" i="28"/>
  <c r="Q30" i="29"/>
  <c r="E32" i="28"/>
  <c r="Q31" i="29"/>
  <c r="E34" i="28"/>
  <c r="Q32" i="29"/>
  <c r="E35" i="28"/>
  <c r="Q33" i="29"/>
  <c r="E36" i="28"/>
  <c r="Q34" i="29"/>
  <c r="E37" i="28"/>
  <c r="Q35" i="29"/>
  <c r="E38" i="28"/>
  <c r="Q36" i="29"/>
  <c r="E39" i="28"/>
  <c r="Q38" i="29"/>
  <c r="E40" i="28"/>
  <c r="Q39" i="29"/>
  <c r="E53" i="28"/>
  <c r="Q41" i="29"/>
  <c r="E55" i="28"/>
  <c r="Q42" i="29"/>
  <c r="E56" i="28"/>
  <c r="Q43" i="29"/>
  <c r="E57" i="28"/>
  <c r="Q44" i="29"/>
  <c r="E58" i="28"/>
  <c r="Q45" i="29"/>
  <c r="E59" i="28"/>
  <c r="Q46" i="29"/>
  <c r="E61" i="28"/>
  <c r="Q47" i="29"/>
  <c r="E60" i="28"/>
  <c r="Q48" i="29"/>
  <c r="E62" i="28"/>
  <c r="Q49" i="29"/>
  <c r="E63" i="28"/>
  <c r="Q50" i="29"/>
  <c r="E72" i="28"/>
  <c r="Q51" i="29"/>
  <c r="E73" i="28"/>
  <c r="Q52" i="29"/>
  <c r="E74" i="28"/>
  <c r="Q53" i="29"/>
  <c r="E79" i="28"/>
  <c r="Q55" i="29"/>
  <c r="E75" i="28"/>
  <c r="Q56" i="29"/>
  <c r="E76" i="28"/>
  <c r="Q57" i="29"/>
  <c r="E77" i="28"/>
  <c r="Q58" i="29"/>
  <c r="E78" i="28"/>
  <c r="Q59" i="29"/>
  <c r="E83" i="28"/>
  <c r="Q40" i="29"/>
  <c r="E54" i="28"/>
  <c r="Q60" i="29"/>
  <c r="E84" i="28"/>
  <c r="Q61" i="29"/>
  <c r="E85" i="28"/>
  <c r="Q62" i="29"/>
  <c r="E86" i="28"/>
  <c r="Q63" i="29"/>
  <c r="E87" i="28"/>
  <c r="Q64" i="29"/>
  <c r="E88" i="28"/>
  <c r="Q65" i="29"/>
  <c r="E89" i="28"/>
  <c r="Q66" i="29"/>
  <c r="E90" i="28"/>
  <c r="Q67" i="29"/>
  <c r="E91" i="28"/>
  <c r="Q68" i="29"/>
  <c r="E92" i="28"/>
  <c r="Q69" i="29"/>
  <c r="E93" i="28"/>
  <c r="Q70" i="29"/>
  <c r="E94" i="28"/>
  <c r="Q71" i="29"/>
  <c r="E95" i="28"/>
  <c r="Q72" i="29"/>
  <c r="E96" i="28"/>
  <c r="Q73" i="29"/>
  <c r="E97" i="28"/>
  <c r="Q74" i="29"/>
  <c r="E98" i="28"/>
  <c r="Q80" i="29"/>
  <c r="E99" i="28"/>
  <c r="Q75" i="29"/>
  <c r="E100" i="28"/>
  <c r="Q76" i="29"/>
  <c r="E101" i="28"/>
  <c r="Q77" i="29"/>
  <c r="E81" i="28"/>
  <c r="Q79" i="29"/>
  <c r="E102" i="28"/>
  <c r="Q82" i="29"/>
  <c r="E103" i="28"/>
  <c r="Q83" i="29"/>
  <c r="E104" i="28"/>
  <c r="Q84" i="29"/>
  <c r="E105" i="28"/>
  <c r="Q85" i="29"/>
  <c r="E106" i="28"/>
  <c r="Q86" i="29"/>
  <c r="E107" i="28"/>
  <c r="Q87" i="29"/>
  <c r="E108" i="28"/>
  <c r="Q88" i="29"/>
  <c r="E109" i="28"/>
  <c r="Q89" i="29"/>
  <c r="E110" i="28"/>
  <c r="Q90" i="29"/>
  <c r="E111" i="28"/>
  <c r="Q91" i="29"/>
  <c r="E112" i="28"/>
  <c r="Q92" i="29"/>
  <c r="E113" i="28"/>
  <c r="Q93" i="29"/>
  <c r="E114" i="28"/>
  <c r="Q94" i="29"/>
  <c r="E115" i="28"/>
  <c r="Q95" i="29"/>
  <c r="E116" i="28"/>
  <c r="Q96" i="29"/>
  <c r="E117" i="28"/>
  <c r="Q97" i="29"/>
  <c r="E118" i="28"/>
  <c r="Q98" i="29"/>
  <c r="E119" i="28"/>
  <c r="Q99" i="29"/>
  <c r="E120" i="28"/>
  <c r="Q100" i="29"/>
  <c r="E121" i="28"/>
  <c r="Q101" i="29"/>
  <c r="E122" i="28"/>
  <c r="Q102" i="29"/>
  <c r="E123" i="28"/>
  <c r="Q3" i="29"/>
  <c r="O4" i="29"/>
  <c r="C6" i="28"/>
  <c r="O5" i="29"/>
  <c r="C7" i="28"/>
  <c r="O6" i="29"/>
  <c r="C8" i="28"/>
  <c r="O7" i="29"/>
  <c r="O8" i="29"/>
  <c r="C10" i="28"/>
  <c r="O9" i="29"/>
  <c r="C11" i="28"/>
  <c r="O10" i="29"/>
  <c r="C12" i="28"/>
  <c r="O11" i="29"/>
  <c r="C13" i="28"/>
  <c r="O12" i="29"/>
  <c r="C14" i="28"/>
  <c r="O13" i="29"/>
  <c r="C15" i="28"/>
  <c r="O14" i="29"/>
  <c r="C16" i="28"/>
  <c r="O15" i="29"/>
  <c r="C17" i="28"/>
  <c r="O16" i="29"/>
  <c r="O17" i="29"/>
  <c r="C19" i="28"/>
  <c r="O18" i="29"/>
  <c r="C20" i="28"/>
  <c r="O19" i="29"/>
  <c r="C21" i="28"/>
  <c r="O20" i="29"/>
  <c r="C22" i="28"/>
  <c r="O21" i="29"/>
  <c r="C23" i="28"/>
  <c r="O22" i="29"/>
  <c r="C24" i="28"/>
  <c r="O23" i="29"/>
  <c r="C25" i="28"/>
  <c r="O24" i="29"/>
  <c r="C26" i="28"/>
  <c r="O25" i="29"/>
  <c r="C27" i="28"/>
  <c r="O26" i="29"/>
  <c r="C28" i="28"/>
  <c r="O27" i="29"/>
  <c r="C29" i="28"/>
  <c r="O28" i="29"/>
  <c r="C30" i="28"/>
  <c r="O29" i="29"/>
  <c r="C31" i="28"/>
  <c r="O30" i="29"/>
  <c r="C32" i="28"/>
  <c r="O31" i="29"/>
  <c r="C34" i="28"/>
  <c r="O32" i="29"/>
  <c r="C35" i="28"/>
  <c r="O33" i="29"/>
  <c r="C36" i="28"/>
  <c r="O34" i="29"/>
  <c r="C37" i="28"/>
  <c r="O35" i="29"/>
  <c r="C38" i="28"/>
  <c r="O36" i="29"/>
  <c r="C39" i="28"/>
  <c r="O38" i="29"/>
  <c r="C40" i="28"/>
  <c r="O39" i="29"/>
  <c r="C53" i="28"/>
  <c r="O41" i="29"/>
  <c r="C55" i="28"/>
  <c r="O42" i="29"/>
  <c r="C56" i="28"/>
  <c r="O43" i="29"/>
  <c r="C57" i="28"/>
  <c r="O44" i="29"/>
  <c r="C58" i="28"/>
  <c r="O45" i="29"/>
  <c r="C59" i="28"/>
  <c r="O46" i="29"/>
  <c r="C61" i="28"/>
  <c r="O47" i="29"/>
  <c r="C60" i="28"/>
  <c r="O48" i="29"/>
  <c r="C62" i="28"/>
  <c r="O49" i="29"/>
  <c r="C63" i="28"/>
  <c r="O50" i="29"/>
  <c r="C72" i="28"/>
  <c r="O51" i="29"/>
  <c r="C73" i="28"/>
  <c r="O52" i="29"/>
  <c r="C74" i="28"/>
  <c r="O53" i="29"/>
  <c r="C79" i="28"/>
  <c r="O55" i="29"/>
  <c r="C75" i="28"/>
  <c r="O56" i="29"/>
  <c r="C76" i="28"/>
  <c r="O57" i="29"/>
  <c r="C77" i="28"/>
  <c r="O58" i="29"/>
  <c r="C78" i="28"/>
  <c r="O59" i="29"/>
  <c r="C83" i="28"/>
  <c r="O40" i="29"/>
  <c r="C54" i="28"/>
  <c r="O60" i="29"/>
  <c r="C84" i="28"/>
  <c r="O61" i="29"/>
  <c r="C85" i="28"/>
  <c r="O62" i="29"/>
  <c r="C86" i="28"/>
  <c r="O63" i="29"/>
  <c r="C87" i="28"/>
  <c r="O64" i="29"/>
  <c r="C88" i="28"/>
  <c r="O65" i="29"/>
  <c r="C89" i="28"/>
  <c r="O66" i="29"/>
  <c r="C90" i="28"/>
  <c r="O67" i="29"/>
  <c r="C91" i="28"/>
  <c r="O68" i="29"/>
  <c r="C92" i="28"/>
  <c r="O69" i="29"/>
  <c r="C93" i="28"/>
  <c r="O70" i="29"/>
  <c r="C94" i="28"/>
  <c r="O71" i="29"/>
  <c r="C95" i="28"/>
  <c r="O72" i="29"/>
  <c r="C96" i="28"/>
  <c r="O73" i="29"/>
  <c r="C97" i="28"/>
  <c r="O74" i="29"/>
  <c r="C98" i="28"/>
  <c r="O80" i="29"/>
  <c r="C99" i="28"/>
  <c r="O75" i="29"/>
  <c r="C100" i="28"/>
  <c r="O76" i="29"/>
  <c r="C101" i="28"/>
  <c r="O77" i="29"/>
  <c r="C81" i="28"/>
  <c r="O79" i="29"/>
  <c r="C102" i="28"/>
  <c r="O82" i="29"/>
  <c r="C103" i="28"/>
  <c r="O83" i="29"/>
  <c r="C104" i="28"/>
  <c r="O84" i="29"/>
  <c r="C105" i="28"/>
  <c r="O85" i="29"/>
  <c r="C106" i="28"/>
  <c r="O86" i="29"/>
  <c r="C107" i="28"/>
  <c r="O87" i="29"/>
  <c r="C108" i="28"/>
  <c r="O88" i="29"/>
  <c r="C109" i="28"/>
  <c r="O89" i="29"/>
  <c r="C110" i="28"/>
  <c r="O90" i="29"/>
  <c r="C111" i="28"/>
  <c r="O91" i="29"/>
  <c r="C112" i="28"/>
  <c r="O92" i="29"/>
  <c r="C113" i="28"/>
  <c r="O93" i="29"/>
  <c r="C114" i="28"/>
  <c r="O94" i="29"/>
  <c r="C115" i="28"/>
  <c r="O95" i="29"/>
  <c r="C116" i="28"/>
  <c r="O96" i="29"/>
  <c r="C117" i="28"/>
  <c r="O97" i="29"/>
  <c r="C118" i="28"/>
  <c r="O98" i="29"/>
  <c r="C119" i="28"/>
  <c r="O99" i="29"/>
  <c r="C120" i="28"/>
  <c r="O100" i="29"/>
  <c r="C121" i="28"/>
  <c r="O101" i="29"/>
  <c r="C122" i="28"/>
  <c r="O102" i="29"/>
  <c r="C123" i="28"/>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c r="C53" i="36" s="1"/>
  <c r="C92" i="36" s="1"/>
  <c r="AK26" i="22"/>
  <c r="AP50" i="69"/>
  <c r="N50" i="69"/>
  <c r="U50" i="69"/>
  <c r="C71" i="36"/>
  <c r="O11" i="71"/>
  <c r="AF49" i="69"/>
  <c r="Q49" i="69"/>
  <c r="O66" i="57"/>
  <c r="AG66" i="57" s="1"/>
  <c r="P66" i="57"/>
  <c r="AC47" i="69"/>
  <c r="AD47" i="69"/>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c r="W17" i="71"/>
  <c r="X17" i="71"/>
  <c r="O229" i="71"/>
  <c r="O197" i="71"/>
  <c r="O161" i="71"/>
  <c r="O129" i="71"/>
  <c r="O148" i="71"/>
  <c r="O100" i="71"/>
  <c r="O84" i="71"/>
  <c r="O68" i="71"/>
  <c r="O52" i="71"/>
  <c r="O36" i="71"/>
  <c r="O20" i="71"/>
  <c r="O12" i="71"/>
  <c r="R12" i="7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c r="W19" i="71"/>
  <c r="X19" i="7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c r="W18" i="71"/>
  <c r="X18" i="7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R30" i="46" s="1"/>
  <c r="V30" i="46" s="1"/>
  <c r="W30" i="46" s="1"/>
  <c r="X30" i="46" s="1"/>
  <c r="AE198" i="46"/>
  <c r="AE221" i="46"/>
  <c r="AE33" i="46"/>
  <c r="R33" i="46" s="1"/>
  <c r="V33" i="46" s="1"/>
  <c r="W33" i="46" s="1"/>
  <c r="X33" i="46" s="1"/>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R31" i="46" s="1"/>
  <c r="V31" i="46" s="1"/>
  <c r="W31" i="46" s="1"/>
  <c r="X31" i="46" s="1"/>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R17" i="46" s="1"/>
  <c r="V17" i="46" s="1"/>
  <c r="W17" i="46" s="1"/>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N66" i="57"/>
  <c r="AH49" i="69"/>
  <c r="E66" i="57"/>
  <c r="J66" i="57"/>
  <c r="H66" i="57"/>
  <c r="D66" i="57"/>
  <c r="K66" i="57"/>
  <c r="F66" i="57"/>
  <c r="I66" i="57"/>
  <c r="C66" i="57"/>
  <c r="M66" i="57" s="1"/>
  <c r="G66" i="57"/>
  <c r="AN65" i="55" a="1"/>
  <c r="AN65" i="55"/>
  <c r="B67" i="57"/>
  <c r="C51" i="69"/>
  <c r="P51" i="69"/>
  <c r="AR51" i="67" a="1"/>
  <c r="AR51" i="67"/>
  <c r="B52" i="69"/>
  <c r="L52" i="69"/>
  <c r="D50" i="69"/>
  <c r="E50" i="69"/>
  <c r="F50" i="69"/>
  <c r="G50" i="69"/>
  <c r="H50" i="69"/>
  <c r="I50" i="69"/>
  <c r="J50" i="69"/>
  <c r="K50" i="69"/>
  <c r="M50" i="69"/>
  <c r="R49" i="69"/>
  <c r="S49" i="69"/>
  <c r="Y49" i="69"/>
  <c r="AE49" i="69"/>
  <c r="C18" i="28"/>
  <c r="E5" i="28"/>
  <c r="C9" i="28"/>
  <c r="C5" i="28"/>
  <c r="O106" i="46"/>
  <c r="S106" i="46"/>
  <c r="T106" i="46" s="1"/>
  <c r="Y106" i="46" s="1"/>
  <c r="O90" i="46"/>
  <c r="S90" i="46"/>
  <c r="T90" i="46" s="1"/>
  <c r="O74" i="46"/>
  <c r="S74" i="46" s="1"/>
  <c r="T74" i="46" s="1"/>
  <c r="O58" i="46"/>
  <c r="S58" i="46"/>
  <c r="T58" i="46" s="1"/>
  <c r="O251" i="46"/>
  <c r="S251" i="46" s="1"/>
  <c r="T251" i="46"/>
  <c r="O217" i="46"/>
  <c r="S217" i="46"/>
  <c r="T217" i="46" s="1"/>
  <c r="O185" i="46"/>
  <c r="S185" i="46" s="1"/>
  <c r="T185" i="46" s="1"/>
  <c r="O153" i="46"/>
  <c r="S153" i="46"/>
  <c r="T153" i="46" s="1"/>
  <c r="Y153" i="46" s="1"/>
  <c r="O121" i="46"/>
  <c r="S121" i="46" s="1"/>
  <c r="T121" i="46" s="1"/>
  <c r="O71" i="46"/>
  <c r="S71" i="46"/>
  <c r="T71" i="46" s="1"/>
  <c r="S26" i="46"/>
  <c r="T26" i="46" s="1"/>
  <c r="O253" i="46"/>
  <c r="S253" i="46"/>
  <c r="T253" i="46" s="1"/>
  <c r="O214" i="46"/>
  <c r="S214" i="46"/>
  <c r="T214" i="46" s="1"/>
  <c r="O182" i="46"/>
  <c r="S182" i="46" s="1"/>
  <c r="T182" i="46" s="1"/>
  <c r="O150" i="46"/>
  <c r="S150" i="46"/>
  <c r="T150" i="46"/>
  <c r="O118" i="46"/>
  <c r="S118" i="46" s="1"/>
  <c r="T118" i="46" s="1"/>
  <c r="Y118" i="46" s="1"/>
  <c r="O73" i="46"/>
  <c r="S73" i="46"/>
  <c r="T73" i="46" s="1"/>
  <c r="Y73" i="46" s="1"/>
  <c r="O236" i="46"/>
  <c r="S236" i="46"/>
  <c r="T236" i="46"/>
  <c r="O173" i="46"/>
  <c r="O109" i="46"/>
  <c r="S109" i="46" s="1"/>
  <c r="T109" i="46"/>
  <c r="O14" i="46"/>
  <c r="R14" i="46" s="1"/>
  <c r="O197" i="46"/>
  <c r="S197" i="46"/>
  <c r="T197" i="46" s="1"/>
  <c r="O159" i="46"/>
  <c r="S159" i="46" s="1"/>
  <c r="T159" i="46"/>
  <c r="O85" i="46"/>
  <c r="S85" i="46"/>
  <c r="T85" i="46" s="1"/>
  <c r="O215" i="46"/>
  <c r="S215" i="46" s="1"/>
  <c r="T215" i="46" s="1"/>
  <c r="O151" i="46"/>
  <c r="S151" i="46"/>
  <c r="T151" i="46" s="1"/>
  <c r="Y151" i="46" s="1"/>
  <c r="O61" i="46"/>
  <c r="S61" i="46"/>
  <c r="T61" i="46" s="1"/>
  <c r="O160" i="46"/>
  <c r="S160" i="46"/>
  <c r="T160" i="46" s="1"/>
  <c r="O175" i="46"/>
  <c r="S175" i="46"/>
  <c r="T175" i="46"/>
  <c r="Y175" i="46" s="1"/>
  <c r="O104" i="46"/>
  <c r="S104" i="46"/>
  <c r="T104" i="46" s="1"/>
  <c r="O88" i="46"/>
  <c r="S88" i="46" s="1"/>
  <c r="T88" i="46" s="1"/>
  <c r="O72" i="46"/>
  <c r="S72" i="46"/>
  <c r="T72" i="46"/>
  <c r="O56" i="46"/>
  <c r="S56" i="46" s="1"/>
  <c r="T56" i="46" s="1"/>
  <c r="O248" i="46"/>
  <c r="S248" i="46"/>
  <c r="T248" i="46" s="1"/>
  <c r="O212" i="46"/>
  <c r="S212" i="46"/>
  <c r="T212" i="46"/>
  <c r="O180" i="46"/>
  <c r="S180" i="46"/>
  <c r="T180" i="46" s="1"/>
  <c r="O148" i="46"/>
  <c r="S148" i="46" s="1"/>
  <c r="T148" i="46" s="1"/>
  <c r="O116" i="46"/>
  <c r="S116" i="46"/>
  <c r="T116" i="46" s="1"/>
  <c r="O63" i="46"/>
  <c r="S63" i="46" s="1"/>
  <c r="T63" i="46"/>
  <c r="O250" i="46"/>
  <c r="S250" i="46"/>
  <c r="T250" i="46" s="1"/>
  <c r="O211" i="46"/>
  <c r="S211" i="46" s="1"/>
  <c r="T211" i="46" s="1"/>
  <c r="O179" i="46"/>
  <c r="S179" i="46"/>
  <c r="T179" i="46" s="1"/>
  <c r="Y179" i="46" s="1"/>
  <c r="O147" i="46"/>
  <c r="S147" i="46"/>
  <c r="T147" i="46" s="1"/>
  <c r="O115" i="46"/>
  <c r="S115" i="46"/>
  <c r="T115" i="46" s="1"/>
  <c r="O65" i="46"/>
  <c r="S65" i="46"/>
  <c r="T65" i="46"/>
  <c r="Y65" i="46" s="1"/>
  <c r="O226" i="46"/>
  <c r="S226" i="46"/>
  <c r="T226" i="46" s="1"/>
  <c r="O168" i="46"/>
  <c r="S168" i="46" s="1"/>
  <c r="T168" i="46" s="1"/>
  <c r="Y168" i="46" s="1"/>
  <c r="O99" i="46"/>
  <c r="S99" i="46"/>
  <c r="T99" i="46"/>
  <c r="O181" i="46"/>
  <c r="S181" i="46" s="1"/>
  <c r="T181" i="46" s="1"/>
  <c r="O154" i="46"/>
  <c r="S154" i="46"/>
  <c r="T154" i="46" s="1"/>
  <c r="O16" i="46"/>
  <c r="R16" i="46"/>
  <c r="O210" i="46"/>
  <c r="S210" i="46" s="1"/>
  <c r="T210" i="46" s="1"/>
  <c r="Y210" i="46" s="1"/>
  <c r="O146" i="46"/>
  <c r="S146" i="46"/>
  <c r="T146" i="46" s="1"/>
  <c r="O45" i="46"/>
  <c r="S45" i="46"/>
  <c r="T45" i="46"/>
  <c r="O149" i="46"/>
  <c r="S149" i="46"/>
  <c r="T149" i="46" s="1"/>
  <c r="O170" i="46"/>
  <c r="S170" i="46"/>
  <c r="T170" i="46" s="1"/>
  <c r="O102" i="46"/>
  <c r="S102" i="46" s="1"/>
  <c r="T102" i="46" s="1"/>
  <c r="O86" i="46"/>
  <c r="S86" i="46" s="1"/>
  <c r="T86" i="46" s="1"/>
  <c r="Y86" i="46" s="1"/>
  <c r="O70" i="46"/>
  <c r="S70" i="46"/>
  <c r="T70" i="46" s="1"/>
  <c r="O54" i="46"/>
  <c r="S54" i="46" s="1"/>
  <c r="T54" i="46" s="1"/>
  <c r="O243" i="46"/>
  <c r="S243" i="46"/>
  <c r="T243" i="46" s="1"/>
  <c r="O209" i="46"/>
  <c r="S209" i="46" s="1"/>
  <c r="T209" i="46" s="1"/>
  <c r="Y209" i="46" s="1"/>
  <c r="O177" i="46"/>
  <c r="S177" i="46"/>
  <c r="T177" i="46" s="1"/>
  <c r="O100" i="46"/>
  <c r="S100" i="46"/>
  <c r="T100" i="46" s="1"/>
  <c r="O84" i="46"/>
  <c r="S84" i="46" s="1"/>
  <c r="T84" i="46" s="1"/>
  <c r="O68" i="46"/>
  <c r="S68" i="46" s="1"/>
  <c r="T68" i="46"/>
  <c r="O52" i="46"/>
  <c r="S52" i="46"/>
  <c r="T52" i="46" s="1"/>
  <c r="Y52" i="46" s="1"/>
  <c r="O240" i="46"/>
  <c r="S240" i="46" s="1"/>
  <c r="T240" i="46" s="1"/>
  <c r="O204" i="46"/>
  <c r="S204" i="46"/>
  <c r="T204" i="46"/>
  <c r="O172" i="46"/>
  <c r="S172" i="46" s="1"/>
  <c r="T172" i="46" s="1"/>
  <c r="O140" i="46"/>
  <c r="S140" i="46" s="1"/>
  <c r="T140" i="46" s="1"/>
  <c r="O108" i="46"/>
  <c r="S108" i="46"/>
  <c r="T108" i="46"/>
  <c r="O47" i="46"/>
  <c r="S47" i="46" s="1"/>
  <c r="T47" i="46" s="1"/>
  <c r="O13" i="46"/>
  <c r="R13" i="46" s="1"/>
  <c r="O242" i="46"/>
  <c r="S242" i="46"/>
  <c r="T242" i="46"/>
  <c r="O203" i="46"/>
  <c r="S203" i="46"/>
  <c r="T203" i="46" s="1"/>
  <c r="O171" i="46"/>
  <c r="S171" i="46" s="1"/>
  <c r="T171" i="46" s="1"/>
  <c r="O139" i="46"/>
  <c r="S139" i="46" s="1"/>
  <c r="T139" i="46" s="1"/>
  <c r="O107" i="46"/>
  <c r="S107" i="46" s="1"/>
  <c r="T107" i="46" s="1"/>
  <c r="Y107" i="46" s="1"/>
  <c r="O49" i="46"/>
  <c r="S49" i="46"/>
  <c r="T49" i="46" s="1"/>
  <c r="O12" i="46"/>
  <c r="R12" i="46"/>
  <c r="O216" i="46"/>
  <c r="S216" i="46"/>
  <c r="T216" i="46" s="1"/>
  <c r="O152" i="46"/>
  <c r="S152" i="46"/>
  <c r="T152" i="46" s="1"/>
  <c r="O67" i="46"/>
  <c r="S67" i="46"/>
  <c r="T67" i="46"/>
  <c r="O133" i="46"/>
  <c r="S133" i="46" s="1"/>
  <c r="T133" i="46" s="1"/>
  <c r="Y133" i="46" s="1"/>
  <c r="O254" i="46"/>
  <c r="S254" i="46" s="1"/>
  <c r="T254" i="46" s="1"/>
  <c r="O138" i="46"/>
  <c r="S138" i="46"/>
  <c r="T138" i="46"/>
  <c r="O194" i="46"/>
  <c r="S194" i="46" s="1"/>
  <c r="T194" i="46" s="1"/>
  <c r="O130" i="46"/>
  <c r="S130" i="46" s="1"/>
  <c r="T130" i="46" s="1"/>
  <c r="O35" i="46"/>
  <c r="S35" i="46"/>
  <c r="T35" i="46"/>
  <c r="O239" i="46"/>
  <c r="S239" i="46"/>
  <c r="T239" i="46"/>
  <c r="O117" i="46"/>
  <c r="S117" i="46" s="1"/>
  <c r="T117" i="46" s="1"/>
  <c r="Y117" i="46" s="1"/>
  <c r="O238" i="46"/>
  <c r="S238" i="46"/>
  <c r="T238" i="46" s="1"/>
  <c r="O53" i="46"/>
  <c r="S53" i="46" s="1"/>
  <c r="T53" i="46" s="1"/>
  <c r="Y53" i="46" s="1"/>
  <c r="O229" i="46"/>
  <c r="S229" i="46" s="1"/>
  <c r="T229" i="46" s="1"/>
  <c r="O94" i="46"/>
  <c r="S94" i="46" s="1"/>
  <c r="T94" i="46"/>
  <c r="O78" i="46"/>
  <c r="S78" i="46" s="1"/>
  <c r="T78" i="46" s="1"/>
  <c r="O62" i="46"/>
  <c r="S62" i="46" s="1"/>
  <c r="T62" i="46" s="1"/>
  <c r="O46" i="46"/>
  <c r="S46" i="46"/>
  <c r="T46" i="46"/>
  <c r="Y46" i="46" s="1"/>
  <c r="O225" i="46"/>
  <c r="S225" i="46"/>
  <c r="T225" i="46"/>
  <c r="O193" i="46"/>
  <c r="S193" i="46"/>
  <c r="T193" i="46" s="1"/>
  <c r="O161" i="46"/>
  <c r="S161" i="46"/>
  <c r="T161" i="46"/>
  <c r="Y161" i="46" s="1"/>
  <c r="O129" i="46"/>
  <c r="S129" i="46"/>
  <c r="T129" i="46"/>
  <c r="O87" i="46"/>
  <c r="S87" i="46" s="1"/>
  <c r="T87" i="46"/>
  <c r="O34" i="46"/>
  <c r="S34" i="46"/>
  <c r="T34" i="46"/>
  <c r="Y34" i="46" s="1"/>
  <c r="O227" i="46"/>
  <c r="S227" i="46"/>
  <c r="T227" i="46"/>
  <c r="O92" i="46"/>
  <c r="S92" i="46"/>
  <c r="T92" i="46"/>
  <c r="O76" i="46"/>
  <c r="S76" i="46"/>
  <c r="T76" i="46" s="1"/>
  <c r="O60" i="46"/>
  <c r="S60" i="46" s="1"/>
  <c r="T60" i="46" s="1"/>
  <c r="O44" i="46"/>
  <c r="S44" i="46"/>
  <c r="T44" i="46"/>
  <c r="O256" i="46"/>
  <c r="S256" i="46" s="1"/>
  <c r="T256" i="46" s="1"/>
  <c r="Y256" i="46" s="1"/>
  <c r="O220" i="46"/>
  <c r="S220" i="46" s="1"/>
  <c r="T220" i="46" s="1"/>
  <c r="O188" i="46"/>
  <c r="S188" i="46" s="1"/>
  <c r="T188" i="46" s="1"/>
  <c r="O156" i="46"/>
  <c r="S156" i="46" s="1"/>
  <c r="T156" i="46" s="1"/>
  <c r="Y156" i="46" s="1"/>
  <c r="O124" i="46"/>
  <c r="S124" i="46"/>
  <c r="T124" i="46" s="1"/>
  <c r="O79" i="46"/>
  <c r="S79" i="46"/>
  <c r="T79" i="46"/>
  <c r="S29" i="46"/>
  <c r="T29" i="46" s="1"/>
  <c r="Y29" i="46" s="1"/>
  <c r="O219" i="46"/>
  <c r="S219" i="46"/>
  <c r="T219" i="46" s="1"/>
  <c r="O187" i="46"/>
  <c r="S187" i="46"/>
  <c r="T187" i="46"/>
  <c r="O155" i="46"/>
  <c r="S155" i="46" s="1"/>
  <c r="T155" i="46" s="1"/>
  <c r="O123" i="46"/>
  <c r="S123" i="46" s="1"/>
  <c r="T123" i="46" s="1"/>
  <c r="O81" i="46"/>
  <c r="S81" i="46"/>
  <c r="T81" i="46"/>
  <c r="S28" i="46"/>
  <c r="T28" i="46" s="1"/>
  <c r="O247" i="46"/>
  <c r="S247" i="46"/>
  <c r="T247" i="46" s="1"/>
  <c r="O184" i="46"/>
  <c r="S184" i="46"/>
  <c r="T184" i="46"/>
  <c r="O120" i="46"/>
  <c r="S120" i="46" s="1"/>
  <c r="T120" i="46" s="1"/>
  <c r="Y120" i="46" s="1"/>
  <c r="O224" i="46"/>
  <c r="S224" i="46"/>
  <c r="T224" i="46" s="1"/>
  <c r="S33" i="46"/>
  <c r="T33" i="46"/>
  <c r="O202" i="46"/>
  <c r="S202" i="46" s="1"/>
  <c r="T202" i="46"/>
  <c r="Y202" i="46" s="1"/>
  <c r="O101" i="46"/>
  <c r="S101" i="46" s="1"/>
  <c r="T101" i="46" s="1"/>
  <c r="Y101" i="46" s="1"/>
  <c r="O241" i="46"/>
  <c r="S241" i="46" s="1"/>
  <c r="T241" i="46" s="1"/>
  <c r="O162" i="46"/>
  <c r="S162" i="46"/>
  <c r="T162" i="46" s="1"/>
  <c r="Y162" i="46" s="1"/>
  <c r="O77" i="46"/>
  <c r="S77" i="46"/>
  <c r="T77" i="46" s="1"/>
  <c r="O165" i="46"/>
  <c r="S165" i="46"/>
  <c r="T165" i="46" s="1"/>
  <c r="O38" i="46"/>
  <c r="S38" i="46"/>
  <c r="T38" i="46" s="1"/>
  <c r="Y38" i="46" s="1"/>
  <c r="O186" i="46"/>
  <c r="S186" i="46"/>
  <c r="T186" i="46" s="1"/>
  <c r="O66" i="46"/>
  <c r="S66" i="46" s="1"/>
  <c r="T66" i="46" s="1"/>
  <c r="O169" i="46"/>
  <c r="S169" i="46"/>
  <c r="T169" i="46" s="1"/>
  <c r="Y169" i="46" s="1"/>
  <c r="O55" i="46"/>
  <c r="S55" i="46"/>
  <c r="T55" i="46" s="1"/>
  <c r="Y55" i="46" s="1"/>
  <c r="O198" i="46"/>
  <c r="S198" i="46"/>
  <c r="T198" i="46"/>
  <c r="O134" i="46"/>
  <c r="S134" i="46" s="1"/>
  <c r="T134" i="46" s="1"/>
  <c r="Y134" i="46" s="1"/>
  <c r="O39" i="46"/>
  <c r="S39" i="46" s="1"/>
  <c r="T39" i="46" s="1"/>
  <c r="O205" i="46"/>
  <c r="S205" i="46" s="1"/>
  <c r="T205" i="46" s="1"/>
  <c r="O51" i="46"/>
  <c r="S51" i="46" s="1"/>
  <c r="T51" i="46" s="1"/>
  <c r="Y51" i="46" s="1"/>
  <c r="O128" i="46"/>
  <c r="S128" i="46" s="1"/>
  <c r="T128" i="46" s="1"/>
  <c r="O127" i="46"/>
  <c r="S127" i="46" s="1"/>
  <c r="T127" i="46" s="1"/>
  <c r="O183" i="46"/>
  <c r="S183" i="46" s="1"/>
  <c r="T183" i="46" s="1"/>
  <c r="Y183" i="46" s="1"/>
  <c r="O112" i="46"/>
  <c r="S112" i="46"/>
  <c r="T112" i="46" s="1"/>
  <c r="O64" i="46"/>
  <c r="S64" i="46" s="1"/>
  <c r="T64" i="46" s="1"/>
  <c r="Y64" i="46" s="1"/>
  <c r="O164" i="46"/>
  <c r="S164" i="46"/>
  <c r="T164" i="46" s="1"/>
  <c r="O42" i="46"/>
  <c r="S42" i="46"/>
  <c r="T42" i="46"/>
  <c r="O195" i="46"/>
  <c r="S195" i="46" s="1"/>
  <c r="T195" i="46" s="1"/>
  <c r="O131" i="46"/>
  <c r="S131" i="46" s="1"/>
  <c r="T131" i="46" s="1"/>
  <c r="O36" i="46"/>
  <c r="S36" i="46"/>
  <c r="T36" i="46"/>
  <c r="O200" i="46"/>
  <c r="S200" i="46" s="1"/>
  <c r="T200" i="46" s="1"/>
  <c r="Y200" i="46" s="1"/>
  <c r="O41" i="46"/>
  <c r="S41" i="46" s="1"/>
  <c r="T41" i="46" s="1"/>
  <c r="O91" i="46"/>
  <c r="S91" i="46"/>
  <c r="T91" i="46"/>
  <c r="Y91" i="46" s="1"/>
  <c r="O122" i="46"/>
  <c r="S122" i="46"/>
  <c r="T122" i="46"/>
  <c r="O178" i="46"/>
  <c r="S178" i="46" s="1"/>
  <c r="T178" i="46" s="1"/>
  <c r="Y178" i="46" s="1"/>
  <c r="O59" i="46"/>
  <c r="S59" i="46"/>
  <c r="T59" i="46" s="1"/>
  <c r="S27" i="46"/>
  <c r="T27" i="46" s="1"/>
  <c r="O233" i="46"/>
  <c r="S233" i="46" s="1"/>
  <c r="T233" i="46" s="1"/>
  <c r="O50" i="46"/>
  <c r="S50" i="46"/>
  <c r="T50" i="46" s="1"/>
  <c r="O145" i="46"/>
  <c r="S145" i="46"/>
  <c r="T145" i="46" s="1"/>
  <c r="Y145" i="46" s="1"/>
  <c r="O37" i="46"/>
  <c r="S37" i="46" s="1"/>
  <c r="T37" i="46" s="1"/>
  <c r="O190" i="46"/>
  <c r="S190" i="46" s="1"/>
  <c r="T190" i="46"/>
  <c r="O126" i="46"/>
  <c r="S126" i="46" s="1"/>
  <c r="T126" i="46" s="1"/>
  <c r="Y126" i="46" s="1"/>
  <c r="S31" i="46"/>
  <c r="T31" i="46" s="1"/>
  <c r="O189" i="46"/>
  <c r="S189" i="46" s="1"/>
  <c r="T189" i="46"/>
  <c r="S30" i="46"/>
  <c r="T30" i="46" s="1"/>
  <c r="Y30" i="46" s="1"/>
  <c r="O75" i="46"/>
  <c r="S75" i="46" s="1"/>
  <c r="T75" i="46" s="1"/>
  <c r="O111" i="46"/>
  <c r="S111" i="46" s="1"/>
  <c r="T111" i="46" s="1"/>
  <c r="Y111" i="46" s="1"/>
  <c r="O167" i="46"/>
  <c r="S167" i="46"/>
  <c r="T167" i="46"/>
  <c r="O43" i="46"/>
  <c r="S43" i="46" s="1"/>
  <c r="T43" i="46" s="1"/>
  <c r="Y43" i="46" s="1"/>
  <c r="O231" i="46"/>
  <c r="S231" i="46"/>
  <c r="T231" i="46"/>
  <c r="O48" i="46"/>
  <c r="S48" i="46" s="1"/>
  <c r="T48" i="46" s="1"/>
  <c r="Y48" i="46" s="1"/>
  <c r="O137" i="46"/>
  <c r="S137" i="46"/>
  <c r="T137" i="46" s="1"/>
  <c r="O245" i="46"/>
  <c r="S245" i="46" s="1"/>
  <c r="T245" i="46" s="1"/>
  <c r="O174" i="46"/>
  <c r="S174" i="46"/>
  <c r="T174" i="46" s="1"/>
  <c r="Y174" i="46" s="1"/>
  <c r="O110" i="46"/>
  <c r="S110" i="46"/>
  <c r="T110" i="46" s="1"/>
  <c r="O15" i="46"/>
  <c r="R15" i="46"/>
  <c r="O157" i="46"/>
  <c r="S157" i="46" s="1"/>
  <c r="T157" i="46" s="1"/>
  <c r="Y157" i="46" s="1"/>
  <c r="O135" i="46"/>
  <c r="S135" i="46"/>
  <c r="T135" i="46" s="1"/>
  <c r="O244" i="46"/>
  <c r="S244" i="46"/>
  <c r="T244" i="46"/>
  <c r="O98" i="46"/>
  <c r="S98" i="46" s="1"/>
  <c r="T98" i="46" s="1"/>
  <c r="Y98" i="46" s="1"/>
  <c r="O235" i="46"/>
  <c r="S235" i="46" s="1"/>
  <c r="T235" i="46" s="1"/>
  <c r="O132" i="46"/>
  <c r="S132" i="46"/>
  <c r="T132" i="46"/>
  <c r="O237" i="46"/>
  <c r="S237" i="46" s="1"/>
  <c r="T237" i="46" s="1"/>
  <c r="O166" i="46"/>
  <c r="S166" i="46" s="1"/>
  <c r="T166" i="46" s="1"/>
  <c r="Y166" i="46" s="1"/>
  <c r="O105" i="46"/>
  <c r="S105" i="46" s="1"/>
  <c r="T105" i="46" s="1"/>
  <c r="Y105" i="46" s="1"/>
  <c r="O141" i="46"/>
  <c r="S141" i="46"/>
  <c r="T141" i="46" s="1"/>
  <c r="O249" i="46"/>
  <c r="S249" i="46"/>
  <c r="T249" i="46"/>
  <c r="Y249" i="46" s="1"/>
  <c r="O119" i="46"/>
  <c r="S119" i="46" s="1"/>
  <c r="T119" i="46" s="1"/>
  <c r="Y119" i="46" s="1"/>
  <c r="O213" i="46"/>
  <c r="S213" i="46" s="1"/>
  <c r="T213" i="46" s="1"/>
  <c r="O223" i="46"/>
  <c r="S223" i="46"/>
  <c r="T223" i="46"/>
  <c r="O82" i="46"/>
  <c r="S82" i="46" s="1"/>
  <c r="T82" i="46" s="1"/>
  <c r="O201" i="46"/>
  <c r="S201" i="46" s="1"/>
  <c r="T201" i="46" s="1"/>
  <c r="Y201" i="46" s="1"/>
  <c r="O103" i="46"/>
  <c r="S103" i="46" s="1"/>
  <c r="T103" i="46" s="1"/>
  <c r="Y103" i="46" s="1"/>
  <c r="O222" i="46"/>
  <c r="S222" i="46"/>
  <c r="T222" i="46" s="1"/>
  <c r="O158" i="46"/>
  <c r="S158" i="46"/>
  <c r="T158" i="46"/>
  <c r="Y158" i="46" s="1"/>
  <c r="O89" i="46"/>
  <c r="S89" i="46" s="1"/>
  <c r="T89" i="46" s="1"/>
  <c r="Y89" i="46" s="1"/>
  <c r="O252" i="46"/>
  <c r="S252" i="46" s="1"/>
  <c r="T252" i="46" s="1"/>
  <c r="O125" i="46"/>
  <c r="S125" i="46"/>
  <c r="T125" i="46"/>
  <c r="O234" i="46"/>
  <c r="S234" i="46" s="1"/>
  <c r="T234" i="46" s="1"/>
  <c r="Y234" i="46" s="1"/>
  <c r="O207" i="46"/>
  <c r="S207" i="46" s="1"/>
  <c r="T207" i="46" s="1"/>
  <c r="Y207" i="46" s="1"/>
  <c r="O246" i="46"/>
  <c r="S246" i="46" s="1"/>
  <c r="T246" i="46" s="1"/>
  <c r="Y246" i="46" s="1"/>
  <c r="O93" i="46"/>
  <c r="S93" i="46"/>
  <c r="T93" i="46" s="1"/>
  <c r="O192" i="46"/>
  <c r="S192" i="46"/>
  <c r="T192" i="46"/>
  <c r="Y192" i="46" s="1"/>
  <c r="O191" i="46"/>
  <c r="S191" i="46" s="1"/>
  <c r="T191" i="46" s="1"/>
  <c r="O221" i="46"/>
  <c r="S221" i="46" s="1"/>
  <c r="T221" i="46" s="1"/>
  <c r="O199" i="46"/>
  <c r="S199" i="46"/>
  <c r="T199" i="46"/>
  <c r="Y199" i="46" s="1"/>
  <c r="O232" i="46"/>
  <c r="S232" i="46" s="1"/>
  <c r="T232" i="46" s="1"/>
  <c r="O136" i="46"/>
  <c r="S136" i="46" s="1"/>
  <c r="T136" i="46" s="1"/>
  <c r="Y136" i="46" s="1"/>
  <c r="O114" i="46"/>
  <c r="S114" i="46" s="1"/>
  <c r="T114" i="46" s="1"/>
  <c r="Y114" i="46" s="1"/>
  <c r="O206" i="46"/>
  <c r="S206" i="46"/>
  <c r="T206" i="46" s="1"/>
  <c r="O83" i="46"/>
  <c r="S83" i="46"/>
  <c r="T83" i="46"/>
  <c r="Y83" i="46" s="1"/>
  <c r="O40" i="46"/>
  <c r="S40" i="46" s="1"/>
  <c r="T40" i="46" s="1"/>
  <c r="Y40" i="46" s="1"/>
  <c r="O230" i="46"/>
  <c r="S230" i="46" s="1"/>
  <c r="T230" i="46" s="1"/>
  <c r="O163" i="46"/>
  <c r="S163" i="46"/>
  <c r="T163" i="46"/>
  <c r="O255" i="46"/>
  <c r="S255" i="46" s="1"/>
  <c r="T255" i="46" s="1"/>
  <c r="O208" i="46"/>
  <c r="S208" i="46" s="1"/>
  <c r="T208" i="46" s="1"/>
  <c r="Y208" i="46" s="1"/>
  <c r="O96" i="46"/>
  <c r="S96" i="46" s="1"/>
  <c r="T96" i="46" s="1"/>
  <c r="Y96" i="46" s="1"/>
  <c r="O113" i="46"/>
  <c r="S113" i="46"/>
  <c r="T113" i="46" s="1"/>
  <c r="O97" i="46"/>
  <c r="S97" i="46"/>
  <c r="T97" i="46"/>
  <c r="Y97" i="46" s="1"/>
  <c r="O228" i="46"/>
  <c r="S228" i="46" s="1"/>
  <c r="T228" i="46" s="1"/>
  <c r="Y228" i="46" s="1"/>
  <c r="O218" i="46"/>
  <c r="S218" i="46" s="1"/>
  <c r="T218" i="46" s="1"/>
  <c r="O80" i="46"/>
  <c r="S80" i="46"/>
  <c r="T80" i="46"/>
  <c r="O95" i="46"/>
  <c r="S95" i="46" s="1"/>
  <c r="T95" i="46" s="1"/>
  <c r="O57" i="46"/>
  <c r="S57" i="46" s="1"/>
  <c r="T57" i="46" s="1"/>
  <c r="Y57" i="46" s="1"/>
  <c r="O143" i="46"/>
  <c r="S143" i="46" s="1"/>
  <c r="T143" i="46" s="1"/>
  <c r="Y143" i="46" s="1"/>
  <c r="O69" i="46"/>
  <c r="S69" i="46"/>
  <c r="T69" i="46" s="1"/>
  <c r="O176" i="46"/>
  <c r="S176" i="46"/>
  <c r="T176" i="46"/>
  <c r="Y176" i="46" s="1"/>
  <c r="O144" i="46"/>
  <c r="S144" i="46" s="1"/>
  <c r="T144" i="46" s="1"/>
  <c r="O142" i="46"/>
  <c r="S142" i="46" s="1"/>
  <c r="T142" i="46" s="1"/>
  <c r="O196" i="46"/>
  <c r="S196" i="46"/>
  <c r="T196" i="46"/>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c r="M68" i="29"/>
  <c r="M69" i="29"/>
  <c r="M70" i="29"/>
  <c r="M71" i="29"/>
  <c r="M72" i="29"/>
  <c r="M73" i="29"/>
  <c r="M74" i="29"/>
  <c r="M80" i="29"/>
  <c r="M75" i="29"/>
  <c r="M76" i="29"/>
  <c r="M77" i="29"/>
  <c r="M79" i="29"/>
  <c r="M82" i="29"/>
  <c r="M83" i="29"/>
  <c r="M84" i="29"/>
  <c r="M85" i="29"/>
  <c r="M86" i="29"/>
  <c r="D86" i="22"/>
  <c r="M87" i="29"/>
  <c r="M88" i="29"/>
  <c r="M89" i="29"/>
  <c r="M90" i="29"/>
  <c r="M91" i="29"/>
  <c r="D91" i="22"/>
  <c r="M92" i="29"/>
  <c r="M93" i="29"/>
  <c r="M94" i="29"/>
  <c r="M95" i="29"/>
  <c r="D95" i="22"/>
  <c r="M96" i="29"/>
  <c r="M97" i="29"/>
  <c r="M98" i="29"/>
  <c r="M99" i="29"/>
  <c r="D99" i="22"/>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c r="V16" i="71"/>
  <c r="W16" i="71"/>
  <c r="X16" i="71"/>
  <c r="R15" i="71"/>
  <c r="V15" i="71"/>
  <c r="W15" i="71"/>
  <c r="X15" i="71"/>
  <c r="R14" i="71"/>
  <c r="V14" i="71"/>
  <c r="W14" i="71"/>
  <c r="X14" i="71"/>
  <c r="R13" i="71"/>
  <c r="V13" i="71"/>
  <c r="W13" i="71"/>
  <c r="X13" i="71"/>
  <c r="AP51" i="69"/>
  <c r="N51" i="69"/>
  <c r="U51" i="69"/>
  <c r="P11" i="11"/>
  <c r="X25" i="46"/>
  <c r="X24" i="46"/>
  <c r="X23" i="46"/>
  <c r="X22" i="46"/>
  <c r="X21" i="46"/>
  <c r="X20" i="46"/>
  <c r="X19" i="46"/>
  <c r="X18" i="46"/>
  <c r="X17" i="46"/>
  <c r="V15" i="46"/>
  <c r="V173" i="46"/>
  <c r="X173" i="46"/>
  <c r="AF50" i="69"/>
  <c r="Q50" i="69"/>
  <c r="O67" i="57"/>
  <c r="AG67" i="57" s="1"/>
  <c r="P67" i="57"/>
  <c r="AC48" i="69"/>
  <c r="AD48" i="69"/>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15"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c r="X13" i="46" s="1"/>
  <c r="Y13" i="46" s="1"/>
  <c r="S12" i="71"/>
  <c r="AB49" i="69"/>
  <c r="AG49" i="69"/>
  <c r="AO51" i="69"/>
  <c r="O52" i="69"/>
  <c r="V12" i="46"/>
  <c r="W12" i="46" s="1"/>
  <c r="Y79" i="46"/>
  <c r="Y232" i="46"/>
  <c r="Y235" i="46"/>
  <c r="Y205" i="46"/>
  <c r="Y124" i="46"/>
  <c r="Y227" i="46"/>
  <c r="Y193" i="46"/>
  <c r="Y194" i="46"/>
  <c r="Y216" i="46"/>
  <c r="Y160" i="46"/>
  <c r="Y197" i="46"/>
  <c r="Y150" i="46"/>
  <c r="Y69" i="46"/>
  <c r="Y190" i="46"/>
  <c r="Y186" i="46"/>
  <c r="Y196" i="46"/>
  <c r="Y141" i="46"/>
  <c r="Y231" i="46"/>
  <c r="Y37" i="46"/>
  <c r="Y41" i="46"/>
  <c r="Y165" i="46"/>
  <c r="Y224" i="46"/>
  <c r="Y155" i="46"/>
  <c r="Y225" i="46"/>
  <c r="Y68" i="46"/>
  <c r="Y243" i="46"/>
  <c r="Y154" i="46"/>
  <c r="Y63" i="46"/>
  <c r="Y88" i="46"/>
  <c r="Y182" i="46"/>
  <c r="Y185" i="46"/>
  <c r="Y152" i="46"/>
  <c r="Y75" i="46"/>
  <c r="Y187" i="46"/>
  <c r="Y188" i="46"/>
  <c r="Y49" i="46"/>
  <c r="Y47" i="46"/>
  <c r="Y115" i="46"/>
  <c r="Y116" i="46"/>
  <c r="Y61" i="46"/>
  <c r="Y109" i="46"/>
  <c r="Y214" i="46"/>
  <c r="Y217" i="46"/>
  <c r="Y132" i="46"/>
  <c r="Y56" i="46"/>
  <c r="Y142" i="46"/>
  <c r="Y80" i="46"/>
  <c r="Y125" i="46"/>
  <c r="Y223" i="46"/>
  <c r="Y198" i="46"/>
  <c r="Y77" i="46"/>
  <c r="Y238" i="46"/>
  <c r="Y70" i="46"/>
  <c r="Y149" i="46"/>
  <c r="Y181" i="46"/>
  <c r="Y147" i="46"/>
  <c r="Y253" i="46"/>
  <c r="Y42" i="46"/>
  <c r="Y221" i="46"/>
  <c r="Y213" i="46"/>
  <c r="Y131" i="46"/>
  <c r="Y44" i="46"/>
  <c r="Y78" i="46"/>
  <c r="Y139" i="46"/>
  <c r="Y215" i="46"/>
  <c r="Y236" i="46"/>
  <c r="Y58" i="46"/>
  <c r="Y222" i="46"/>
  <c r="Y177" i="46"/>
  <c r="Y226" i="46"/>
  <c r="Y121" i="46"/>
  <c r="Y218" i="46"/>
  <c r="Y163" i="46"/>
  <c r="Y191" i="46"/>
  <c r="Y82" i="46"/>
  <c r="Y237" i="46"/>
  <c r="Y137" i="46"/>
  <c r="Y50" i="46"/>
  <c r="Y195" i="46"/>
  <c r="Y127" i="46"/>
  <c r="Y241" i="46"/>
  <c r="Y247" i="46"/>
  <c r="Y60" i="46"/>
  <c r="Y87" i="46"/>
  <c r="Y94" i="46"/>
  <c r="Y239" i="46"/>
  <c r="Y171" i="46"/>
  <c r="Y102" i="46"/>
  <c r="Y45" i="46"/>
  <c r="Y99" i="46"/>
  <c r="Y211" i="46"/>
  <c r="Y85" i="46"/>
  <c r="Y74" i="46"/>
  <c r="Y122" i="46"/>
  <c r="Y81" i="46"/>
  <c r="Y242" i="46"/>
  <c r="Y230" i="46"/>
  <c r="Y233" i="46"/>
  <c r="Y128" i="46"/>
  <c r="Y129" i="46"/>
  <c r="Y229" i="46"/>
  <c r="Y67" i="46"/>
  <c r="Y203" i="46"/>
  <c r="Y204" i="46"/>
  <c r="Y146" i="46"/>
  <c r="Y250" i="46"/>
  <c r="Y248" i="46"/>
  <c r="Y159" i="46"/>
  <c r="Y71" i="46"/>
  <c r="Y90" i="46"/>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110" i="46"/>
  <c r="Y39" i="46"/>
  <c r="Y66" i="46"/>
  <c r="Y170" i="46"/>
  <c r="Y95" i="46"/>
  <c r="Y112" i="46"/>
  <c r="Y138" i="46"/>
  <c r="Y54" i="46"/>
  <c r="Y104" i="46"/>
  <c r="Y206" i="46"/>
  <c r="Y135" i="46"/>
  <c r="Y245" i="46"/>
  <c r="Y219" i="46"/>
  <c r="Y62" i="46"/>
  <c r="Y148" i="46"/>
  <c r="Y251" i="46"/>
  <c r="Y252" i="46"/>
  <c r="Y189" i="46"/>
  <c r="Y59" i="46"/>
  <c r="Y184" i="46"/>
  <c r="Y180" i="46"/>
  <c r="Y144" i="46"/>
  <c r="Y93" i="46"/>
  <c r="Y92" i="46"/>
  <c r="Y130" i="46"/>
  <c r="Y240" i="46"/>
  <c r="Y113" i="46"/>
  <c r="Y167" i="46"/>
  <c r="Y123" i="46"/>
  <c r="Y72" i="46"/>
  <c r="AY50" i="69"/>
  <c r="L67" i="57"/>
  <c r="N67" i="57"/>
  <c r="AH50" i="69"/>
  <c r="D17" i="22"/>
  <c r="L117" i="22"/>
  <c r="D31" i="22"/>
  <c r="D14" i="22"/>
  <c r="D67" i="57"/>
  <c r="K67" i="57"/>
  <c r="I67" i="57"/>
  <c r="H67" i="57"/>
  <c r="G67" i="57"/>
  <c r="E67" i="57"/>
  <c r="C67" i="57"/>
  <c r="M67" i="57" s="1"/>
  <c r="F67" i="57"/>
  <c r="J67" i="57"/>
  <c r="AN66" i="55" a="1"/>
  <c r="AN66" i="55"/>
  <c r="B68" i="57"/>
  <c r="R50" i="69"/>
  <c r="S50" i="69"/>
  <c r="Y50" i="69"/>
  <c r="AE50" i="69"/>
  <c r="C52" i="69"/>
  <c r="P52" i="69"/>
  <c r="AR52" i="67" a="1"/>
  <c r="AR52" i="67"/>
  <c r="B53" i="69"/>
  <c r="L53" i="69"/>
  <c r="D51" i="69"/>
  <c r="E51" i="69"/>
  <c r="F51" i="69"/>
  <c r="G51" i="69"/>
  <c r="H51" i="69"/>
  <c r="I51" i="69"/>
  <c r="J51" i="69"/>
  <c r="K51" i="69"/>
  <c r="M51" i="69"/>
  <c r="D70" i="22"/>
  <c r="AK27" i="22"/>
  <c r="C65" i="36"/>
  <c r="AK24" i="22"/>
  <c r="C62" i="36"/>
  <c r="AK23" i="22"/>
  <c r="C61" i="36"/>
  <c r="AK22" i="22"/>
  <c r="C60" i="36"/>
  <c r="AK28" i="22"/>
  <c r="C66" i="36"/>
  <c r="AK21" i="22"/>
  <c r="C59" i="36"/>
  <c r="C64" i="36"/>
  <c r="AK25" i="22"/>
  <c r="C63" i="36"/>
  <c r="AK8" i="22"/>
  <c r="AK7" i="22"/>
  <c r="C42" i="36" s="1"/>
  <c r="C81" i="36" s="1"/>
  <c r="AW87" i="22"/>
  <c r="AK6" i="22"/>
  <c r="C41" i="36" s="1"/>
  <c r="C80" i="36" s="1"/>
  <c r="AK5" i="22"/>
  <c r="C40" i="36" s="1"/>
  <c r="C79" i="36" s="1"/>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c r="S13" i="71"/>
  <c r="S14" i="71"/>
  <c r="S16" i="71"/>
  <c r="T16" i="71"/>
  <c r="AB16" i="71"/>
  <c r="W15" i="46"/>
  <c r="X15" i="46"/>
  <c r="AC11" i="11"/>
  <c r="AP52" i="69"/>
  <c r="N52" i="69"/>
  <c r="U52" i="69"/>
  <c r="S25" i="46"/>
  <c r="T25" i="46"/>
  <c r="S24" i="46"/>
  <c r="T24" i="46" s="1"/>
  <c r="Y24" i="46" s="1"/>
  <c r="S23" i="46"/>
  <c r="T23" i="46" s="1"/>
  <c r="Y23" i="46" s="1"/>
  <c r="S22" i="46"/>
  <c r="T22" i="46" s="1"/>
  <c r="Y22" i="46" s="1"/>
  <c r="S21" i="46"/>
  <c r="T21" i="46"/>
  <c r="S20" i="46"/>
  <c r="T20" i="46" s="1"/>
  <c r="Y20" i="46" s="1"/>
  <c r="S19" i="46"/>
  <c r="T19" i="46" s="1"/>
  <c r="Y19" i="46" s="1"/>
  <c r="S18" i="46"/>
  <c r="T18" i="46" s="1"/>
  <c r="Y18" i="46" s="1"/>
  <c r="S17" i="46"/>
  <c r="T17" i="46"/>
  <c r="Y17" i="46" s="1"/>
  <c r="V16" i="46"/>
  <c r="W16" i="46" s="1"/>
  <c r="X16" i="46" s="1"/>
  <c r="S15" i="46"/>
  <c r="T15" i="46" s="1"/>
  <c r="Y15" i="46" s="1"/>
  <c r="V14" i="46"/>
  <c r="S173" i="46"/>
  <c r="T173" i="46" s="1"/>
  <c r="Y173" i="46" s="1"/>
  <c r="S11" i="71"/>
  <c r="T11" i="7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13" i="71"/>
  <c r="AB13" i="71"/>
  <c r="X18" i="22"/>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c r="T204" i="71"/>
  <c r="T157" i="71"/>
  <c r="T15" i="71"/>
  <c r="AB15" i="7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AG68" i="57" s="1"/>
  <c r="P68" i="57"/>
  <c r="S13" i="46"/>
  <c r="T13" i="46"/>
  <c r="S16" i="46"/>
  <c r="T16" i="46" s="1"/>
  <c r="AC49" i="69"/>
  <c r="AD49" i="69"/>
  <c r="V27" i="71"/>
  <c r="S27" i="71"/>
  <c r="V12" i="71"/>
  <c r="W12" i="71"/>
  <c r="X12" i="71"/>
  <c r="T12" i="71"/>
  <c r="AB50" i="69"/>
  <c r="AG50" i="69"/>
  <c r="O53" i="69"/>
  <c r="AO52" i="69"/>
  <c r="S14" i="46"/>
  <c r="T14" i="46"/>
  <c r="S12" i="46"/>
  <c r="T12" i="46" s="1"/>
  <c r="AQ127" i="11"/>
  <c r="Y255" i="46"/>
  <c r="Y254" i="46"/>
  <c r="AY51" i="69"/>
  <c r="L68" i="57"/>
  <c r="N68" i="57"/>
  <c r="AH51" i="69"/>
  <c r="F68" i="57"/>
  <c r="K68" i="57"/>
  <c r="I68" i="57"/>
  <c r="C68" i="57"/>
  <c r="M68" i="57" s="1"/>
  <c r="AJ68" i="57" s="1"/>
  <c r="D68" i="57"/>
  <c r="G68" i="57"/>
  <c r="E68" i="57"/>
  <c r="J68" i="57"/>
  <c r="H68" i="57"/>
  <c r="AN67" i="55" a="1"/>
  <c r="AN67" i="55"/>
  <c r="B69" i="57"/>
  <c r="L130" i="22"/>
  <c r="R51" i="69"/>
  <c r="S51" i="69"/>
  <c r="Y51" i="69"/>
  <c r="AE51" i="69"/>
  <c r="C53" i="69"/>
  <c r="P53" i="69"/>
  <c r="AR53" i="67" a="1"/>
  <c r="AR53" i="67"/>
  <c r="B54" i="69"/>
  <c r="L54" i="69"/>
  <c r="D52" i="69"/>
  <c r="E52" i="69"/>
  <c r="F52" i="69"/>
  <c r="G52" i="69"/>
  <c r="H52" i="69"/>
  <c r="I52" i="69"/>
  <c r="J52" i="69"/>
  <c r="K52" i="69"/>
  <c r="M52" i="69"/>
  <c r="AB12" i="71"/>
  <c r="X135" i="22"/>
  <c r="L107" i="22"/>
  <c r="W14" i="46"/>
  <c r="X14" i="46"/>
  <c r="Y14" i="46" s="1"/>
  <c r="X32" i="22"/>
  <c r="X87" i="22"/>
  <c r="AD11" i="11"/>
  <c r="AP53" i="69"/>
  <c r="N53" i="69"/>
  <c r="U53" i="69"/>
  <c r="Z11" i="59"/>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AG69" i="57" s="1"/>
  <c r="P69" i="57"/>
  <c r="AC50" i="69"/>
  <c r="AD50" i="69"/>
  <c r="O2" i="71"/>
  <c r="AA12" i="71"/>
  <c r="AB51" i="69"/>
  <c r="AG51" i="69"/>
  <c r="O54" i="69"/>
  <c r="AO53" i="69"/>
  <c r="L109" i="22"/>
  <c r="Y33" i="46"/>
  <c r="Y26" i="46"/>
  <c r="L106" i="22"/>
  <c r="Y36" i="46"/>
  <c r="Y27" i="46"/>
  <c r="Y28" i="46"/>
  <c r="Y35" i="46"/>
  <c r="Y25" i="46"/>
  <c r="L113" i="22"/>
  <c r="Y31" i="46"/>
  <c r="Y21" i="46"/>
  <c r="L115" i="22"/>
  <c r="L119" i="22"/>
  <c r="AY52" i="69"/>
  <c r="L69" i="57"/>
  <c r="N69" i="57"/>
  <c r="AH52" i="69"/>
  <c r="I69" i="57"/>
  <c r="E69" i="57"/>
  <c r="D69" i="57"/>
  <c r="C69" i="57"/>
  <c r="M69" i="57" s="1"/>
  <c r="AD69" i="57" s="1"/>
  <c r="K69" i="57"/>
  <c r="H69" i="57"/>
  <c r="G69" i="57"/>
  <c r="J69" i="57"/>
  <c r="F69" i="57"/>
  <c r="AN68" i="55" a="1"/>
  <c r="AN68" i="55"/>
  <c r="B70" i="57"/>
  <c r="AR54" i="67" a="1"/>
  <c r="AR54" i="67"/>
  <c r="B55" i="69"/>
  <c r="L55" i="69"/>
  <c r="D53" i="69"/>
  <c r="E53" i="69"/>
  <c r="F53" i="69"/>
  <c r="G53" i="69"/>
  <c r="H53" i="69"/>
  <c r="I53" i="69"/>
  <c r="J53" i="69"/>
  <c r="K53" i="69"/>
  <c r="M53" i="69"/>
  <c r="C54" i="69"/>
  <c r="P54" i="69"/>
  <c r="R52" i="69"/>
  <c r="S52" i="69"/>
  <c r="Y52" i="69"/>
  <c r="AE52" i="69"/>
  <c r="AB52" i="69"/>
  <c r="AC52" i="69"/>
  <c r="AD52" i="69"/>
  <c r="T30" i="22"/>
  <c r="AP54" i="69"/>
  <c r="N54" i="69"/>
  <c r="U54" i="69"/>
  <c r="W11" i="71"/>
  <c r="X11" i="71"/>
  <c r="AB11" i="71"/>
  <c r="L103" i="22"/>
  <c r="AA27" i="71"/>
  <c r="AF53" i="69"/>
  <c r="Q53" i="69"/>
  <c r="O70" i="57"/>
  <c r="P70" i="57"/>
  <c r="AC51" i="69"/>
  <c r="AD51" i="69"/>
  <c r="AO54" i="69"/>
  <c r="AG52" i="69"/>
  <c r="O55" i="69"/>
  <c r="AY53" i="69"/>
  <c r="L70" i="57"/>
  <c r="AA15" i="71"/>
  <c r="N70" i="57"/>
  <c r="AH53" i="69"/>
  <c r="F70" i="57"/>
  <c r="E70" i="57"/>
  <c r="H70" i="57"/>
  <c r="J70" i="57"/>
  <c r="D70" i="57"/>
  <c r="I70" i="57"/>
  <c r="C70" i="57"/>
  <c r="M70" i="57" s="1"/>
  <c r="AJ70" i="57" s="1"/>
  <c r="K70" i="57"/>
  <c r="G70" i="57"/>
  <c r="AN69" i="55" a="1"/>
  <c r="AN69" i="55"/>
  <c r="B71" i="57"/>
  <c r="D54" i="69"/>
  <c r="E54" i="69"/>
  <c r="F54" i="69"/>
  <c r="G54" i="69"/>
  <c r="H54" i="69"/>
  <c r="I54" i="69"/>
  <c r="J54" i="69"/>
  <c r="K54" i="69"/>
  <c r="M54" i="69"/>
  <c r="R53" i="69"/>
  <c r="S53" i="69"/>
  <c r="Y53" i="69"/>
  <c r="AE53" i="69"/>
  <c r="C55" i="69"/>
  <c r="P55" i="69"/>
  <c r="AR55" i="67" a="1"/>
  <c r="AR55" i="67"/>
  <c r="B56" i="69"/>
  <c r="L56" i="69"/>
  <c r="AK258" i="59"/>
  <c r="AJ258" i="59"/>
  <c r="AK257" i="59"/>
  <c r="AJ257" i="59"/>
  <c r="AK256" i="59"/>
  <c r="AJ256" i="59"/>
  <c r="AK255" i="59"/>
  <c r="AJ255" i="59"/>
  <c r="AG255" i="59"/>
  <c r="AK254" i="59"/>
  <c r="AJ254" i="59"/>
  <c r="AK253" i="59"/>
  <c r="AJ253" i="59"/>
  <c r="AK252" i="59"/>
  <c r="AJ252" i="59"/>
  <c r="AK251" i="59"/>
  <c r="AJ251" i="59"/>
  <c r="AG251" i="59"/>
  <c r="AH251" i="59"/>
  <c r="AK250" i="59"/>
  <c r="AJ250" i="59"/>
  <c r="AK249" i="59"/>
  <c r="AJ249" i="59"/>
  <c r="AK248" i="59"/>
  <c r="AJ248" i="59"/>
  <c r="AK247" i="59"/>
  <c r="AJ247" i="59"/>
  <c r="AG247" i="59"/>
  <c r="AH247" i="59"/>
  <c r="AK246" i="59"/>
  <c r="AJ246" i="59"/>
  <c r="AK245" i="59"/>
  <c r="AJ245" i="59"/>
  <c r="AK244" i="59"/>
  <c r="AJ244" i="59"/>
  <c r="AK243" i="59"/>
  <c r="AJ243" i="59"/>
  <c r="AG243" i="59"/>
  <c r="AH243" i="59"/>
  <c r="AK242" i="59"/>
  <c r="AJ242" i="59"/>
  <c r="AK241" i="59"/>
  <c r="AJ241" i="59"/>
  <c r="AK240" i="59"/>
  <c r="AJ240" i="59"/>
  <c r="AK239" i="59"/>
  <c r="AJ239" i="59"/>
  <c r="AG239" i="59"/>
  <c r="AH239" i="59"/>
  <c r="AK238" i="59"/>
  <c r="AJ238" i="59"/>
  <c r="AK237" i="59"/>
  <c r="AJ237" i="59"/>
  <c r="AK236" i="59"/>
  <c r="AJ236" i="59"/>
  <c r="AK235" i="59"/>
  <c r="AJ235" i="59"/>
  <c r="AG235" i="59"/>
  <c r="AH235" i="59"/>
  <c r="AK234" i="59"/>
  <c r="AJ234" i="59"/>
  <c r="AK233" i="59"/>
  <c r="AJ233" i="59"/>
  <c r="AK232" i="59"/>
  <c r="AJ232" i="59"/>
  <c r="AK231" i="59"/>
  <c r="AJ231" i="59"/>
  <c r="AG231" i="59"/>
  <c r="AH231" i="59"/>
  <c r="AK230" i="59"/>
  <c r="AJ230" i="59"/>
  <c r="AK229" i="59"/>
  <c r="AJ229" i="59"/>
  <c r="AK228" i="59"/>
  <c r="AJ228" i="59"/>
  <c r="AK227" i="59"/>
  <c r="AJ227" i="59"/>
  <c r="AG227" i="59"/>
  <c r="AH227" i="59"/>
  <c r="AK226" i="59"/>
  <c r="AJ226" i="59"/>
  <c r="AK225" i="59"/>
  <c r="AJ225" i="59"/>
  <c r="AK224" i="59"/>
  <c r="AJ224" i="59"/>
  <c r="AG224" i="59"/>
  <c r="AH224" i="59"/>
  <c r="AK223" i="59"/>
  <c r="AJ223" i="59"/>
  <c r="AG223" i="59"/>
  <c r="AH223" i="59"/>
  <c r="AK222" i="59"/>
  <c r="AJ222" i="59"/>
  <c r="AK221" i="59"/>
  <c r="AJ221" i="59"/>
  <c r="AK220" i="59"/>
  <c r="AJ220" i="59"/>
  <c r="AG220" i="59"/>
  <c r="AH220" i="59"/>
  <c r="AK219" i="59"/>
  <c r="AJ219" i="59"/>
  <c r="AG219" i="59"/>
  <c r="AH219" i="59"/>
  <c r="AK218" i="59"/>
  <c r="AJ218" i="59"/>
  <c r="AK217" i="59"/>
  <c r="AJ217" i="59"/>
  <c r="AK216" i="59"/>
  <c r="AJ216" i="59"/>
  <c r="AK215" i="59"/>
  <c r="AJ215" i="59"/>
  <c r="AG215" i="59"/>
  <c r="AH215" i="59"/>
  <c r="AK214" i="59"/>
  <c r="AJ214" i="59"/>
  <c r="AK213" i="59"/>
  <c r="AJ213" i="59"/>
  <c r="AK212" i="59"/>
  <c r="AJ212" i="59"/>
  <c r="AK211" i="59"/>
  <c r="AJ211" i="59"/>
  <c r="AG211" i="59"/>
  <c r="AH211" i="59"/>
  <c r="AK210" i="59"/>
  <c r="AJ210" i="59"/>
  <c r="AK209" i="59"/>
  <c r="AJ209" i="59"/>
  <c r="AK208" i="59"/>
  <c r="AJ208" i="59"/>
  <c r="AG208" i="59"/>
  <c r="AH208" i="59"/>
  <c r="AK207" i="59"/>
  <c r="AJ207" i="59"/>
  <c r="AG207" i="59"/>
  <c r="AH207" i="59"/>
  <c r="AK206" i="59"/>
  <c r="AJ206" i="59"/>
  <c r="AK205" i="59"/>
  <c r="AJ205" i="59"/>
  <c r="AK204" i="59"/>
  <c r="AJ204" i="59"/>
  <c r="AG204" i="59"/>
  <c r="AH204" i="59"/>
  <c r="AK203" i="59"/>
  <c r="AJ203" i="59"/>
  <c r="AK202" i="59"/>
  <c r="AJ202" i="59"/>
  <c r="AK201" i="59"/>
  <c r="AJ201" i="59"/>
  <c r="AK200" i="59"/>
  <c r="AJ200" i="59"/>
  <c r="AK199" i="59"/>
  <c r="AJ199" i="59"/>
  <c r="AG199" i="59"/>
  <c r="AH199" i="59"/>
  <c r="AK198" i="59"/>
  <c r="AJ198" i="59"/>
  <c r="AK197" i="59"/>
  <c r="AJ197" i="59"/>
  <c r="AK196" i="59"/>
  <c r="AJ196" i="59"/>
  <c r="AK195" i="59"/>
  <c r="AJ195" i="59"/>
  <c r="AG195" i="59"/>
  <c r="AH195" i="59"/>
  <c r="AK194" i="59"/>
  <c r="AJ194" i="59"/>
  <c r="AK193" i="59"/>
  <c r="AJ193" i="59"/>
  <c r="AK192" i="59"/>
  <c r="AJ192" i="59"/>
  <c r="AK191" i="59"/>
  <c r="AJ191" i="59"/>
  <c r="AG191" i="59"/>
  <c r="AH191" i="59"/>
  <c r="AK190" i="59"/>
  <c r="AJ190" i="59"/>
  <c r="AK189" i="59"/>
  <c r="AJ189" i="59"/>
  <c r="AK188" i="59"/>
  <c r="AJ188" i="59"/>
  <c r="AK187" i="59"/>
  <c r="AJ187" i="59"/>
  <c r="AK186" i="59"/>
  <c r="AJ186" i="59"/>
  <c r="AK185" i="59"/>
  <c r="AJ185" i="59"/>
  <c r="AK184" i="59"/>
  <c r="AJ184" i="59"/>
  <c r="AG184" i="59"/>
  <c r="AH184" i="59"/>
  <c r="AK183" i="59"/>
  <c r="AJ183" i="59"/>
  <c r="AK182" i="59"/>
  <c r="AJ182" i="59"/>
  <c r="AG182" i="59"/>
  <c r="AH182" i="59"/>
  <c r="AK181" i="59"/>
  <c r="AJ181" i="59"/>
  <c r="AK180" i="59"/>
  <c r="AJ180" i="59"/>
  <c r="AG180" i="59"/>
  <c r="AH180" i="59"/>
  <c r="AK179" i="59"/>
  <c r="AJ179" i="59"/>
  <c r="AK178" i="59"/>
  <c r="AJ178" i="59"/>
  <c r="AK177" i="59"/>
  <c r="AJ177" i="59"/>
  <c r="AK176" i="59"/>
  <c r="AJ176" i="59"/>
  <c r="AG176" i="59"/>
  <c r="AH176" i="59"/>
  <c r="AK175" i="59"/>
  <c r="AJ175" i="59"/>
  <c r="AK174" i="59"/>
  <c r="AJ174" i="59"/>
  <c r="AK173" i="59"/>
  <c r="AJ173" i="59"/>
  <c r="AK172" i="59"/>
  <c r="AJ172" i="59"/>
  <c r="AG172" i="59"/>
  <c r="AH172" i="59"/>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c r="AK161" i="59"/>
  <c r="AJ161" i="59"/>
  <c r="AG161" i="59"/>
  <c r="AH161" i="59"/>
  <c r="AK160" i="59"/>
  <c r="AJ160" i="59"/>
  <c r="AK159" i="59"/>
  <c r="AJ159" i="59"/>
  <c r="AK158" i="59"/>
  <c r="AJ158" i="59"/>
  <c r="AK157" i="59"/>
  <c r="AJ157" i="59"/>
  <c r="AG157" i="59"/>
  <c r="AH157" i="59"/>
  <c r="AK156" i="59"/>
  <c r="AJ156" i="59"/>
  <c r="AK155" i="59"/>
  <c r="AJ155" i="59"/>
  <c r="AK154" i="59"/>
  <c r="AJ154" i="59"/>
  <c r="AG154" i="59"/>
  <c r="AH154" i="59"/>
  <c r="AK153" i="59"/>
  <c r="AJ153" i="59"/>
  <c r="AG153" i="59"/>
  <c r="AH153" i="59"/>
  <c r="AK152" i="59"/>
  <c r="AJ152" i="59"/>
  <c r="AK151" i="59"/>
  <c r="AJ151" i="59"/>
  <c r="AK150" i="59"/>
  <c r="AJ150" i="59"/>
  <c r="AK149" i="59"/>
  <c r="AJ149" i="59"/>
  <c r="AG149" i="59"/>
  <c r="AH149" i="59"/>
  <c r="AK148" i="59"/>
  <c r="AJ148" i="59"/>
  <c r="AK147" i="59"/>
  <c r="AJ147" i="59"/>
  <c r="AK146" i="59"/>
  <c r="AJ146" i="59"/>
  <c r="AK145" i="59"/>
  <c r="AJ145" i="59"/>
  <c r="AG145" i="59"/>
  <c r="AH145" i="59"/>
  <c r="AK144" i="59"/>
  <c r="AJ144" i="59"/>
  <c r="AK143" i="59"/>
  <c r="AJ143" i="59"/>
  <c r="AG143" i="59"/>
  <c r="AH143" i="59"/>
  <c r="AK142" i="59"/>
  <c r="AJ142" i="59"/>
  <c r="AK141" i="59"/>
  <c r="AJ141" i="59"/>
  <c r="AK140" i="59"/>
  <c r="AJ140" i="59"/>
  <c r="AK139" i="59"/>
  <c r="AJ139" i="59"/>
  <c r="AK138" i="59"/>
  <c r="AJ138" i="59"/>
  <c r="AK137" i="59"/>
  <c r="AJ137" i="59"/>
  <c r="AG137" i="59"/>
  <c r="AH137" i="59"/>
  <c r="AK136" i="59"/>
  <c r="AJ136" i="59"/>
  <c r="AK135" i="59"/>
  <c r="AJ135" i="59"/>
  <c r="AK134" i="59"/>
  <c r="AJ134" i="59"/>
  <c r="AK133" i="59"/>
  <c r="AJ133" i="59"/>
  <c r="AG133" i="59"/>
  <c r="AH133" i="59"/>
  <c r="AK132" i="59"/>
  <c r="AJ132" i="59"/>
  <c r="AK131" i="59"/>
  <c r="AJ131" i="59"/>
  <c r="AK130" i="59"/>
  <c r="AJ130" i="59"/>
  <c r="AK129" i="59"/>
  <c r="AJ129" i="59"/>
  <c r="AK128" i="59"/>
  <c r="AJ128" i="59"/>
  <c r="AG128" i="59"/>
  <c r="AH128" i="59"/>
  <c r="AK127" i="59"/>
  <c r="AJ127" i="59"/>
  <c r="AK126" i="59"/>
  <c r="AJ126" i="59"/>
  <c r="AK125" i="59"/>
  <c r="AJ125" i="59"/>
  <c r="AG125" i="59"/>
  <c r="AH125" i="59"/>
  <c r="AK124" i="59"/>
  <c r="AJ124" i="59"/>
  <c r="AK123" i="59"/>
  <c r="AJ123" i="59"/>
  <c r="AK122" i="59"/>
  <c r="AJ122" i="59"/>
  <c r="AK121" i="59"/>
  <c r="AJ121" i="59"/>
  <c r="AG121" i="59"/>
  <c r="AH121" i="59"/>
  <c r="AK120" i="59"/>
  <c r="AJ120" i="59"/>
  <c r="AK119" i="59"/>
  <c r="AJ119" i="59"/>
  <c r="AK118" i="59"/>
  <c r="AJ118" i="59"/>
  <c r="AK117" i="59"/>
  <c r="AJ117" i="59"/>
  <c r="AG117" i="59"/>
  <c r="AH117" i="59"/>
  <c r="AK116" i="59"/>
  <c r="AJ116" i="59"/>
  <c r="AK115" i="59"/>
  <c r="AJ115" i="59"/>
  <c r="AK114" i="59"/>
  <c r="AJ114" i="59"/>
  <c r="AK113" i="59"/>
  <c r="AJ113" i="59"/>
  <c r="AG113" i="59"/>
  <c r="AH113" i="59"/>
  <c r="AK112" i="59"/>
  <c r="AJ112" i="59"/>
  <c r="AK111" i="59"/>
  <c r="AJ111" i="59"/>
  <c r="AG111" i="59"/>
  <c r="AH111" i="59"/>
  <c r="AK110" i="59"/>
  <c r="AJ110" i="59"/>
  <c r="AK109" i="59"/>
  <c r="AJ109" i="59"/>
  <c r="AK108" i="59"/>
  <c r="AJ108" i="59"/>
  <c r="AK107" i="59"/>
  <c r="AJ107" i="59"/>
  <c r="AK106" i="59"/>
  <c r="AJ106" i="59"/>
  <c r="AK105" i="59"/>
  <c r="AJ105" i="59"/>
  <c r="AG105" i="59"/>
  <c r="AH105" i="59"/>
  <c r="AK104" i="59"/>
  <c r="AJ104" i="59"/>
  <c r="AK103" i="59"/>
  <c r="AJ103" i="59"/>
  <c r="AK102" i="59"/>
  <c r="AJ102" i="59"/>
  <c r="AK101" i="59"/>
  <c r="AJ101" i="59"/>
  <c r="AG101" i="59"/>
  <c r="AH101" i="59"/>
  <c r="AK100" i="59"/>
  <c r="AJ100" i="59"/>
  <c r="AK99" i="59"/>
  <c r="AJ99" i="59"/>
  <c r="AK98" i="59"/>
  <c r="AJ98" i="59"/>
  <c r="AK97" i="59"/>
  <c r="AJ97" i="59"/>
  <c r="AG97" i="59"/>
  <c r="AH97" i="59"/>
  <c r="AK96" i="59"/>
  <c r="AJ96" i="59"/>
  <c r="AK95" i="59"/>
  <c r="AJ95" i="59"/>
  <c r="AK94" i="59"/>
  <c r="AJ94" i="59"/>
  <c r="AK93" i="59"/>
  <c r="AJ93" i="59"/>
  <c r="AG93" i="59"/>
  <c r="AH93" i="59"/>
  <c r="AK92" i="59"/>
  <c r="AJ92" i="59"/>
  <c r="AK91" i="59"/>
  <c r="AJ91" i="59"/>
  <c r="AG91" i="59"/>
  <c r="AH91" i="59"/>
  <c r="AK90" i="59"/>
  <c r="AJ90" i="59"/>
  <c r="AK89" i="59"/>
  <c r="AJ89" i="59"/>
  <c r="AG89" i="59"/>
  <c r="AH89" i="59"/>
  <c r="AK88" i="59"/>
  <c r="AJ88" i="59"/>
  <c r="AK87" i="59"/>
  <c r="AJ87" i="59"/>
  <c r="AG87" i="59"/>
  <c r="AH87" i="59"/>
  <c r="AK86" i="59"/>
  <c r="AJ86" i="59"/>
  <c r="AK85" i="59"/>
  <c r="AJ85" i="59"/>
  <c r="AG85" i="59"/>
  <c r="AH85" i="59"/>
  <c r="AK84" i="59"/>
  <c r="AJ84" i="59"/>
  <c r="AK83" i="59"/>
  <c r="AJ83" i="59"/>
  <c r="AK82" i="59"/>
  <c r="AJ82" i="59"/>
  <c r="AK81" i="59"/>
  <c r="AJ81" i="59"/>
  <c r="AG81" i="59"/>
  <c r="AH81" i="59"/>
  <c r="AK80" i="59"/>
  <c r="AJ80" i="59"/>
  <c r="AK79" i="59"/>
  <c r="AJ79" i="59"/>
  <c r="AK78" i="59"/>
  <c r="AJ78" i="59"/>
  <c r="AK77" i="59"/>
  <c r="AJ77" i="59"/>
  <c r="AG77" i="59"/>
  <c r="AH77" i="59"/>
  <c r="AK76" i="59"/>
  <c r="AJ76" i="59"/>
  <c r="AK75" i="59"/>
  <c r="AJ75" i="59"/>
  <c r="AK74" i="59"/>
  <c r="AJ74" i="59"/>
  <c r="AK73" i="59"/>
  <c r="AJ73" i="59"/>
  <c r="AK72" i="59"/>
  <c r="AJ72" i="59"/>
  <c r="AK71" i="59"/>
  <c r="AJ71" i="59"/>
  <c r="AK70" i="59"/>
  <c r="AJ70" i="59"/>
  <c r="AG70" i="59"/>
  <c r="AH70" i="59"/>
  <c r="AK69" i="59"/>
  <c r="AJ69" i="59"/>
  <c r="AG69" i="59"/>
  <c r="AH69" i="59"/>
  <c r="AK68" i="59"/>
  <c r="AJ68" i="59"/>
  <c r="AK67" i="59"/>
  <c r="AJ67" i="59"/>
  <c r="AK66" i="59"/>
  <c r="AJ66" i="59"/>
  <c r="AK65" i="59"/>
  <c r="AJ65" i="59"/>
  <c r="AK64" i="59"/>
  <c r="AJ64" i="59"/>
  <c r="AK63" i="59"/>
  <c r="AJ63" i="59"/>
  <c r="AK62" i="59"/>
  <c r="AJ62" i="59"/>
  <c r="AK61" i="59"/>
  <c r="AJ61" i="59"/>
  <c r="AK60" i="59"/>
  <c r="AJ60" i="59"/>
  <c r="AK59" i="59"/>
  <c r="AJ59" i="59"/>
  <c r="AG59" i="59"/>
  <c r="AH59" i="59"/>
  <c r="AK58" i="59"/>
  <c r="AJ58" i="59"/>
  <c r="AK57" i="59"/>
  <c r="AJ57" i="59"/>
  <c r="AK56" i="59"/>
  <c r="AJ56" i="59"/>
  <c r="AK55" i="59"/>
  <c r="AJ55" i="59"/>
  <c r="AK54" i="59"/>
  <c r="AJ54" i="59"/>
  <c r="AK53" i="59"/>
  <c r="AJ53" i="59"/>
  <c r="AG53" i="59"/>
  <c r="AH53" i="59"/>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c r="X4" i="22"/>
  <c r="X20" i="22"/>
  <c r="X14" i="22"/>
  <c r="C8" i="107"/>
  <c r="Q12" i="59"/>
  <c r="T12" i="59"/>
  <c r="AB53" i="69"/>
  <c r="AC53" i="69"/>
  <c r="AD53" i="69"/>
  <c r="AP55" i="69"/>
  <c r="N55" i="69"/>
  <c r="U55" i="69"/>
  <c r="AA11" i="71"/>
  <c r="AA257" i="71"/>
  <c r="H7" i="107"/>
  <c r="AU20" i="59"/>
  <c r="AU18" i="59"/>
  <c r="AO11" i="59" a="1"/>
  <c r="AO11" i="59"/>
  <c r="AO12" i="59" a="1"/>
  <c r="AO12" i="59"/>
  <c r="AO13" i="59" a="1"/>
  <c r="AO13" i="59"/>
  <c r="AP11" i="59" a="1"/>
  <c r="AP11" i="59"/>
  <c r="AF54" i="69"/>
  <c r="Q54" i="69"/>
  <c r="O71" i="57"/>
  <c r="AG71" i="57" s="1"/>
  <c r="P71" i="57"/>
  <c r="AH34" i="59"/>
  <c r="AU34" i="59"/>
  <c r="AH48" i="59"/>
  <c r="AH38" i="59"/>
  <c r="AU38" i="59"/>
  <c r="AH47" i="59"/>
  <c r="AH30" i="59"/>
  <c r="AU30" i="59"/>
  <c r="AH26" i="59"/>
  <c r="AU26" i="59"/>
  <c r="AH42" i="59"/>
  <c r="AU42" i="59"/>
  <c r="AO55" i="69"/>
  <c r="O56" i="69"/>
  <c r="AG53" i="69"/>
  <c r="AH255" i="59"/>
  <c r="AH22" i="59"/>
  <c r="AH20" i="59"/>
  <c r="AH18" i="59"/>
  <c r="AY54" i="69"/>
  <c r="L71" i="57"/>
  <c r="N71" i="57"/>
  <c r="AH54" i="69"/>
  <c r="AH12" i="59"/>
  <c r="K71" i="57"/>
  <c r="G71" i="57"/>
  <c r="E71" i="57"/>
  <c r="D71" i="57"/>
  <c r="C71" i="57"/>
  <c r="M71" i="57" s="1"/>
  <c r="AK71" i="57" s="1"/>
  <c r="I71" i="57"/>
  <c r="H71" i="57"/>
  <c r="F71" i="57"/>
  <c r="J71" i="57"/>
  <c r="AN70" i="55" a="1"/>
  <c r="AN70" i="55"/>
  <c r="B72" i="57"/>
  <c r="D55" i="69"/>
  <c r="E55" i="69"/>
  <c r="F55" i="69"/>
  <c r="G55" i="69"/>
  <c r="H55" i="69"/>
  <c r="I55" i="69"/>
  <c r="J55" i="69"/>
  <c r="K55" i="69"/>
  <c r="M55" i="69"/>
  <c r="AE54" i="69"/>
  <c r="R54" i="69"/>
  <c r="S54" i="69"/>
  <c r="Y54" i="69"/>
  <c r="C56" i="69"/>
  <c r="P56" i="69"/>
  <c r="AR56" i="67" a="1"/>
  <c r="AR56" i="67"/>
  <c r="B57" i="69"/>
  <c r="L57" i="69"/>
  <c r="AG65" i="59"/>
  <c r="AH65" i="59"/>
  <c r="AG61" i="59"/>
  <c r="AH61" i="59"/>
  <c r="AG57" i="59"/>
  <c r="AH57" i="59"/>
  <c r="AG92" i="59"/>
  <c r="AH92" i="59"/>
  <c r="AG150" i="59"/>
  <c r="AH150" i="59"/>
  <c r="AG19" i="59"/>
  <c r="AG216" i="59"/>
  <c r="AH216" i="59"/>
  <c r="AG217" i="59"/>
  <c r="AH217" i="59"/>
  <c r="AG55" i="59"/>
  <c r="AH55" i="59"/>
  <c r="AG86" i="59"/>
  <c r="AH86" i="59"/>
  <c r="AG103" i="59"/>
  <c r="AH103" i="59"/>
  <c r="AG17" i="59"/>
  <c r="AG119" i="59"/>
  <c r="AH119" i="59"/>
  <c r="AG15" i="59"/>
  <c r="AG132" i="59"/>
  <c r="AH132" i="59"/>
  <c r="AG156" i="59"/>
  <c r="AH156" i="59"/>
  <c r="AG252" i="59"/>
  <c r="AH252" i="59"/>
  <c r="AG66" i="59"/>
  <c r="AH66" i="59"/>
  <c r="AG75" i="59"/>
  <c r="AH75" i="59"/>
  <c r="AG160" i="59"/>
  <c r="AH160" i="59"/>
  <c r="AG248" i="59"/>
  <c r="AH248" i="59"/>
  <c r="AG54" i="59"/>
  <c r="AH54" i="59"/>
  <c r="AG21" i="59"/>
  <c r="AU21" i="59"/>
  <c r="AG64" i="59"/>
  <c r="AH64" i="59"/>
  <c r="AG107" i="59"/>
  <c r="AH107" i="59"/>
  <c r="AG130" i="59"/>
  <c r="AH130" i="59"/>
  <c r="AG139" i="59"/>
  <c r="AH139" i="59"/>
  <c r="AG178" i="59"/>
  <c r="AH178" i="59"/>
  <c r="AG52" i="59"/>
  <c r="AG83" i="59"/>
  <c r="AH83" i="59"/>
  <c r="AG122" i="59"/>
  <c r="AH122" i="59"/>
  <c r="AG166" i="59"/>
  <c r="AH166" i="59"/>
  <c r="AG181" i="59"/>
  <c r="AH181" i="59"/>
  <c r="AG185" i="59"/>
  <c r="AH185" i="59"/>
  <c r="AG13" i="59"/>
  <c r="AG96" i="59"/>
  <c r="AH96" i="59"/>
  <c r="AG147" i="59"/>
  <c r="AH147" i="59"/>
  <c r="AG14" i="59"/>
  <c r="AG62" i="59"/>
  <c r="AH62" i="59"/>
  <c r="AG16" i="59"/>
  <c r="AG27" i="59"/>
  <c r="AG49" i="59"/>
  <c r="AG84" i="59"/>
  <c r="AH84" i="59"/>
  <c r="AG114" i="59"/>
  <c r="AH114" i="59"/>
  <c r="AG51" i="59"/>
  <c r="AG58" i="59"/>
  <c r="AH58" i="59"/>
  <c r="AG151" i="59"/>
  <c r="AH151" i="59"/>
  <c r="AG23" i="59"/>
  <c r="AU23" i="59"/>
  <c r="AG31" i="59"/>
  <c r="AG79" i="59"/>
  <c r="AH79" i="59"/>
  <c r="AG129" i="59"/>
  <c r="AH129" i="59"/>
  <c r="AG165" i="59"/>
  <c r="AH165" i="59"/>
  <c r="AG90" i="59"/>
  <c r="AH90" i="59"/>
  <c r="AG98" i="59"/>
  <c r="AH98" i="59"/>
  <c r="AG158" i="59"/>
  <c r="AH158" i="59"/>
  <c r="AG100" i="59"/>
  <c r="AH100" i="59"/>
  <c r="AG118" i="59"/>
  <c r="AH118" i="59"/>
  <c r="AG124" i="59"/>
  <c r="AH124" i="59"/>
  <c r="AG212" i="59"/>
  <c r="AH212" i="59"/>
  <c r="AG170" i="59"/>
  <c r="AH170" i="59"/>
  <c r="AG179" i="59"/>
  <c r="AH179" i="59"/>
  <c r="AG228" i="59"/>
  <c r="AH228" i="59"/>
  <c r="AG186" i="59"/>
  <c r="AH186" i="59"/>
  <c r="AG190" i="59"/>
  <c r="AH190" i="59"/>
  <c r="AG200" i="59"/>
  <c r="AH200" i="59"/>
  <c r="AG213" i="59"/>
  <c r="AH213" i="59"/>
  <c r="AG229" i="59"/>
  <c r="AH229" i="59"/>
  <c r="AG240" i="59"/>
  <c r="AH240" i="59"/>
  <c r="AG135" i="59"/>
  <c r="AH135" i="59"/>
  <c r="AG146" i="59"/>
  <c r="AH146" i="59"/>
  <c r="AG197" i="59"/>
  <c r="AH197" i="59"/>
  <c r="AG201" i="59"/>
  <c r="AH201" i="59"/>
  <c r="AG174" i="59"/>
  <c r="AH174" i="59"/>
  <c r="AG187" i="59"/>
  <c r="AH187" i="59"/>
  <c r="AG232" i="59"/>
  <c r="AH232" i="59"/>
  <c r="AG244" i="59"/>
  <c r="AH244" i="59"/>
  <c r="AG36" i="59"/>
  <c r="AG39" i="59"/>
  <c r="AG40" i="59"/>
  <c r="AG43" i="59"/>
  <c r="AG44" i="59"/>
  <c r="AG63" i="59"/>
  <c r="AH63" i="59"/>
  <c r="AG25" i="59"/>
  <c r="AG46" i="59"/>
  <c r="AG29" i="59"/>
  <c r="AG24" i="59"/>
  <c r="AG33" i="59"/>
  <c r="AG50" i="59"/>
  <c r="AG28" i="59"/>
  <c r="AG37" i="59"/>
  <c r="AG72" i="59"/>
  <c r="AH72" i="59"/>
  <c r="AG73" i="59"/>
  <c r="AH73" i="59"/>
  <c r="AG74" i="59"/>
  <c r="AH74" i="59"/>
  <c r="AG94" i="59"/>
  <c r="AH94" i="59"/>
  <c r="AG32" i="59"/>
  <c r="AG35" i="59"/>
  <c r="AG41" i="59"/>
  <c r="AG45" i="59"/>
  <c r="AG76" i="59"/>
  <c r="AH76" i="59"/>
  <c r="AG56" i="59"/>
  <c r="AH56" i="59"/>
  <c r="AG67" i="59"/>
  <c r="AH67" i="59"/>
  <c r="AG78" i="59"/>
  <c r="AH78" i="59"/>
  <c r="AG88" i="59"/>
  <c r="AH88" i="59"/>
  <c r="AG99" i="59"/>
  <c r="AH99" i="59"/>
  <c r="AG169" i="59"/>
  <c r="AH169" i="59"/>
  <c r="AG68" i="59"/>
  <c r="AH68" i="59"/>
  <c r="AG80" i="59"/>
  <c r="AH80" i="59"/>
  <c r="AG140" i="59"/>
  <c r="AH140" i="59"/>
  <c r="AG141" i="59"/>
  <c r="AH141" i="59"/>
  <c r="AG142" i="59"/>
  <c r="AH142" i="59"/>
  <c r="AG60" i="59"/>
  <c r="AH60" i="59"/>
  <c r="AG71" i="59"/>
  <c r="AH71" i="59"/>
  <c r="AG82" i="59"/>
  <c r="AH82" i="59"/>
  <c r="AG95" i="59"/>
  <c r="AH95" i="59"/>
  <c r="AG108" i="59"/>
  <c r="AH108" i="59"/>
  <c r="AG109" i="59"/>
  <c r="AH109" i="59"/>
  <c r="AG110" i="59"/>
  <c r="AH110" i="59"/>
  <c r="AG131" i="59"/>
  <c r="AH131" i="59"/>
  <c r="AG163" i="59"/>
  <c r="AH163" i="59"/>
  <c r="AG102" i="59"/>
  <c r="AH102" i="59"/>
  <c r="AG112" i="59"/>
  <c r="AH112" i="59"/>
  <c r="AG123" i="59"/>
  <c r="AH123" i="59"/>
  <c r="AG134" i="59"/>
  <c r="AH134" i="59"/>
  <c r="AG144" i="59"/>
  <c r="AH144" i="59"/>
  <c r="AG155" i="59"/>
  <c r="AH155" i="59"/>
  <c r="AG104" i="59"/>
  <c r="AH104" i="59"/>
  <c r="AG115" i="59"/>
  <c r="AH115" i="59"/>
  <c r="AG126" i="59"/>
  <c r="AH126" i="59"/>
  <c r="AG136" i="59"/>
  <c r="AH136" i="59"/>
  <c r="AG167" i="59"/>
  <c r="AH167" i="59"/>
  <c r="AG106" i="59"/>
  <c r="AH106" i="59"/>
  <c r="AG116" i="59"/>
  <c r="AH116" i="59"/>
  <c r="AG127" i="59"/>
  <c r="AH127" i="59"/>
  <c r="AG138" i="59"/>
  <c r="AH138" i="59"/>
  <c r="AG148" i="59"/>
  <c r="AH148" i="59"/>
  <c r="AG159" i="59"/>
  <c r="AH159" i="59"/>
  <c r="AG168" i="59"/>
  <c r="AH168" i="59"/>
  <c r="AG120" i="59"/>
  <c r="AH120" i="59"/>
  <c r="AG152" i="59"/>
  <c r="AH152" i="59"/>
  <c r="AG164" i="59"/>
  <c r="AH164" i="59"/>
  <c r="AG177" i="59"/>
  <c r="AH177" i="59"/>
  <c r="AG205" i="59"/>
  <c r="AH205" i="59"/>
  <c r="AG206" i="59"/>
  <c r="AH206" i="59"/>
  <c r="AG188" i="59"/>
  <c r="AH188" i="59"/>
  <c r="AG171" i="59"/>
  <c r="AH171" i="59"/>
  <c r="AG192" i="59"/>
  <c r="AH192" i="59"/>
  <c r="AG173" i="59"/>
  <c r="AH173" i="59"/>
  <c r="AG183" i="59"/>
  <c r="AH183" i="59"/>
  <c r="AG189" i="59"/>
  <c r="AH189" i="59"/>
  <c r="AG175" i="59"/>
  <c r="AH175" i="59"/>
  <c r="AG203" i="59"/>
  <c r="AH203" i="59"/>
  <c r="AG194" i="59"/>
  <c r="AH194" i="59"/>
  <c r="AG210" i="59"/>
  <c r="AH210" i="59"/>
  <c r="AG221" i="59"/>
  <c r="AH221" i="59"/>
  <c r="AG226" i="59"/>
  <c r="AH226" i="59"/>
  <c r="AG253" i="59"/>
  <c r="AH253" i="59"/>
  <c r="AG256" i="59"/>
  <c r="AH256" i="59"/>
  <c r="AG234" i="59"/>
  <c r="AH234" i="59"/>
  <c r="AG257" i="59"/>
  <c r="AH257" i="59"/>
  <c r="AG222" i="59"/>
  <c r="AH222" i="59"/>
  <c r="AG238" i="59"/>
  <c r="AH238" i="59"/>
  <c r="AG233" i="59"/>
  <c r="AH233" i="59"/>
  <c r="AG236" i="59"/>
  <c r="AH236" i="59"/>
  <c r="AG242" i="59"/>
  <c r="AH242" i="59"/>
  <c r="AG196" i="59"/>
  <c r="AH196" i="59"/>
  <c r="AG202" i="59"/>
  <c r="AH202" i="59"/>
  <c r="AG218" i="59"/>
  <c r="AH218" i="59"/>
  <c r="AG237" i="59"/>
  <c r="AH237" i="59"/>
  <c r="AG246" i="59"/>
  <c r="AH246" i="59"/>
  <c r="AG241" i="59"/>
  <c r="AH241" i="59"/>
  <c r="AG250" i="59"/>
  <c r="AH250" i="59"/>
  <c r="AG193" i="59"/>
  <c r="AH193" i="59"/>
  <c r="AG198" i="59"/>
  <c r="AH198" i="59"/>
  <c r="AG209" i="59"/>
  <c r="AH209" i="59"/>
  <c r="AG214" i="59"/>
  <c r="AH214" i="59"/>
  <c r="AG225" i="59"/>
  <c r="AH225" i="59"/>
  <c r="AG230" i="59"/>
  <c r="AG245" i="59"/>
  <c r="AH245" i="59"/>
  <c r="AG254" i="59"/>
  <c r="AH254" i="59"/>
  <c r="AG249" i="59"/>
  <c r="AH249" i="59"/>
  <c r="AG258" i="59"/>
  <c r="AH258" i="59"/>
  <c r="S7" i="78"/>
  <c r="S8" i="78"/>
  <c r="S6" i="78"/>
  <c r="T55" i="22"/>
  <c r="AA12" i="59"/>
  <c r="Q13" i="59"/>
  <c r="T13" i="59"/>
  <c r="Q14" i="59"/>
  <c r="T14" i="59"/>
  <c r="Q15" i="59"/>
  <c r="T15" i="59"/>
  <c r="C11" i="107"/>
  <c r="AB54" i="69"/>
  <c r="AC54" i="69"/>
  <c r="AD54" i="69"/>
  <c r="AP56" i="69"/>
  <c r="N56" i="69"/>
  <c r="U56" i="69"/>
  <c r="AH230" i="59"/>
  <c r="AB257" i="71"/>
  <c r="X96" i="22"/>
  <c r="AU19" i="59"/>
  <c r="AU17" i="59"/>
  <c r="AF55" i="69"/>
  <c r="Q55" i="69"/>
  <c r="O72" i="57"/>
  <c r="AG72" i="57" s="1"/>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U255" i="59"/>
  <c r="AH23" i="59"/>
  <c r="AH21" i="59"/>
  <c r="AH19" i="59"/>
  <c r="AH17" i="59"/>
  <c r="AH16" i="59"/>
  <c r="AY55" i="69"/>
  <c r="L72" i="57"/>
  <c r="AH15" i="59"/>
  <c r="AH14" i="59"/>
  <c r="N72" i="57"/>
  <c r="AH55" i="69"/>
  <c r="AH13" i="59"/>
  <c r="I72" i="57"/>
  <c r="F72" i="57"/>
  <c r="E72" i="57"/>
  <c r="C72" i="57"/>
  <c r="M72" i="57" s="1"/>
  <c r="AE72" i="57" s="1"/>
  <c r="K72" i="57"/>
  <c r="J72" i="57"/>
  <c r="H72" i="57"/>
  <c r="D72" i="57"/>
  <c r="G72" i="57"/>
  <c r="AN71" i="55" a="1"/>
  <c r="AN71" i="55"/>
  <c r="B73" i="57"/>
  <c r="C57" i="69"/>
  <c r="P57" i="69"/>
  <c r="D56" i="69"/>
  <c r="E56" i="69"/>
  <c r="F56" i="69"/>
  <c r="G56" i="69"/>
  <c r="H56" i="69"/>
  <c r="I56" i="69"/>
  <c r="J56" i="69"/>
  <c r="K56" i="69"/>
  <c r="M56" i="69"/>
  <c r="AR57" i="67" a="1"/>
  <c r="AR57" i="67"/>
  <c r="B58" i="69"/>
  <c r="L58" i="69"/>
  <c r="AE55" i="69"/>
  <c r="R55" i="69"/>
  <c r="S55" i="69"/>
  <c r="Y55" i="69"/>
  <c r="S9" i="78"/>
  <c r="AP12" i="59" a="1"/>
  <c r="AP12" i="59"/>
  <c r="E13" i="50"/>
  <c r="E12" i="50"/>
  <c r="AO14" i="59" a="1"/>
  <c r="AO14" i="59"/>
  <c r="L7" i="29"/>
  <c r="T135" i="22"/>
  <c r="AA14" i="59"/>
  <c r="AA13" i="59"/>
  <c r="AU13" i="59"/>
  <c r="T8" i="22"/>
  <c r="AA15" i="59"/>
  <c r="AU15" i="59"/>
  <c r="AP57" i="69"/>
  <c r="N57" i="69"/>
  <c r="U57" i="69"/>
  <c r="T5" i="22"/>
  <c r="AU230" i="59"/>
  <c r="O13" i="50"/>
  <c r="T13" i="50"/>
  <c r="AU16" i="59"/>
  <c r="AU14" i="59"/>
  <c r="O12" i="50"/>
  <c r="AF56" i="69"/>
  <c r="Q56" i="69"/>
  <c r="O73" i="57"/>
  <c r="AG73" i="57" s="1"/>
  <c r="P73" i="57"/>
  <c r="AU32" i="59"/>
  <c r="AU43" i="59"/>
  <c r="AU44" i="59"/>
  <c r="AU52" i="59"/>
  <c r="AU51" i="59"/>
  <c r="AU46" i="59"/>
  <c r="AU49" i="59"/>
  <c r="AU41" i="59"/>
  <c r="AB55" i="69"/>
  <c r="AG55" i="69"/>
  <c r="AO57" i="69"/>
  <c r="O58" i="69"/>
  <c r="AU12" i="59"/>
  <c r="AL30" i="22"/>
  <c r="AL32" i="22"/>
  <c r="AY56" i="69"/>
  <c r="L73" i="57"/>
  <c r="N73" i="57"/>
  <c r="AH56" i="69"/>
  <c r="A13" i="50"/>
  <c r="Q13" i="50" s="1"/>
  <c r="P13" i="50" s="1"/>
  <c r="I13" i="50"/>
  <c r="M13" i="50"/>
  <c r="G13" i="50"/>
  <c r="B13" i="50"/>
  <c r="R13" i="50" s="1"/>
  <c r="S13" i="50" s="1"/>
  <c r="W13" i="50" s="1"/>
  <c r="X13" i="50" s="1"/>
  <c r="K13" i="50"/>
  <c r="J13" i="50"/>
  <c r="N13" i="50"/>
  <c r="H13" i="50"/>
  <c r="L13" i="50"/>
  <c r="F13" i="50"/>
  <c r="U13" i="50" s="1"/>
  <c r="F12" i="50"/>
  <c r="U12" i="50" s="1"/>
  <c r="B12" i="50"/>
  <c r="R12" i="50" s="1"/>
  <c r="S12" i="50" s="1"/>
  <c r="A12" i="50"/>
  <c r="Q12" i="50" s="1"/>
  <c r="J12" i="50"/>
  <c r="H12" i="50"/>
  <c r="K12" i="50"/>
  <c r="G12" i="50"/>
  <c r="C73" i="57"/>
  <c r="M73" i="57" s="1"/>
  <c r="R73" i="57" s="1"/>
  <c r="I73" i="57"/>
  <c r="H73" i="57"/>
  <c r="G73" i="57"/>
  <c r="E73" i="57"/>
  <c r="D73" i="57"/>
  <c r="K73" i="57"/>
  <c r="F73" i="57"/>
  <c r="J73" i="57"/>
  <c r="AN72" i="55" a="1"/>
  <c r="AN72" i="55"/>
  <c r="B74" i="57"/>
  <c r="R56" i="69"/>
  <c r="S56" i="69"/>
  <c r="AE56" i="69"/>
  <c r="D57" i="69"/>
  <c r="E57" i="69"/>
  <c r="F57" i="69"/>
  <c r="G57" i="69"/>
  <c r="H57" i="69"/>
  <c r="I57" i="69"/>
  <c r="J57" i="69"/>
  <c r="K57" i="69"/>
  <c r="M57" i="69"/>
  <c r="C58" i="69"/>
  <c r="P58" i="69"/>
  <c r="AR58" i="67" a="1"/>
  <c r="AR58" i="67"/>
  <c r="B59" i="69"/>
  <c r="L59" i="69"/>
  <c r="AP13" i="59" a="1"/>
  <c r="AP13" i="59"/>
  <c r="E14" i="50"/>
  <c r="AO15" i="59" a="1"/>
  <c r="AO15" i="59"/>
  <c r="Y56" i="69"/>
  <c r="AB56" i="69"/>
  <c r="AC56" i="69"/>
  <c r="AD56" i="69"/>
  <c r="AP58" i="69"/>
  <c r="N58" i="69"/>
  <c r="U58" i="69"/>
  <c r="T14" i="50"/>
  <c r="O14" i="50"/>
  <c r="AF57" i="69"/>
  <c r="Q57" i="69"/>
  <c r="O74" i="57"/>
  <c r="AG74" i="57" s="1"/>
  <c r="P74" i="57"/>
  <c r="AL31" i="22"/>
  <c r="AC55" i="69"/>
  <c r="AD55" i="69"/>
  <c r="O59" i="69"/>
  <c r="AO58" i="69"/>
  <c r="AY57" i="69"/>
  <c r="L74" i="57"/>
  <c r="N74" i="57"/>
  <c r="AH57" i="69"/>
  <c r="I14" i="50"/>
  <c r="B14" i="50"/>
  <c r="R14" i="50" s="1"/>
  <c r="S14" i="50" s="1"/>
  <c r="H14" i="50"/>
  <c r="N14" i="50"/>
  <c r="F14" i="50"/>
  <c r="U14" i="50" s="1"/>
  <c r="L14" i="50"/>
  <c r="M14" i="50"/>
  <c r="A14" i="50"/>
  <c r="Q14" i="50" s="1"/>
  <c r="P14" i="50" s="1"/>
  <c r="G14" i="50"/>
  <c r="K14" i="50"/>
  <c r="J14" i="50"/>
  <c r="J74" i="57"/>
  <c r="G74" i="57"/>
  <c r="D74" i="57"/>
  <c r="K74" i="57"/>
  <c r="F74" i="57"/>
  <c r="E74" i="57"/>
  <c r="I74" i="57"/>
  <c r="C74" i="57"/>
  <c r="M74" i="57" s="1"/>
  <c r="H74" i="57"/>
  <c r="AN73" i="55" a="1"/>
  <c r="AN73" i="55"/>
  <c r="B75" i="57"/>
  <c r="AR59" i="67" a="1"/>
  <c r="AR59" i="67"/>
  <c r="B60" i="69"/>
  <c r="L60" i="69"/>
  <c r="D58" i="69"/>
  <c r="E58" i="69"/>
  <c r="F58" i="69"/>
  <c r="G58" i="69"/>
  <c r="H58" i="69"/>
  <c r="I58" i="69"/>
  <c r="J58" i="69"/>
  <c r="K58" i="69"/>
  <c r="M58" i="69"/>
  <c r="AE57" i="69"/>
  <c r="R57" i="69"/>
  <c r="S57" i="69"/>
  <c r="Y57" i="69"/>
  <c r="C59" i="69"/>
  <c r="P59" i="69"/>
  <c r="AP14" i="59" a="1"/>
  <c r="AP14" i="59"/>
  <c r="E15" i="50"/>
  <c r="AO16" i="59" a="1"/>
  <c r="AO16" i="59"/>
  <c r="AO17" i="59" a="1"/>
  <c r="AO17" i="59"/>
  <c r="AG56" i="69"/>
  <c r="AP59" i="69"/>
  <c r="N59" i="69"/>
  <c r="U59" i="69"/>
  <c r="T15" i="50"/>
  <c r="O15" i="50"/>
  <c r="AF58" i="69"/>
  <c r="Q58" i="69"/>
  <c r="O75" i="57"/>
  <c r="AG75" i="57" s="1"/>
  <c r="P75" i="57"/>
  <c r="AB57" i="69"/>
  <c r="AG57" i="69"/>
  <c r="AO59" i="69"/>
  <c r="O60" i="69"/>
  <c r="AY58" i="69"/>
  <c r="L75" i="57"/>
  <c r="N75" i="57"/>
  <c r="AH58" i="69"/>
  <c r="K15" i="50"/>
  <c r="B15" i="50"/>
  <c r="R15" i="50" s="1"/>
  <c r="S15" i="50" s="1"/>
  <c r="A15" i="50"/>
  <c r="Q15" i="50" s="1"/>
  <c r="P15" i="50" s="1"/>
  <c r="F15" i="50"/>
  <c r="U15" i="50" s="1"/>
  <c r="M15" i="50"/>
  <c r="H15" i="50"/>
  <c r="I15" i="50"/>
  <c r="J15" i="50"/>
  <c r="N15" i="50"/>
  <c r="G15" i="50"/>
  <c r="L15" i="50"/>
  <c r="D75" i="57"/>
  <c r="K75" i="57"/>
  <c r="I75" i="57"/>
  <c r="H75" i="57"/>
  <c r="G75" i="57"/>
  <c r="E75" i="57"/>
  <c r="C75" i="57"/>
  <c r="M75" i="57" s="1"/>
  <c r="F75" i="57"/>
  <c r="J75" i="57"/>
  <c r="AN74" i="55" a="1"/>
  <c r="AN74" i="55"/>
  <c r="B76" i="57"/>
  <c r="AR60" i="67" a="1"/>
  <c r="AR60" i="67"/>
  <c r="B61" i="69"/>
  <c r="L61" i="69"/>
  <c r="D59" i="69"/>
  <c r="E59" i="69"/>
  <c r="F59" i="69"/>
  <c r="G59" i="69"/>
  <c r="H59" i="69"/>
  <c r="I59" i="69"/>
  <c r="J59" i="69"/>
  <c r="K59" i="69"/>
  <c r="M59" i="69"/>
  <c r="AE58" i="69"/>
  <c r="R58" i="69"/>
  <c r="S58" i="69"/>
  <c r="C60" i="69"/>
  <c r="P60" i="69"/>
  <c r="AP15" i="59" a="1"/>
  <c r="AP15" i="59"/>
  <c r="E16" i="50"/>
  <c r="AO18" i="59" a="1"/>
  <c r="AO18" i="59"/>
  <c r="Y58" i="69"/>
  <c r="AB58" i="69"/>
  <c r="AC58" i="69"/>
  <c r="AD58" i="69"/>
  <c r="AP60" i="69"/>
  <c r="N60" i="69"/>
  <c r="U60" i="69"/>
  <c r="O16" i="50"/>
  <c r="T16" i="50"/>
  <c r="AF59" i="69"/>
  <c r="Q59" i="69"/>
  <c r="O76" i="57"/>
  <c r="P76" i="57"/>
  <c r="AC57" i="69"/>
  <c r="AD57" i="69"/>
  <c r="AO60" i="69"/>
  <c r="O61" i="69"/>
  <c r="AY59" i="69"/>
  <c r="L76" i="57"/>
  <c r="N76" i="57"/>
  <c r="AH59" i="69"/>
  <c r="B16" i="50"/>
  <c r="R16" i="50" s="1"/>
  <c r="S16" i="50" s="1"/>
  <c r="M16" i="50"/>
  <c r="L16" i="50"/>
  <c r="K16" i="50"/>
  <c r="G16" i="50"/>
  <c r="N16" i="50"/>
  <c r="A16" i="50"/>
  <c r="Q16" i="50" s="1"/>
  <c r="P16" i="50" s="1"/>
  <c r="F16" i="50"/>
  <c r="U16" i="50" s="1"/>
  <c r="H16" i="50"/>
  <c r="I16" i="50"/>
  <c r="J16" i="50"/>
  <c r="F76" i="57"/>
  <c r="K76" i="57"/>
  <c r="I76" i="57"/>
  <c r="C76" i="57"/>
  <c r="M76" i="57" s="1"/>
  <c r="H76" i="57"/>
  <c r="D76" i="57"/>
  <c r="G76" i="57"/>
  <c r="E76" i="57"/>
  <c r="J76" i="57"/>
  <c r="AN75" i="55" a="1"/>
  <c r="AN75" i="55"/>
  <c r="B77" i="57"/>
  <c r="D60" i="69"/>
  <c r="E60" i="69"/>
  <c r="F60" i="69"/>
  <c r="G60" i="69"/>
  <c r="H60" i="69"/>
  <c r="I60" i="69"/>
  <c r="J60" i="69"/>
  <c r="K60" i="69"/>
  <c r="M60" i="69"/>
  <c r="AE59" i="69"/>
  <c r="R59" i="69"/>
  <c r="S59" i="69"/>
  <c r="Y59" i="69"/>
  <c r="C61" i="69"/>
  <c r="P61" i="69"/>
  <c r="AR61" i="67" a="1"/>
  <c r="AR61" i="67"/>
  <c r="B62" i="69"/>
  <c r="L62" i="69"/>
  <c r="AP16" i="59" a="1"/>
  <c r="AP16" i="59"/>
  <c r="E17" i="50"/>
  <c r="AO19" i="59" a="1"/>
  <c r="AO19" i="59"/>
  <c r="AG58" i="69"/>
  <c r="AP61" i="69"/>
  <c r="N61" i="69"/>
  <c r="U61" i="69"/>
  <c r="O17" i="50"/>
  <c r="T17" i="50"/>
  <c r="AF60" i="69"/>
  <c r="Q60" i="69"/>
  <c r="O77" i="57"/>
  <c r="AG77" i="57" s="1"/>
  <c r="P77" i="57"/>
  <c r="AB59" i="69"/>
  <c r="AG59" i="69"/>
  <c r="AO61" i="69"/>
  <c r="O62" i="69"/>
  <c r="AY60" i="69"/>
  <c r="L77" i="57"/>
  <c r="N77" i="57"/>
  <c r="AH60" i="69"/>
  <c r="M17" i="50"/>
  <c r="K17" i="50"/>
  <c r="H17" i="50"/>
  <c r="N17" i="50"/>
  <c r="B17" i="50"/>
  <c r="R17" i="50" s="1"/>
  <c r="S17" i="50" s="1"/>
  <c r="W17" i="50" s="1"/>
  <c r="X17" i="50" s="1"/>
  <c r="L17" i="50"/>
  <c r="G17" i="50"/>
  <c r="I17" i="50"/>
  <c r="A17" i="50"/>
  <c r="Q17" i="50" s="1"/>
  <c r="P17" i="50" s="1"/>
  <c r="J17" i="50"/>
  <c r="F17" i="50"/>
  <c r="U17" i="50" s="1"/>
  <c r="K77" i="57"/>
  <c r="G77" i="57"/>
  <c r="E77" i="57"/>
  <c r="D77" i="57"/>
  <c r="C77" i="57"/>
  <c r="M77" i="57" s="1"/>
  <c r="I77" i="57"/>
  <c r="H77" i="57"/>
  <c r="F77" i="57"/>
  <c r="J77" i="57"/>
  <c r="AN76" i="55" a="1"/>
  <c r="AN76" i="55"/>
  <c r="B78" i="57"/>
  <c r="AR62" i="67" a="1"/>
  <c r="AR62" i="67"/>
  <c r="B63" i="69"/>
  <c r="L63" i="69"/>
  <c r="AE60" i="69"/>
  <c r="R60" i="69"/>
  <c r="S60" i="69"/>
  <c r="Y60" i="69"/>
  <c r="C62" i="69"/>
  <c r="P62" i="69"/>
  <c r="D61" i="69"/>
  <c r="E61" i="69"/>
  <c r="F61" i="69"/>
  <c r="G61" i="69"/>
  <c r="H61" i="69"/>
  <c r="I61" i="69"/>
  <c r="J61" i="69"/>
  <c r="K61" i="69"/>
  <c r="M61" i="69"/>
  <c r="AP17" i="59" a="1"/>
  <c r="AP17" i="59"/>
  <c r="E18" i="50"/>
  <c r="AO20" i="59" a="1"/>
  <c r="AO20" i="59"/>
  <c r="AO21" i="59" a="1"/>
  <c r="AO21" i="59"/>
  <c r="AO22" i="59" a="1"/>
  <c r="AO22" i="59"/>
  <c r="AO23" i="59" a="1"/>
  <c r="AO23" i="59"/>
  <c r="AO24" i="59" a="1"/>
  <c r="AO24" i="59"/>
  <c r="AO25" i="59" a="1"/>
  <c r="AO25" i="59"/>
  <c r="AO26" i="59" a="1"/>
  <c r="AO26" i="59"/>
  <c r="AO27" i="59" a="1"/>
  <c r="AO27" i="59"/>
  <c r="AO28" i="59" a="1"/>
  <c r="AO28" i="59"/>
  <c r="AO29" i="59" a="1"/>
  <c r="AO29" i="59"/>
  <c r="AO30" i="59" a="1"/>
  <c r="AO30" i="59"/>
  <c r="AO31" i="59" a="1"/>
  <c r="AO31" i="59"/>
  <c r="AO32" i="59" a="1"/>
  <c r="AO32" i="59"/>
  <c r="AO33" i="59" a="1"/>
  <c r="AO33" i="59"/>
  <c r="AO34" i="59" a="1"/>
  <c r="AO34" i="59"/>
  <c r="AO35" i="59" a="1"/>
  <c r="AO35" i="59"/>
  <c r="AO36" i="59" a="1"/>
  <c r="AO36" i="59"/>
  <c r="AO37" i="59" a="1"/>
  <c r="AO37" i="59"/>
  <c r="AO38" i="59" a="1"/>
  <c r="AO38" i="59"/>
  <c r="AO39" i="59" a="1"/>
  <c r="AO39" i="59"/>
  <c r="AO40" i="59" a="1"/>
  <c r="AO40" i="59"/>
  <c r="AO41" i="59" a="1"/>
  <c r="AO41" i="59"/>
  <c r="AO42" i="59" a="1"/>
  <c r="AO42" i="59"/>
  <c r="AO43" i="59" a="1"/>
  <c r="AO43" i="59"/>
  <c r="AO44" i="59" a="1"/>
  <c r="AO44" i="59"/>
  <c r="AO45" i="59" a="1"/>
  <c r="AO45" i="59"/>
  <c r="AO46" i="59" a="1"/>
  <c r="AO46" i="59"/>
  <c r="AO47" i="59" a="1"/>
  <c r="AO47" i="59"/>
  <c r="AO48" i="59" a="1"/>
  <c r="AO48" i="59"/>
  <c r="AO49" i="59" a="1"/>
  <c r="AO49" i="59"/>
  <c r="AO50" i="59" a="1"/>
  <c r="AO50" i="59"/>
  <c r="AO51" i="59" a="1"/>
  <c r="AO51" i="59"/>
  <c r="AO52" i="59" a="1"/>
  <c r="AO52" i="59"/>
  <c r="AO53" i="59" a="1"/>
  <c r="AO53" i="59"/>
  <c r="AO54" i="59" a="1"/>
  <c r="AO54" i="59"/>
  <c r="AO55" i="59" a="1"/>
  <c r="AO55" i="59"/>
  <c r="AO56" i="59" a="1"/>
  <c r="AO56" i="59"/>
  <c r="AO57" i="59" a="1"/>
  <c r="AO57" i="59"/>
  <c r="AO58" i="59" a="1"/>
  <c r="AO58" i="59"/>
  <c r="AO59" i="59" a="1"/>
  <c r="AO59" i="59"/>
  <c r="AO60" i="59" a="1"/>
  <c r="AO60" i="59"/>
  <c r="AO61" i="59" a="1"/>
  <c r="AO61" i="59"/>
  <c r="AO62" i="59" a="1"/>
  <c r="AO62" i="59"/>
  <c r="AO63" i="59" a="1"/>
  <c r="AO63" i="59"/>
  <c r="AO64" i="59" a="1"/>
  <c r="AO64" i="59"/>
  <c r="AO65" i="59" a="1"/>
  <c r="AO65" i="59"/>
  <c r="AO66" i="59" a="1"/>
  <c r="AO66" i="59"/>
  <c r="AO67" i="59" a="1"/>
  <c r="AO67" i="59"/>
  <c r="AO68" i="59" a="1"/>
  <c r="AO68" i="59"/>
  <c r="AO69" i="59" a="1"/>
  <c r="AO69" i="59"/>
  <c r="AO70" i="59" a="1"/>
  <c r="AO70" i="59"/>
  <c r="AO71" i="59" a="1"/>
  <c r="AO71" i="59"/>
  <c r="AO72" i="59" a="1"/>
  <c r="AO72" i="59"/>
  <c r="AO73" i="59" a="1"/>
  <c r="AO73" i="59"/>
  <c r="AO74" i="59" a="1"/>
  <c r="AO74" i="59"/>
  <c r="AO75" i="59" a="1"/>
  <c r="AO75" i="59"/>
  <c r="AO76" i="59" a="1"/>
  <c r="AO76" i="59"/>
  <c r="AO77" i="59" a="1"/>
  <c r="AO77" i="59"/>
  <c r="AO78" i="59" a="1"/>
  <c r="AO78" i="59"/>
  <c r="AO79" i="59" a="1"/>
  <c r="AO79" i="59"/>
  <c r="AO80" i="59" a="1"/>
  <c r="AO80" i="59"/>
  <c r="AO81" i="59" a="1"/>
  <c r="AO81" i="59"/>
  <c r="AO82" i="59" a="1"/>
  <c r="AO82" i="59"/>
  <c r="AO83" i="59" a="1"/>
  <c r="AO83" i="59"/>
  <c r="AO84" i="59" a="1"/>
  <c r="AO84" i="59"/>
  <c r="AO85" i="59" a="1"/>
  <c r="AO85" i="59"/>
  <c r="AO86" i="59" a="1"/>
  <c r="AO86" i="59"/>
  <c r="AO87" i="59" a="1"/>
  <c r="AO87" i="59"/>
  <c r="AO88" i="59" a="1"/>
  <c r="AO88" i="59"/>
  <c r="AO89" i="59" a="1"/>
  <c r="AO89" i="59"/>
  <c r="AO90" i="59" a="1"/>
  <c r="AO90" i="59"/>
  <c r="AO91" i="59" a="1"/>
  <c r="AO91" i="59"/>
  <c r="AO92" i="59" a="1"/>
  <c r="AO92" i="59"/>
  <c r="AO93" i="59" a="1"/>
  <c r="AO93" i="59"/>
  <c r="AO94" i="59" a="1"/>
  <c r="AO94" i="59"/>
  <c r="AO95" i="59" a="1"/>
  <c r="AO95" i="59"/>
  <c r="AO96" i="59" a="1"/>
  <c r="AO96" i="59"/>
  <c r="AO97" i="59" a="1"/>
  <c r="AO97" i="59"/>
  <c r="AO98" i="59" a="1"/>
  <c r="AO98" i="59"/>
  <c r="AO99" i="59" a="1"/>
  <c r="AO99" i="59"/>
  <c r="AO100" i="59" a="1"/>
  <c r="AO100" i="59"/>
  <c r="AO101" i="59" a="1"/>
  <c r="AO101" i="59"/>
  <c r="AO102" i="59" a="1"/>
  <c r="AO102" i="59"/>
  <c r="AO103" i="59" a="1"/>
  <c r="AO103" i="59"/>
  <c r="AO104" i="59" a="1"/>
  <c r="AO104" i="59"/>
  <c r="AO105" i="59" a="1"/>
  <c r="AO105" i="59"/>
  <c r="AO106" i="59" a="1"/>
  <c r="AO106" i="59"/>
  <c r="AO107" i="59" a="1"/>
  <c r="AO107" i="59"/>
  <c r="AO108" i="59" a="1"/>
  <c r="AO108" i="59"/>
  <c r="AO109" i="59" a="1"/>
  <c r="AO109" i="59"/>
  <c r="AO110" i="59" a="1"/>
  <c r="AO110" i="59"/>
  <c r="AO111" i="59" a="1"/>
  <c r="AO111" i="59"/>
  <c r="AO112" i="59" a="1"/>
  <c r="AO112" i="59"/>
  <c r="AO113" i="59" a="1"/>
  <c r="AO113" i="59"/>
  <c r="AO114" i="59" a="1"/>
  <c r="AO114" i="59"/>
  <c r="AO115" i="59" a="1"/>
  <c r="AO115" i="59"/>
  <c r="AO116" i="59" a="1"/>
  <c r="AO116" i="59"/>
  <c r="AO117" i="59" a="1"/>
  <c r="AO117" i="59"/>
  <c r="AO118" i="59" a="1"/>
  <c r="AO118" i="59"/>
  <c r="AO119" i="59" a="1"/>
  <c r="AO119" i="59"/>
  <c r="AO120" i="59" a="1"/>
  <c r="AO120" i="59"/>
  <c r="AO121" i="59" a="1"/>
  <c r="AO121" i="59"/>
  <c r="AO122" i="59" a="1"/>
  <c r="AO122" i="59"/>
  <c r="AO123" i="59" a="1"/>
  <c r="AO123" i="59"/>
  <c r="AO124" i="59" a="1"/>
  <c r="AO124" i="59"/>
  <c r="AO125" i="59" a="1"/>
  <c r="AO125" i="59"/>
  <c r="AO126" i="59" a="1"/>
  <c r="AO126" i="59"/>
  <c r="AO127" i="59" a="1"/>
  <c r="AO127" i="59"/>
  <c r="AO128" i="59" a="1"/>
  <c r="AO128" i="59"/>
  <c r="AO129" i="59" a="1"/>
  <c r="AO129" i="59"/>
  <c r="AO130" i="59" a="1"/>
  <c r="AO130" i="59"/>
  <c r="AO131" i="59" a="1"/>
  <c r="AO131" i="59"/>
  <c r="AO132" i="59" a="1"/>
  <c r="AO132" i="59"/>
  <c r="AO133" i="59" a="1"/>
  <c r="AO133" i="59"/>
  <c r="AO134" i="59" a="1"/>
  <c r="AO134" i="59"/>
  <c r="AO135" i="59" a="1"/>
  <c r="AO135" i="59"/>
  <c r="AO136" i="59" a="1"/>
  <c r="AO136" i="59"/>
  <c r="AO137" i="59" a="1"/>
  <c r="AO137" i="59"/>
  <c r="AO138" i="59" a="1"/>
  <c r="AO138" i="59"/>
  <c r="AO139" i="59" a="1"/>
  <c r="AO139" i="59"/>
  <c r="AO140" i="59" a="1"/>
  <c r="AO140" i="59"/>
  <c r="AO141" i="59" a="1"/>
  <c r="AO141" i="59"/>
  <c r="AO142" i="59" a="1"/>
  <c r="AO142" i="59"/>
  <c r="AO143" i="59" a="1"/>
  <c r="AO143" i="59"/>
  <c r="AO144" i="59" a="1"/>
  <c r="AO144" i="59"/>
  <c r="AO145" i="59" a="1"/>
  <c r="AO145" i="59"/>
  <c r="AO146" i="59" a="1"/>
  <c r="AO146" i="59"/>
  <c r="AO147" i="59" a="1"/>
  <c r="AO147" i="59"/>
  <c r="AO148" i="59" a="1"/>
  <c r="AO148" i="59"/>
  <c r="AO149" i="59" a="1"/>
  <c r="AO149" i="59"/>
  <c r="AO150" i="59" a="1"/>
  <c r="AO150" i="59"/>
  <c r="AO151" i="59" a="1"/>
  <c r="AO151" i="59"/>
  <c r="AO152" i="59" a="1"/>
  <c r="AO152" i="59"/>
  <c r="AO153" i="59" a="1"/>
  <c r="AO153" i="59"/>
  <c r="AO154" i="59" a="1"/>
  <c r="AO154" i="59"/>
  <c r="AO155" i="59" a="1"/>
  <c r="AO155" i="59"/>
  <c r="AO156" i="59" a="1"/>
  <c r="AO156" i="59"/>
  <c r="AO157" i="59" a="1"/>
  <c r="AO157" i="59"/>
  <c r="AO158" i="59" a="1"/>
  <c r="AO158" i="59"/>
  <c r="AO159" i="59" a="1"/>
  <c r="AO159" i="59"/>
  <c r="AO160" i="59" a="1"/>
  <c r="AO160" i="59"/>
  <c r="AO161" i="59" a="1"/>
  <c r="AO161" i="59"/>
  <c r="AO162" i="59" a="1"/>
  <c r="AO162" i="59"/>
  <c r="AO163" i="59" a="1"/>
  <c r="AO163" i="59"/>
  <c r="AO164" i="59" a="1"/>
  <c r="AO164" i="59"/>
  <c r="AO165" i="59" a="1"/>
  <c r="AO165" i="59"/>
  <c r="AO166" i="59" a="1"/>
  <c r="AO166" i="59"/>
  <c r="AO167" i="59" a="1"/>
  <c r="AO167" i="59"/>
  <c r="AO168" i="59" a="1"/>
  <c r="AO168" i="59"/>
  <c r="AO169" i="59" a="1"/>
  <c r="AO169" i="59"/>
  <c r="AO170" i="59" a="1"/>
  <c r="AO170" i="59"/>
  <c r="AO171" i="59" a="1"/>
  <c r="AO171" i="59"/>
  <c r="AO172" i="59" a="1"/>
  <c r="AO172" i="59"/>
  <c r="AO173" i="59" a="1"/>
  <c r="AO173" i="59"/>
  <c r="AO174" i="59" a="1"/>
  <c r="AO174" i="59"/>
  <c r="AO175" i="59" a="1"/>
  <c r="AO175" i="59"/>
  <c r="AO176" i="59" a="1"/>
  <c r="AO176" i="59"/>
  <c r="AO177" i="59" a="1"/>
  <c r="AO177" i="59"/>
  <c r="AO178" i="59" a="1"/>
  <c r="AO178" i="59"/>
  <c r="AO179" i="59" a="1"/>
  <c r="AO179" i="59"/>
  <c r="AO180" i="59" a="1"/>
  <c r="AO180" i="59"/>
  <c r="AO181" i="59" a="1"/>
  <c r="AO181" i="59"/>
  <c r="AO182" i="59" a="1"/>
  <c r="AO182" i="59"/>
  <c r="AO183" i="59" a="1"/>
  <c r="AO183" i="59"/>
  <c r="AO184" i="59" a="1"/>
  <c r="AO184" i="59"/>
  <c r="AO185" i="59" a="1"/>
  <c r="AO185" i="59"/>
  <c r="AO186" i="59" a="1"/>
  <c r="AO186" i="59"/>
  <c r="AO187" i="59" a="1"/>
  <c r="AO187" i="59"/>
  <c r="AO188" i="59" a="1"/>
  <c r="AO188" i="59"/>
  <c r="AO189" i="59" a="1"/>
  <c r="AO189" i="59"/>
  <c r="AO190" i="59" a="1"/>
  <c r="AO190" i="59"/>
  <c r="AO191" i="59" a="1"/>
  <c r="AO191" i="59"/>
  <c r="AO192" i="59" a="1"/>
  <c r="AO192" i="59"/>
  <c r="AO193" i="59" a="1"/>
  <c r="AO193" i="59"/>
  <c r="AO194" i="59" a="1"/>
  <c r="AO194" i="59"/>
  <c r="AO195" i="59" a="1"/>
  <c r="AO195" i="59"/>
  <c r="AO196" i="59" a="1"/>
  <c r="AO196" i="59"/>
  <c r="AO197" i="59" a="1"/>
  <c r="AO197" i="59"/>
  <c r="AO198" i="59" a="1"/>
  <c r="AO198" i="59"/>
  <c r="AO199" i="59" a="1"/>
  <c r="AO199" i="59"/>
  <c r="AO200" i="59" a="1"/>
  <c r="AO200" i="59"/>
  <c r="AO201" i="59" a="1"/>
  <c r="AO201" i="59"/>
  <c r="AO202" i="59" a="1"/>
  <c r="AO202" i="59"/>
  <c r="AO203" i="59" a="1"/>
  <c r="AO203" i="59"/>
  <c r="AO204" i="59" a="1"/>
  <c r="AO204" i="59"/>
  <c r="AO205" i="59" a="1"/>
  <c r="AO205" i="59"/>
  <c r="AO206" i="59" a="1"/>
  <c r="AO206" i="59"/>
  <c r="AO207" i="59" a="1"/>
  <c r="AO207" i="59"/>
  <c r="AO208" i="59" a="1"/>
  <c r="AO208" i="59"/>
  <c r="AO209" i="59" a="1"/>
  <c r="AO209" i="59"/>
  <c r="AO210" i="59" a="1"/>
  <c r="AO210" i="59"/>
  <c r="AO211" i="59" a="1"/>
  <c r="AO211" i="59"/>
  <c r="AO212" i="59" a="1"/>
  <c r="AO212" i="59"/>
  <c r="AO213" i="59" a="1"/>
  <c r="AO213" i="59"/>
  <c r="AO214" i="59" a="1"/>
  <c r="AO214" i="59"/>
  <c r="AO215" i="59" a="1"/>
  <c r="AO215" i="59"/>
  <c r="AO216" i="59" a="1"/>
  <c r="AO216" i="59"/>
  <c r="AO217" i="59" a="1"/>
  <c r="AO217" i="59"/>
  <c r="AO218" i="59" a="1"/>
  <c r="AO218" i="59"/>
  <c r="AO219" i="59" a="1"/>
  <c r="AO219" i="59"/>
  <c r="AO220" i="59" a="1"/>
  <c r="AO220" i="59"/>
  <c r="AO221" i="59" a="1"/>
  <c r="AO221" i="59"/>
  <c r="AO222" i="59" a="1"/>
  <c r="AO222" i="59"/>
  <c r="AO223" i="59" a="1"/>
  <c r="AO223" i="59"/>
  <c r="AO224" i="59" a="1"/>
  <c r="AO224" i="59"/>
  <c r="AO225" i="59" a="1"/>
  <c r="AO225" i="59"/>
  <c r="AO226" i="59" a="1"/>
  <c r="AO226" i="59"/>
  <c r="AO227" i="59" a="1"/>
  <c r="AO227" i="59"/>
  <c r="AO228" i="59" a="1"/>
  <c r="AO228" i="59"/>
  <c r="AO229" i="59" a="1"/>
  <c r="AO229" i="59"/>
  <c r="AO230" i="59" a="1"/>
  <c r="AO230" i="59"/>
  <c r="AO231" i="59" a="1"/>
  <c r="AO231" i="59"/>
  <c r="AO232" i="59" a="1"/>
  <c r="AO232" i="59"/>
  <c r="AO233" i="59" a="1"/>
  <c r="AO233" i="59"/>
  <c r="AO234" i="59" a="1"/>
  <c r="AO234" i="59"/>
  <c r="AO235" i="59" a="1"/>
  <c r="AO235" i="59"/>
  <c r="AO236" i="59" a="1"/>
  <c r="AO236" i="59"/>
  <c r="AO237" i="59" a="1"/>
  <c r="AO237" i="59"/>
  <c r="AO238" i="59" a="1"/>
  <c r="AO238" i="59"/>
  <c r="AO239" i="59" a="1"/>
  <c r="AO239" i="59"/>
  <c r="AO240" i="59" a="1"/>
  <c r="AO240" i="59"/>
  <c r="AO241" i="59" a="1"/>
  <c r="AO241" i="59"/>
  <c r="AO242" i="59" a="1"/>
  <c r="AO242" i="59"/>
  <c r="AO243" i="59" a="1"/>
  <c r="AO243" i="59"/>
  <c r="AO244" i="59" a="1"/>
  <c r="AO244" i="59"/>
  <c r="AO245" i="59" a="1"/>
  <c r="AO245" i="59"/>
  <c r="AO246" i="59" a="1"/>
  <c r="AO246" i="59"/>
  <c r="AO247" i="59" a="1"/>
  <c r="AO247" i="59"/>
  <c r="AO248" i="59" a="1"/>
  <c r="AO248" i="59"/>
  <c r="AO249" i="59" a="1"/>
  <c r="AO249" i="59"/>
  <c r="AO250" i="59" a="1"/>
  <c r="AO250" i="59"/>
  <c r="AO251" i="59" a="1"/>
  <c r="AO251" i="59"/>
  <c r="AO252" i="59" a="1"/>
  <c r="AO252" i="59"/>
  <c r="AO253" i="59" a="1"/>
  <c r="AO253" i="59"/>
  <c r="AO254" i="59" a="1"/>
  <c r="AO254" i="59"/>
  <c r="AO255" i="59" a="1"/>
  <c r="AO255" i="59"/>
  <c r="AO256" i="59" a="1"/>
  <c r="AO256" i="59"/>
  <c r="AO257" i="59" a="1"/>
  <c r="AO257" i="59"/>
  <c r="AO258" i="59" a="1"/>
  <c r="AO258" i="59"/>
  <c r="I104" i="22"/>
  <c r="AP62" i="69"/>
  <c r="N62" i="69"/>
  <c r="U62" i="69"/>
  <c r="T18" i="50"/>
  <c r="O18" i="50"/>
  <c r="AK13" i="50"/>
  <c r="AF61" i="69"/>
  <c r="Q61" i="69"/>
  <c r="O78" i="57"/>
  <c r="AG78" i="57" s="1"/>
  <c r="P78" i="57"/>
  <c r="AC59" i="69"/>
  <c r="AD59" i="69"/>
  <c r="AB60" i="69"/>
  <c r="AG60" i="69"/>
  <c r="AO62" i="69"/>
  <c r="O63" i="69"/>
  <c r="D4" i="22"/>
  <c r="AY61" i="69"/>
  <c r="L78" i="57"/>
  <c r="N78" i="57"/>
  <c r="AH61" i="69"/>
  <c r="F18" i="50"/>
  <c r="U18" i="50" s="1"/>
  <c r="L18" i="50"/>
  <c r="M18" i="50"/>
  <c r="B18" i="50"/>
  <c r="R18" i="50" s="1"/>
  <c r="S18" i="50" s="1"/>
  <c r="W18" i="50" s="1"/>
  <c r="X18" i="50" s="1"/>
  <c r="A18" i="50"/>
  <c r="Q18" i="50" s="1"/>
  <c r="P18" i="50" s="1"/>
  <c r="J18" i="50"/>
  <c r="H18" i="50"/>
  <c r="I18" i="50"/>
  <c r="N18" i="50"/>
  <c r="K18" i="50"/>
  <c r="G18" i="50"/>
  <c r="J78" i="57"/>
  <c r="E78" i="57"/>
  <c r="D78" i="57"/>
  <c r="G78" i="57"/>
  <c r="I78" i="57"/>
  <c r="C78" i="57"/>
  <c r="M78" i="57" s="1"/>
  <c r="K78" i="57"/>
  <c r="F78" i="57"/>
  <c r="H78" i="57"/>
  <c r="AN77" i="55" a="1"/>
  <c r="AN77" i="55"/>
  <c r="B79" i="57"/>
  <c r="AE61" i="69"/>
  <c r="R61" i="69"/>
  <c r="S61" i="69"/>
  <c r="Y61" i="69"/>
  <c r="D62" i="69"/>
  <c r="E62" i="69"/>
  <c r="F62" i="69"/>
  <c r="G62" i="69"/>
  <c r="H62" i="69"/>
  <c r="I62" i="69"/>
  <c r="J62" i="69"/>
  <c r="K62" i="69"/>
  <c r="M62" i="69"/>
  <c r="C63" i="69"/>
  <c r="P63" i="69"/>
  <c r="AR63" i="67" a="1"/>
  <c r="AR63" i="67"/>
  <c r="B64" i="69"/>
  <c r="L64" i="69"/>
  <c r="I103" i="22"/>
  <c r="I27" i="22"/>
  <c r="I45" i="22"/>
  <c r="I65" i="22"/>
  <c r="I69" i="22"/>
  <c r="I78" i="22"/>
  <c r="I39" i="22"/>
  <c r="I67" i="22"/>
  <c r="I71" i="22"/>
  <c r="I81" i="22"/>
  <c r="I99" i="22"/>
  <c r="I35" i="22"/>
  <c r="I68" i="22"/>
  <c r="I72" i="22"/>
  <c r="I74" i="22"/>
  <c r="I77" i="22"/>
  <c r="I42" i="22"/>
  <c r="I79" i="22"/>
  <c r="I91" i="22"/>
  <c r="I61" i="22"/>
  <c r="AP18" i="59" a="1"/>
  <c r="AP18" i="59"/>
  <c r="E19" i="50"/>
  <c r="X14" i="11"/>
  <c r="AC44" i="11"/>
  <c r="AC60" i="11"/>
  <c r="AC76" i="11"/>
  <c r="AC92" i="11"/>
  <c r="AC108" i="11"/>
  <c r="AC120" i="11"/>
  <c r="AC136" i="11"/>
  <c r="AC148" i="11"/>
  <c r="AC164" i="11"/>
  <c r="AC184" i="11"/>
  <c r="AC192" i="11"/>
  <c r="AC208" i="11"/>
  <c r="AC224" i="11"/>
  <c r="AC244" i="11"/>
  <c r="AC256" i="11"/>
  <c r="AC16" i="11"/>
  <c r="Q16" i="11" s="1"/>
  <c r="X16" i="11" s="1"/>
  <c r="AQ16" i="11" s="1"/>
  <c r="AQ33" i="11"/>
  <c r="AC37" i="11"/>
  <c r="AC41" i="11"/>
  <c r="AC45" i="11"/>
  <c r="AC49" i="11"/>
  <c r="AC53" i="11"/>
  <c r="AC57" i="11"/>
  <c r="AC61" i="11"/>
  <c r="AC65" i="11"/>
  <c r="AC73" i="11"/>
  <c r="AC77" i="11"/>
  <c r="AC81" i="11"/>
  <c r="AC85" i="11"/>
  <c r="AC89" i="11"/>
  <c r="AC97" i="11"/>
  <c r="AC101" i="11"/>
  <c r="AQ101" i="11"/>
  <c r="AC105" i="11"/>
  <c r="AC109" i="11"/>
  <c r="AC113" i="11"/>
  <c r="AC117" i="11"/>
  <c r="AC121" i="11"/>
  <c r="AC125" i="11"/>
  <c r="AC129" i="11"/>
  <c r="AC133" i="11"/>
  <c r="AQ133" i="1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48" i="11"/>
  <c r="AC56" i="11"/>
  <c r="AC72" i="11"/>
  <c r="AQ72" i="11"/>
  <c r="AC88" i="11"/>
  <c r="AC104" i="11"/>
  <c r="AQ104" i="11"/>
  <c r="AC116" i="11"/>
  <c r="AC132" i="11"/>
  <c r="AC152" i="11"/>
  <c r="AC168" i="11"/>
  <c r="AC180" i="11"/>
  <c r="AC196" i="11"/>
  <c r="AC212" i="11"/>
  <c r="AC228" i="11"/>
  <c r="AC240" i="11"/>
  <c r="AC252" i="11"/>
  <c r="AC46" i="11"/>
  <c r="AC58" i="11"/>
  <c r="AC66" i="11"/>
  <c r="AC74" i="11"/>
  <c r="AC78" i="11"/>
  <c r="AC82" i="11"/>
  <c r="AC86" i="11"/>
  <c r="AC90" i="11"/>
  <c r="AC94" i="11"/>
  <c r="AC98" i="11"/>
  <c r="AC102" i="11"/>
  <c r="AC106" i="11"/>
  <c r="AQ106" i="11"/>
  <c r="AC110" i="11"/>
  <c r="AC114" i="11"/>
  <c r="AC118" i="11"/>
  <c r="AC122" i="11"/>
  <c r="AC126" i="11"/>
  <c r="AC130" i="11"/>
  <c r="AQ130" i="11"/>
  <c r="AC134" i="11"/>
  <c r="AQ134" i="1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40" i="11"/>
  <c r="AC52" i="11"/>
  <c r="AC64" i="11"/>
  <c r="AC68" i="11"/>
  <c r="AC80" i="11"/>
  <c r="AC84" i="11"/>
  <c r="AC96" i="11"/>
  <c r="AC100" i="11"/>
  <c r="AC112" i="11"/>
  <c r="AC124" i="11"/>
  <c r="AC128" i="11"/>
  <c r="AC140" i="11"/>
  <c r="AQ140" i="11"/>
  <c r="AC144" i="11"/>
  <c r="AC156" i="11"/>
  <c r="AC160" i="11"/>
  <c r="AC172" i="11"/>
  <c r="AC176" i="11"/>
  <c r="AC188" i="11"/>
  <c r="AC200" i="11"/>
  <c r="AC204" i="11"/>
  <c r="AC216" i="11"/>
  <c r="AC220" i="11"/>
  <c r="AC232" i="11"/>
  <c r="AC236" i="11"/>
  <c r="AC248" i="11"/>
  <c r="AC38" i="11"/>
  <c r="AC42" i="11"/>
  <c r="AC50" i="11"/>
  <c r="AC54" i="11"/>
  <c r="AC62" i="11"/>
  <c r="AC39" i="11"/>
  <c r="AC43" i="11"/>
  <c r="AC47" i="11"/>
  <c r="AC51" i="11"/>
  <c r="AC55" i="11"/>
  <c r="AC59" i="11"/>
  <c r="AC63" i="11"/>
  <c r="AC67" i="11"/>
  <c r="AC71" i="11"/>
  <c r="AC79" i="11"/>
  <c r="AC83" i="11"/>
  <c r="AC87" i="11"/>
  <c r="AC91" i="11"/>
  <c r="AQ91" i="11"/>
  <c r="AC95" i="11"/>
  <c r="AQ95" i="11"/>
  <c r="AC99" i="11"/>
  <c r="AC103" i="11"/>
  <c r="AC107" i="11"/>
  <c r="AC111" i="11"/>
  <c r="AC115" i="11"/>
  <c r="AC119" i="11"/>
  <c r="AC123" i="11"/>
  <c r="AC127" i="11"/>
  <c r="AC131" i="11"/>
  <c r="AC135" i="11"/>
  <c r="AQ135" i="1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F69" i="22"/>
  <c r="AP63" i="69"/>
  <c r="N63" i="69"/>
  <c r="U63" i="69"/>
  <c r="T19" i="50"/>
  <c r="O19" i="50"/>
  <c r="AK15" i="50"/>
  <c r="AK14" i="50"/>
  <c r="F52" i="22"/>
  <c r="F6" i="22"/>
  <c r="F42" i="22"/>
  <c r="AF62" i="69"/>
  <c r="Q62" i="69"/>
  <c r="O79" i="57"/>
  <c r="AG79" i="57" s="1"/>
  <c r="P79" i="57"/>
  <c r="AC60" i="69"/>
  <c r="AD60" i="69"/>
  <c r="F88" i="22"/>
  <c r="AB61" i="69"/>
  <c r="AG61" i="69"/>
  <c r="AO63" i="69"/>
  <c r="O64" i="69"/>
  <c r="AC142" i="11"/>
  <c r="AQ142" i="11"/>
  <c r="AC69" i="11"/>
  <c r="AC70" i="11"/>
  <c r="AQ70" i="11"/>
  <c r="AC75" i="11"/>
  <c r="AC143" i="11"/>
  <c r="AQ40" i="11"/>
  <c r="AQ114" i="11"/>
  <c r="AQ82" i="11"/>
  <c r="AQ76" i="11"/>
  <c r="AQ83" i="11"/>
  <c r="AQ36" i="11"/>
  <c r="AQ110" i="11"/>
  <c r="AQ78" i="11"/>
  <c r="AQ97" i="11"/>
  <c r="AQ87" i="11"/>
  <c r="AQ51" i="11"/>
  <c r="AQ100" i="11"/>
  <c r="AQ111" i="11"/>
  <c r="AQ79" i="11"/>
  <c r="AQ47" i="11"/>
  <c r="AQ96" i="11"/>
  <c r="AQ138" i="11"/>
  <c r="AQ74" i="11"/>
  <c r="AQ89" i="11"/>
  <c r="AQ84" i="11"/>
  <c r="AQ102" i="11"/>
  <c r="AQ85" i="11"/>
  <c r="AQ112" i="11"/>
  <c r="AQ103" i="11"/>
  <c r="AQ39" i="11"/>
  <c r="I105" i="22"/>
  <c r="AQ80" i="11"/>
  <c r="AQ98" i="11"/>
  <c r="AQ88" i="11"/>
  <c r="AQ81" i="11"/>
  <c r="AQ136" i="11"/>
  <c r="AQ99" i="11"/>
  <c r="AQ35" i="11"/>
  <c r="AQ94" i="11"/>
  <c r="AQ113" i="11"/>
  <c r="AQ77" i="11"/>
  <c r="AQ45" i="11"/>
  <c r="AQ38" i="11"/>
  <c r="AQ63" i="11"/>
  <c r="AQ30" i="11"/>
  <c r="AQ64" i="11"/>
  <c r="AQ90" i="11"/>
  <c r="I107" i="22"/>
  <c r="AQ141" i="11"/>
  <c r="AQ109" i="11"/>
  <c r="AQ73" i="11"/>
  <c r="AQ41" i="11"/>
  <c r="AQ108" i="11"/>
  <c r="AQ131" i="11"/>
  <c r="AQ123" i="11"/>
  <c r="AQ59" i="11"/>
  <c r="AQ52" i="11"/>
  <c r="AQ86"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J106" i="22"/>
  <c r="AX63" i="22" s="1"/>
  <c r="AY62" i="69"/>
  <c r="L79" i="57"/>
  <c r="N79" i="57"/>
  <c r="AH62" i="69"/>
  <c r="F19" i="50"/>
  <c r="U19" i="50" s="1"/>
  <c r="M19" i="50"/>
  <c r="K19" i="50"/>
  <c r="A19" i="50"/>
  <c r="Q19" i="50" s="1"/>
  <c r="P19" i="50" s="1"/>
  <c r="L19" i="50"/>
  <c r="H19" i="50"/>
  <c r="N19" i="50"/>
  <c r="I19" i="50"/>
  <c r="J19" i="50"/>
  <c r="G19" i="50"/>
  <c r="B19" i="50"/>
  <c r="R19" i="50" s="1"/>
  <c r="S19" i="50" s="1"/>
  <c r="H79" i="57"/>
  <c r="D79" i="57"/>
  <c r="C79" i="57"/>
  <c r="M79" i="57" s="1"/>
  <c r="AJ79" i="57" s="1"/>
  <c r="K79" i="57"/>
  <c r="I79" i="57"/>
  <c r="G79" i="57"/>
  <c r="E79" i="57"/>
  <c r="F79" i="57"/>
  <c r="J79" i="57"/>
  <c r="AN78" i="55" a="1"/>
  <c r="AN78" i="55"/>
  <c r="B80" i="57"/>
  <c r="D63" i="69"/>
  <c r="E63" i="69"/>
  <c r="F63" i="69"/>
  <c r="G63" i="69"/>
  <c r="H63" i="69"/>
  <c r="I63" i="69"/>
  <c r="J63" i="69"/>
  <c r="K63" i="69"/>
  <c r="M63" i="69"/>
  <c r="AE62" i="69"/>
  <c r="R62" i="69"/>
  <c r="S62" i="69"/>
  <c r="C64" i="69"/>
  <c r="P64" i="69"/>
  <c r="AR64" i="67" a="1"/>
  <c r="AR64" i="67"/>
  <c r="B65" i="69"/>
  <c r="L65" i="69"/>
  <c r="I21" i="22"/>
  <c r="W11" i="11"/>
  <c r="Q11" i="11"/>
  <c r="I40" i="22"/>
  <c r="AP19" i="59" a="1"/>
  <c r="AP19" i="59"/>
  <c r="E20" i="50"/>
  <c r="I50" i="22"/>
  <c r="I24" i="22"/>
  <c r="I95" i="22"/>
  <c r="I73" i="22"/>
  <c r="X15" i="11"/>
  <c r="AC13" i="11"/>
  <c r="Q13" i="11"/>
  <c r="X13" i="11"/>
  <c r="AC12" i="11"/>
  <c r="I93" i="22"/>
  <c r="Y62" i="69"/>
  <c r="AB62" i="69"/>
  <c r="AC62" i="69"/>
  <c r="AD62" i="69"/>
  <c r="I98" i="22"/>
  <c r="I117" i="22"/>
  <c r="K40" i="36"/>
  <c r="Z261" i="59" s="1"/>
  <c r="I64" i="22"/>
  <c r="AP64" i="69"/>
  <c r="N64" i="69"/>
  <c r="U64" i="69"/>
  <c r="I41" i="22"/>
  <c r="O20" i="50"/>
  <c r="T20" i="50"/>
  <c r="Q12" i="11"/>
  <c r="X12" i="11"/>
  <c r="I113" i="22"/>
  <c r="I115" i="22"/>
  <c r="I54" i="22"/>
  <c r="I114" i="22"/>
  <c r="I94" i="22"/>
  <c r="F65" i="22"/>
  <c r="I30" i="22"/>
  <c r="I29" i="22"/>
  <c r="F45" i="22"/>
  <c r="I80" i="22"/>
  <c r="I44" i="22"/>
  <c r="K48" i="36"/>
  <c r="I33" i="22"/>
  <c r="I55" i="22"/>
  <c r="I38" i="22"/>
  <c r="AF63" i="69"/>
  <c r="Q63" i="69"/>
  <c r="O80" i="57"/>
  <c r="AG80" i="57" s="1"/>
  <c r="P80" i="57"/>
  <c r="I56" i="22"/>
  <c r="F68" i="22"/>
  <c r="AC61" i="69"/>
  <c r="AD61" i="69"/>
  <c r="O65" i="69"/>
  <c r="AO64" i="69"/>
  <c r="F11" i="22"/>
  <c r="I90" i="22"/>
  <c r="I109" i="22"/>
  <c r="I131" i="22"/>
  <c r="I75" i="22"/>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N80" i="57"/>
  <c r="AH63" i="69"/>
  <c r="I20" i="50"/>
  <c r="F20" i="50"/>
  <c r="U20" i="50" s="1"/>
  <c r="H20" i="50"/>
  <c r="M20" i="50"/>
  <c r="N20" i="50"/>
  <c r="G20" i="50"/>
  <c r="A20" i="50"/>
  <c r="Q20" i="50" s="1"/>
  <c r="P20" i="50" s="1"/>
  <c r="J20" i="50"/>
  <c r="B20" i="50"/>
  <c r="R20" i="50" s="1"/>
  <c r="S20" i="50" s="1"/>
  <c r="K20" i="50"/>
  <c r="L20" i="50"/>
  <c r="J108" i="22"/>
  <c r="AX64" i="22" s="1"/>
  <c r="J80" i="57"/>
  <c r="E80" i="57"/>
  <c r="C80" i="57"/>
  <c r="M80" i="57" s="1"/>
  <c r="AQ80" i="57" s="1"/>
  <c r="K80" i="57"/>
  <c r="I80" i="57"/>
  <c r="F80" i="57"/>
  <c r="H80" i="57"/>
  <c r="D80" i="57"/>
  <c r="G80" i="57"/>
  <c r="I88" i="22"/>
  <c r="AN79" i="55" a="1"/>
  <c r="AN79" i="55"/>
  <c r="B81" i="57"/>
  <c r="AR65" i="67" a="1"/>
  <c r="AR65" i="67"/>
  <c r="B66" i="69"/>
  <c r="L66" i="69"/>
  <c r="D64" i="69"/>
  <c r="E64" i="69"/>
  <c r="F64" i="69"/>
  <c r="G64" i="69"/>
  <c r="H64" i="69"/>
  <c r="I64" i="69"/>
  <c r="J64" i="69"/>
  <c r="K64" i="69"/>
  <c r="M64" i="69"/>
  <c r="AE63" i="69"/>
  <c r="R63" i="69"/>
  <c r="S63" i="69"/>
  <c r="Y63" i="69"/>
  <c r="C65" i="69"/>
  <c r="P65" i="69"/>
  <c r="I127" i="22"/>
  <c r="I32" i="22"/>
  <c r="I31" i="22"/>
  <c r="I25" i="22"/>
  <c r="I37" i="22"/>
  <c r="I12" i="22"/>
  <c r="I11" i="22"/>
  <c r="I9" i="22"/>
  <c r="I6" i="22"/>
  <c r="I89" i="22"/>
  <c r="BG18" i="22" s="1"/>
  <c r="I18" i="22"/>
  <c r="BG5" i="22" s="1"/>
  <c r="I8" i="22"/>
  <c r="I34" i="22"/>
  <c r="I36" i="22"/>
  <c r="I97" i="22"/>
  <c r="I14" i="22"/>
  <c r="I85" i="22"/>
  <c r="I57" i="22"/>
  <c r="BG11" i="22" s="1"/>
  <c r="AP20" i="59" a="1"/>
  <c r="AP20" i="59"/>
  <c r="E21" i="50"/>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L11" i="11" s="1" a="1"/>
  <c r="AL11" i="11" s="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46"/>
  <c r="W261" i="11"/>
  <c r="G259" i="71"/>
  <c r="H260" i="11"/>
  <c r="H261" i="59"/>
  <c r="H259" i="11"/>
  <c r="H259" i="59"/>
  <c r="W259" i="11"/>
  <c r="AG62" i="69"/>
  <c r="T259" i="11"/>
  <c r="Z259" i="59"/>
  <c r="S259" i="11"/>
  <c r="W259" i="59"/>
  <c r="V259" i="59"/>
  <c r="AP65" i="69"/>
  <c r="N65" i="69"/>
  <c r="U65" i="69"/>
  <c r="I92" i="22"/>
  <c r="F100" i="22"/>
  <c r="F101" i="22"/>
  <c r="F99" i="22"/>
  <c r="F91" i="22"/>
  <c r="F97" i="22"/>
  <c r="AQ12" i="11"/>
  <c r="F93" i="22"/>
  <c r="I47" i="22"/>
  <c r="I48" i="22"/>
  <c r="I15" i="22"/>
  <c r="I134" i="22"/>
  <c r="F135" i="22"/>
  <c r="I76" i="22"/>
  <c r="K44" i="36"/>
  <c r="O21" i="50"/>
  <c r="T21" i="50"/>
  <c r="AK17" i="50"/>
  <c r="AM17" i="50"/>
  <c r="AK16" i="50"/>
  <c r="AM16" i="50"/>
  <c r="AQ14" i="11"/>
  <c r="F40" i="22"/>
  <c r="J135" i="22"/>
  <c r="AX80" i="22" s="1"/>
  <c r="I135" i="22"/>
  <c r="I43" i="22"/>
  <c r="F43" i="22"/>
  <c r="AF64" i="69"/>
  <c r="Q64" i="69"/>
  <c r="O81" i="57"/>
  <c r="AG81" i="57" s="1"/>
  <c r="P81" i="57"/>
  <c r="I102" i="22"/>
  <c r="BG19" i="22" s="1"/>
  <c r="F87" i="22"/>
  <c r="AQ15" i="11"/>
  <c r="AB63" i="69"/>
  <c r="AG63" i="69"/>
  <c r="AO65" i="69"/>
  <c r="O66" i="69"/>
  <c r="I62" i="22"/>
  <c r="BG14" i="22"/>
  <c r="I86" i="22"/>
  <c r="J112" i="22"/>
  <c r="AX101" i="22" s="1"/>
  <c r="AY64" i="69"/>
  <c r="L81" i="57"/>
  <c r="N81" i="57"/>
  <c r="AH64" i="69"/>
  <c r="F21" i="50"/>
  <c r="U21" i="50" s="1"/>
  <c r="K21" i="50"/>
  <c r="A21" i="50"/>
  <c r="Q21" i="50" s="1"/>
  <c r="P21" i="50" s="1"/>
  <c r="H21" i="50"/>
  <c r="B21" i="50"/>
  <c r="R21" i="50" s="1"/>
  <c r="S21" i="50" s="1"/>
  <c r="C21" i="50" s="1"/>
  <c r="L21" i="50"/>
  <c r="I21" i="50"/>
  <c r="M21" i="50"/>
  <c r="G21" i="50"/>
  <c r="J21" i="50"/>
  <c r="N21" i="50"/>
  <c r="K81" i="57"/>
  <c r="G81" i="57"/>
  <c r="E81" i="57"/>
  <c r="D81" i="57"/>
  <c r="C81" i="57"/>
  <c r="M81" i="57" s="1"/>
  <c r="I81" i="57"/>
  <c r="H81" i="57"/>
  <c r="F81" i="57"/>
  <c r="J81" i="57"/>
  <c r="I133" i="22"/>
  <c r="I116" i="22"/>
  <c r="AN80" i="55" a="1"/>
  <c r="AN80" i="55"/>
  <c r="B82" i="57"/>
  <c r="D65" i="69"/>
  <c r="E65" i="69"/>
  <c r="F65" i="69"/>
  <c r="G65" i="69"/>
  <c r="H65" i="69"/>
  <c r="I65" i="69"/>
  <c r="J65" i="69"/>
  <c r="K65" i="69"/>
  <c r="M65" i="69"/>
  <c r="R64" i="69"/>
  <c r="S64" i="69"/>
  <c r="Y64" i="69"/>
  <c r="AE64" i="69"/>
  <c r="C66" i="69"/>
  <c r="P66" i="69"/>
  <c r="AR66" i="67" a="1"/>
  <c r="AR66" i="67"/>
  <c r="B67" i="69"/>
  <c r="L67" i="69"/>
  <c r="I70" i="22"/>
  <c r="I17" i="22"/>
  <c r="I100" i="22"/>
  <c r="I52" i="22"/>
  <c r="I87" i="22"/>
  <c r="BG17" i="22" s="1"/>
  <c r="I53" i="22"/>
  <c r="I51" i="22"/>
  <c r="BG10" i="22" s="1"/>
  <c r="J40" i="22"/>
  <c r="AX9" i="22" s="1"/>
  <c r="I16" i="22"/>
  <c r="I20" i="22"/>
  <c r="J89" i="22"/>
  <c r="AX18" i="22" s="1"/>
  <c r="AP21" i="59" a="1"/>
  <c r="AP21" i="59"/>
  <c r="E22" i="50"/>
  <c r="AP66" i="69"/>
  <c r="N66" i="69"/>
  <c r="U66" i="69"/>
  <c r="T22" i="50"/>
  <c r="O22" i="50"/>
  <c r="AK18" i="50"/>
  <c r="AQ13" i="11"/>
  <c r="AF65" i="69"/>
  <c r="Q65" i="69"/>
  <c r="O82" i="57"/>
  <c r="P82" i="57"/>
  <c r="AC63" i="69"/>
  <c r="AD63" i="69"/>
  <c r="AB64" i="69"/>
  <c r="AG64" i="69"/>
  <c r="O67" i="69"/>
  <c r="AO66" i="69"/>
  <c r="AY65" i="69"/>
  <c r="L82" i="57"/>
  <c r="N82" i="57"/>
  <c r="AH65" i="69"/>
  <c r="I22" i="50"/>
  <c r="B22" i="50"/>
  <c r="R22" i="50" s="1"/>
  <c r="S22" i="50" s="1"/>
  <c r="Z22" i="50" s="1"/>
  <c r="H22" i="50"/>
  <c r="G22" i="50"/>
  <c r="A22" i="50"/>
  <c r="Q22" i="50" s="1"/>
  <c r="P22" i="50" s="1"/>
  <c r="M22" i="50"/>
  <c r="N22" i="50"/>
  <c r="K22" i="50"/>
  <c r="L22" i="50"/>
  <c r="F22" i="50"/>
  <c r="U22" i="50" s="1"/>
  <c r="J22" i="50"/>
  <c r="J82" i="57"/>
  <c r="G82" i="57"/>
  <c r="E82" i="57"/>
  <c r="H82" i="57"/>
  <c r="D82" i="57"/>
  <c r="K82" i="57"/>
  <c r="F82" i="57"/>
  <c r="I82" i="57"/>
  <c r="C82" i="57"/>
  <c r="M82" i="57" s="1"/>
  <c r="AN81" i="55" a="1"/>
  <c r="AN81" i="55"/>
  <c r="B83" i="57"/>
  <c r="AR67" i="67" a="1"/>
  <c r="AR67" i="67"/>
  <c r="B68" i="69"/>
  <c r="L68" i="69"/>
  <c r="C67" i="69"/>
  <c r="P67" i="69"/>
  <c r="AE65" i="69"/>
  <c r="R65" i="69"/>
  <c r="S65" i="69"/>
  <c r="Y65" i="69"/>
  <c r="D66" i="69"/>
  <c r="E66" i="69"/>
  <c r="F66" i="69"/>
  <c r="G66" i="69"/>
  <c r="H66" i="69"/>
  <c r="I66" i="69"/>
  <c r="J66" i="69"/>
  <c r="K66" i="69"/>
  <c r="M66" i="69"/>
  <c r="AP22" i="59" a="1"/>
  <c r="AP22" i="59"/>
  <c r="E23" i="50"/>
  <c r="AB65" i="69"/>
  <c r="AC65" i="69"/>
  <c r="AD65" i="69"/>
  <c r="AP67" i="69"/>
  <c r="N67" i="69"/>
  <c r="U67" i="69"/>
  <c r="T23" i="50"/>
  <c r="O23" i="50"/>
  <c r="AK19" i="50"/>
  <c r="AF66" i="69"/>
  <c r="Q66" i="69"/>
  <c r="O83" i="57"/>
  <c r="AG83" i="57" s="1"/>
  <c r="P83" i="57"/>
  <c r="AC64" i="69"/>
  <c r="AD64" i="69"/>
  <c r="AG65" i="69"/>
  <c r="O68" i="69"/>
  <c r="AO67" i="69"/>
  <c r="AY66" i="69"/>
  <c r="L83" i="57"/>
  <c r="N83" i="57"/>
  <c r="AH66" i="69"/>
  <c r="B23" i="50"/>
  <c r="R23" i="50" s="1"/>
  <c r="S23" i="50" s="1"/>
  <c r="N23" i="50"/>
  <c r="M23" i="50"/>
  <c r="A23" i="50"/>
  <c r="Q23" i="50" s="1"/>
  <c r="P23" i="50" s="1"/>
  <c r="L23" i="50"/>
  <c r="G23" i="50"/>
  <c r="K23" i="50"/>
  <c r="J23" i="50"/>
  <c r="I23" i="50"/>
  <c r="F23" i="50"/>
  <c r="H23" i="50"/>
  <c r="H83" i="57"/>
  <c r="D83" i="57"/>
  <c r="C83" i="57"/>
  <c r="M83" i="57" s="1"/>
  <c r="Q83" i="57" s="1"/>
  <c r="T83" i="57" s="1"/>
  <c r="K83" i="57"/>
  <c r="I83" i="57"/>
  <c r="G83" i="57"/>
  <c r="E83" i="57"/>
  <c r="F83" i="57"/>
  <c r="J83" i="57"/>
  <c r="AN82" i="55" a="1"/>
  <c r="AN82" i="55"/>
  <c r="B84" i="57"/>
  <c r="D67" i="69"/>
  <c r="E67" i="69"/>
  <c r="F67" i="69"/>
  <c r="G67" i="69"/>
  <c r="H67" i="69"/>
  <c r="I67" i="69"/>
  <c r="J67" i="69"/>
  <c r="K67" i="69"/>
  <c r="M67" i="69"/>
  <c r="R66" i="69"/>
  <c r="S66" i="69"/>
  <c r="Y66" i="69"/>
  <c r="AE66" i="69"/>
  <c r="C68" i="69"/>
  <c r="P68" i="69"/>
  <c r="AR68" i="67" a="1"/>
  <c r="AR68" i="67"/>
  <c r="B69" i="69"/>
  <c r="L69" i="69"/>
  <c r="AP23" i="59" a="1"/>
  <c r="AP23" i="59"/>
  <c r="E24" i="50"/>
  <c r="AB66" i="69"/>
  <c r="AC66" i="69"/>
  <c r="AD66" i="69"/>
  <c r="AP68" i="69"/>
  <c r="N68" i="69"/>
  <c r="U68" i="69"/>
  <c r="O24" i="50"/>
  <c r="T24" i="50"/>
  <c r="AK20" i="50"/>
  <c r="AF67" i="69"/>
  <c r="Q67" i="69"/>
  <c r="O84" i="57"/>
  <c r="AG84" i="57" s="1"/>
  <c r="P84" i="57"/>
  <c r="AO68" i="69"/>
  <c r="O69" i="69"/>
  <c r="AG66" i="69"/>
  <c r="AY67" i="69"/>
  <c r="L84" i="57"/>
  <c r="N84" i="57"/>
  <c r="AH67" i="69"/>
  <c r="F24" i="50"/>
  <c r="U24" i="50" s="1"/>
  <c r="J24" i="50"/>
  <c r="I24" i="50"/>
  <c r="M24" i="50"/>
  <c r="L24" i="50"/>
  <c r="B24" i="50"/>
  <c r="R24" i="50" s="1"/>
  <c r="S24" i="50" s="1"/>
  <c r="K24" i="50"/>
  <c r="A24" i="50"/>
  <c r="Q24" i="50" s="1"/>
  <c r="P24" i="50" s="1"/>
  <c r="G24" i="50"/>
  <c r="N24" i="50"/>
  <c r="H24" i="50"/>
  <c r="F84" i="57"/>
  <c r="C84" i="57"/>
  <c r="M84" i="57" s="1"/>
  <c r="K84" i="57"/>
  <c r="I84" i="57"/>
  <c r="H84" i="57"/>
  <c r="D84" i="57"/>
  <c r="G84" i="57"/>
  <c r="E84" i="57"/>
  <c r="J84" i="57"/>
  <c r="AN83" i="55" a="1"/>
  <c r="AN83" i="55"/>
  <c r="B85" i="57"/>
  <c r="AR69" i="67" a="1"/>
  <c r="AR69" i="67"/>
  <c r="B70" i="69"/>
  <c r="L70" i="69"/>
  <c r="AE67" i="69"/>
  <c r="R67" i="69"/>
  <c r="S67" i="69"/>
  <c r="Y67" i="69"/>
  <c r="C69" i="69"/>
  <c r="P69" i="69"/>
  <c r="D68" i="69"/>
  <c r="E68" i="69"/>
  <c r="F68" i="69"/>
  <c r="G68" i="69"/>
  <c r="H68" i="69"/>
  <c r="I68" i="69"/>
  <c r="J68" i="69"/>
  <c r="K68" i="69"/>
  <c r="M68" i="69"/>
  <c r="AP24" i="59" a="1"/>
  <c r="AP24" i="59"/>
  <c r="E25" i="50"/>
  <c r="AP69" i="69"/>
  <c r="N69" i="69"/>
  <c r="U69" i="69"/>
  <c r="O25" i="50"/>
  <c r="T25" i="50"/>
  <c r="AF68" i="69"/>
  <c r="Q68" i="69"/>
  <c r="O85" i="57"/>
  <c r="P85" i="57"/>
  <c r="AB67" i="69"/>
  <c r="AG67" i="69"/>
  <c r="O70" i="69"/>
  <c r="AO69" i="69"/>
  <c r="AY68" i="69"/>
  <c r="L85" i="57"/>
  <c r="N85" i="57"/>
  <c r="AH68" i="69"/>
  <c r="M25" i="50"/>
  <c r="J25" i="50"/>
  <c r="G25" i="50"/>
  <c r="L25" i="50"/>
  <c r="H25" i="50"/>
  <c r="I25" i="50"/>
  <c r="K25" i="50"/>
  <c r="B25" i="50"/>
  <c r="R25" i="50" s="1"/>
  <c r="S25" i="50" s="1"/>
  <c r="F25" i="50"/>
  <c r="U25" i="50" s="1"/>
  <c r="A25" i="50"/>
  <c r="Q25" i="50" s="1"/>
  <c r="P25" i="50" s="1"/>
  <c r="N25" i="50"/>
  <c r="C85" i="57"/>
  <c r="M85" i="57" s="1"/>
  <c r="I85" i="57"/>
  <c r="H85" i="57"/>
  <c r="G85" i="57"/>
  <c r="E85" i="57"/>
  <c r="D85" i="57"/>
  <c r="K85" i="57"/>
  <c r="F85" i="57"/>
  <c r="J85" i="57"/>
  <c r="AN84" i="55" a="1"/>
  <c r="AN84" i="55"/>
  <c r="B86" i="57"/>
  <c r="D69" i="69"/>
  <c r="E69" i="69"/>
  <c r="F69" i="69"/>
  <c r="G69" i="69"/>
  <c r="H69" i="69"/>
  <c r="I69" i="69"/>
  <c r="J69" i="69"/>
  <c r="K69" i="69"/>
  <c r="M69" i="69"/>
  <c r="AE68" i="69"/>
  <c r="R68" i="69"/>
  <c r="S68" i="69"/>
  <c r="C70" i="69"/>
  <c r="P70" i="69"/>
  <c r="AR70" i="67" a="1"/>
  <c r="AR70" i="67"/>
  <c r="B71" i="69"/>
  <c r="L71" i="69"/>
  <c r="AP25" i="59" a="1"/>
  <c r="AP25" i="59"/>
  <c r="E26" i="50"/>
  <c r="Y68" i="69"/>
  <c r="AG68" i="69"/>
  <c r="AP70" i="69"/>
  <c r="N70" i="69"/>
  <c r="U70" i="69"/>
  <c r="T26" i="50"/>
  <c r="O26" i="50"/>
  <c r="AK21" i="50"/>
  <c r="AF69" i="69"/>
  <c r="Q69" i="69"/>
  <c r="O86" i="57"/>
  <c r="AG86" i="57" s="1"/>
  <c r="P86" i="57"/>
  <c r="AC67" i="69"/>
  <c r="AD67" i="69"/>
  <c r="O71" i="69"/>
  <c r="AO70" i="69"/>
  <c r="AY69" i="69"/>
  <c r="L86" i="57"/>
  <c r="N86" i="57"/>
  <c r="AH69" i="69"/>
  <c r="A26" i="50"/>
  <c r="Q26" i="50" s="1"/>
  <c r="P26" i="50" s="1"/>
  <c r="H26" i="50"/>
  <c r="J26" i="50"/>
  <c r="M26" i="50"/>
  <c r="G26" i="50"/>
  <c r="K26" i="50"/>
  <c r="N26" i="50"/>
  <c r="F26" i="50"/>
  <c r="U26" i="50" s="1"/>
  <c r="L26" i="50"/>
  <c r="B26" i="50"/>
  <c r="R26" i="50" s="1"/>
  <c r="S26" i="50" s="1"/>
  <c r="C26" i="50" s="1"/>
  <c r="I26" i="50"/>
  <c r="J86" i="57"/>
  <c r="G86" i="57"/>
  <c r="E86" i="57"/>
  <c r="H86" i="57"/>
  <c r="D86" i="57"/>
  <c r="I86" i="57"/>
  <c r="C86" i="57"/>
  <c r="M86" i="57" s="1"/>
  <c r="K86" i="57"/>
  <c r="F86" i="57"/>
  <c r="AN85" i="55" a="1"/>
  <c r="AN85" i="55"/>
  <c r="B87" i="57"/>
  <c r="AR71" i="67" a="1"/>
  <c r="AR71" i="67"/>
  <c r="B72" i="69"/>
  <c r="L72" i="69"/>
  <c r="C71" i="69"/>
  <c r="P71" i="69"/>
  <c r="D70" i="69"/>
  <c r="E70" i="69"/>
  <c r="F70" i="69"/>
  <c r="G70" i="69"/>
  <c r="H70" i="69"/>
  <c r="I70" i="69"/>
  <c r="J70" i="69"/>
  <c r="K70" i="69"/>
  <c r="M70" i="69"/>
  <c r="AE69" i="69"/>
  <c r="R69" i="69"/>
  <c r="S69" i="69"/>
  <c r="Y69" i="69"/>
  <c r="AP26" i="59" a="1"/>
  <c r="AP26" i="59"/>
  <c r="E27" i="50"/>
  <c r="AB68" i="69"/>
  <c r="AC68" i="69"/>
  <c r="AD68" i="69"/>
  <c r="AP71" i="69"/>
  <c r="N71" i="69"/>
  <c r="U71" i="69"/>
  <c r="T27" i="50"/>
  <c r="O27" i="50"/>
  <c r="AK22" i="50"/>
  <c r="AF70" i="69"/>
  <c r="Q70" i="69"/>
  <c r="O87" i="57"/>
  <c r="AG87" i="57" s="1"/>
  <c r="P87" i="57"/>
  <c r="AB69" i="69"/>
  <c r="AG69" i="69"/>
  <c r="AO71" i="69"/>
  <c r="O72" i="69"/>
  <c r="AY70" i="69"/>
  <c r="L87" i="57"/>
  <c r="N87" i="57"/>
  <c r="AH70" i="69"/>
  <c r="F27" i="50"/>
  <c r="A27" i="50"/>
  <c r="Q27" i="50" s="1"/>
  <c r="P27" i="50" s="1"/>
  <c r="K27" i="50"/>
  <c r="M27" i="50"/>
  <c r="L27" i="50"/>
  <c r="B27" i="50"/>
  <c r="R27" i="50" s="1"/>
  <c r="S27" i="50" s="1"/>
  <c r="W27" i="50" s="1"/>
  <c r="X27" i="50" s="1"/>
  <c r="I27" i="50"/>
  <c r="H27" i="50"/>
  <c r="J27" i="50"/>
  <c r="G27" i="50"/>
  <c r="N27" i="50"/>
  <c r="D87" i="57"/>
  <c r="C87" i="57"/>
  <c r="M87" i="57" s="1"/>
  <c r="Q87" i="57" s="1"/>
  <c r="T87" i="57" s="1"/>
  <c r="K87" i="57"/>
  <c r="I87" i="57"/>
  <c r="H87" i="57"/>
  <c r="G87" i="57"/>
  <c r="E87" i="57"/>
  <c r="F87" i="57"/>
  <c r="J87" i="57"/>
  <c r="AN86" i="55" a="1"/>
  <c r="AN86" i="55"/>
  <c r="B88" i="57"/>
  <c r="AR72" i="67" a="1"/>
  <c r="AR72" i="67"/>
  <c r="B73" i="69"/>
  <c r="L73" i="69"/>
  <c r="D71" i="69"/>
  <c r="E71" i="69"/>
  <c r="F71" i="69"/>
  <c r="G71" i="69"/>
  <c r="H71" i="69"/>
  <c r="I71" i="69"/>
  <c r="J71" i="69"/>
  <c r="K71" i="69"/>
  <c r="M71" i="69"/>
  <c r="AE70" i="69"/>
  <c r="R70" i="69"/>
  <c r="S70" i="69"/>
  <c r="Y70" i="69"/>
  <c r="C72" i="69"/>
  <c r="P72" i="69"/>
  <c r="AP27" i="59" a="1"/>
  <c r="AP27" i="59"/>
  <c r="E28" i="50"/>
  <c r="AP72" i="69"/>
  <c r="N72" i="69"/>
  <c r="U72" i="69"/>
  <c r="O28" i="50"/>
  <c r="T28" i="50"/>
  <c r="AK24" i="50"/>
  <c r="AK23" i="50"/>
  <c r="AF71" i="69"/>
  <c r="Q71" i="69"/>
  <c r="O88" i="57"/>
  <c r="P88" i="57"/>
  <c r="AC69" i="69"/>
  <c r="AD69" i="69"/>
  <c r="AB70" i="69"/>
  <c r="AG70" i="69"/>
  <c r="O73" i="69"/>
  <c r="AO72" i="69"/>
  <c r="AY71" i="69"/>
  <c r="L88" i="57"/>
  <c r="N88" i="57"/>
  <c r="AH71" i="69"/>
  <c r="I28" i="50"/>
  <c r="N28" i="50"/>
  <c r="H28" i="50"/>
  <c r="M28" i="50"/>
  <c r="L28" i="50"/>
  <c r="K28" i="50"/>
  <c r="G28" i="50"/>
  <c r="F28" i="50"/>
  <c r="AM28" i="50" s="1"/>
  <c r="J28" i="50"/>
  <c r="B28" i="50"/>
  <c r="R28" i="50" s="1"/>
  <c r="S28" i="50" s="1"/>
  <c r="Z28" i="50" s="1"/>
  <c r="A28" i="50"/>
  <c r="Q28" i="50" s="1"/>
  <c r="P28" i="50" s="1"/>
  <c r="E88" i="57"/>
  <c r="C88" i="57"/>
  <c r="M88" i="57" s="1"/>
  <c r="AJ88" i="57" s="1"/>
  <c r="K88" i="57"/>
  <c r="J88" i="57"/>
  <c r="I88" i="57"/>
  <c r="F88" i="57"/>
  <c r="H88" i="57"/>
  <c r="D88" i="57"/>
  <c r="G88" i="57"/>
  <c r="AN87" i="55" a="1"/>
  <c r="AN87" i="55"/>
  <c r="B89" i="57"/>
  <c r="AE71" i="69"/>
  <c r="R71" i="69"/>
  <c r="S71" i="69"/>
  <c r="D72" i="69"/>
  <c r="E72" i="69"/>
  <c r="F72" i="69"/>
  <c r="G72" i="69"/>
  <c r="H72" i="69"/>
  <c r="I72" i="69"/>
  <c r="J72" i="69"/>
  <c r="K72" i="69"/>
  <c r="M72" i="69"/>
  <c r="C73" i="69"/>
  <c r="P73" i="69"/>
  <c r="AR73" i="67" a="1"/>
  <c r="AR73" i="67"/>
  <c r="B74" i="69"/>
  <c r="L74" i="69"/>
  <c r="AP28" i="59" a="1"/>
  <c r="AP28" i="59"/>
  <c r="E29" i="50"/>
  <c r="Y71" i="69"/>
  <c r="AB71" i="69"/>
  <c r="AC71" i="69"/>
  <c r="AD71" i="69"/>
  <c r="AP73" i="69"/>
  <c r="N73" i="69"/>
  <c r="U73" i="69"/>
  <c r="O29" i="50"/>
  <c r="T29" i="50"/>
  <c r="AK25" i="50"/>
  <c r="AF72" i="69"/>
  <c r="Q72" i="69"/>
  <c r="O89" i="57"/>
  <c r="P89" i="57"/>
  <c r="AC70" i="69"/>
  <c r="AD70" i="69"/>
  <c r="O74" i="69"/>
  <c r="AO73" i="69"/>
  <c r="AY72" i="69"/>
  <c r="L89" i="57"/>
  <c r="N89" i="57"/>
  <c r="AH72" i="69"/>
  <c r="B29" i="50"/>
  <c r="R29" i="50" s="1"/>
  <c r="S29" i="50" s="1"/>
  <c r="C29" i="50" s="1"/>
  <c r="I29" i="50"/>
  <c r="A29" i="50"/>
  <c r="Q29" i="50" s="1"/>
  <c r="P29" i="50" s="1"/>
  <c r="M29" i="50"/>
  <c r="H29" i="50"/>
  <c r="K29" i="50"/>
  <c r="G29" i="50"/>
  <c r="F29" i="50"/>
  <c r="AM29" i="50" s="1"/>
  <c r="J29" i="50"/>
  <c r="N29" i="50"/>
  <c r="L29" i="50"/>
  <c r="G89" i="57"/>
  <c r="E89" i="57"/>
  <c r="D89" i="57"/>
  <c r="C89" i="57"/>
  <c r="M89" i="57" s="1"/>
  <c r="AJ89" i="57" s="1"/>
  <c r="K89" i="57"/>
  <c r="I89" i="57"/>
  <c r="H89" i="57"/>
  <c r="F89" i="57"/>
  <c r="J89" i="57"/>
  <c r="AN88" i="55" a="1"/>
  <c r="AN88" i="55"/>
  <c r="B90" i="57"/>
  <c r="AR74" i="67" a="1"/>
  <c r="AR74" i="67"/>
  <c r="B75" i="69"/>
  <c r="L75" i="69"/>
  <c r="AE72" i="69"/>
  <c r="R72" i="69"/>
  <c r="S72" i="69"/>
  <c r="Y72" i="69"/>
  <c r="D73" i="69"/>
  <c r="E73" i="69"/>
  <c r="F73" i="69"/>
  <c r="G73" i="69"/>
  <c r="H73" i="69"/>
  <c r="I73" i="69"/>
  <c r="J73" i="69"/>
  <c r="K73" i="69"/>
  <c r="M73" i="69"/>
  <c r="C74" i="69"/>
  <c r="P74" i="69"/>
  <c r="AP29" i="59" a="1"/>
  <c r="AP29" i="59"/>
  <c r="E30" i="50"/>
  <c r="AG71" i="69"/>
  <c r="AP74" i="69"/>
  <c r="N74" i="69"/>
  <c r="U74" i="69"/>
  <c r="T30" i="50"/>
  <c r="O30" i="50"/>
  <c r="AK26" i="50"/>
  <c r="AF73" i="69"/>
  <c r="Q73" i="69"/>
  <c r="O90" i="57"/>
  <c r="P90" i="57"/>
  <c r="AB72" i="69"/>
  <c r="AG72" i="69"/>
  <c r="AO74" i="69"/>
  <c r="O75" i="69"/>
  <c r="AY73" i="69"/>
  <c r="L90" i="57"/>
  <c r="N90" i="57"/>
  <c r="AH73" i="69"/>
  <c r="G30" i="50"/>
  <c r="B30" i="50"/>
  <c r="R30" i="50" s="1"/>
  <c r="S30" i="50" s="1"/>
  <c r="V30" i="50" s="1"/>
  <c r="M30" i="50"/>
  <c r="L30" i="50"/>
  <c r="F30" i="50"/>
  <c r="U30" i="50" s="1"/>
  <c r="A30" i="50"/>
  <c r="Q30" i="50" s="1"/>
  <c r="P30" i="50" s="1"/>
  <c r="N30" i="50"/>
  <c r="H30" i="50"/>
  <c r="K30" i="50"/>
  <c r="J30" i="50"/>
  <c r="I30" i="50"/>
  <c r="C90" i="57"/>
  <c r="M90" i="57" s="1"/>
  <c r="AJ90" i="57" s="1"/>
  <c r="H90" i="57"/>
  <c r="J90" i="57"/>
  <c r="D90" i="57"/>
  <c r="G90" i="57"/>
  <c r="K90" i="57"/>
  <c r="E90" i="57"/>
  <c r="F90" i="57"/>
  <c r="I90" i="57"/>
  <c r="AN89" i="55" a="1"/>
  <c r="AN89" i="55"/>
  <c r="B91" i="57"/>
  <c r="D74" i="69"/>
  <c r="E74" i="69"/>
  <c r="F74" i="69"/>
  <c r="G74" i="69"/>
  <c r="H74" i="69"/>
  <c r="I74" i="69"/>
  <c r="J74" i="69"/>
  <c r="K74" i="69"/>
  <c r="M74" i="69"/>
  <c r="AE73" i="69"/>
  <c r="R73" i="69"/>
  <c r="S73" i="69"/>
  <c r="Y73" i="69"/>
  <c r="C75" i="69"/>
  <c r="P75" i="69"/>
  <c r="AR75" i="67" a="1"/>
  <c r="AR75" i="67"/>
  <c r="B76" i="69"/>
  <c r="L76" i="69"/>
  <c r="AP30" i="59" a="1"/>
  <c r="AP30" i="59"/>
  <c r="E31" i="50"/>
  <c r="AP75" i="69"/>
  <c r="N75" i="69"/>
  <c r="U75" i="69"/>
  <c r="T31" i="50"/>
  <c r="O31" i="50"/>
  <c r="AK27" i="50"/>
  <c r="AF74" i="69"/>
  <c r="Q74" i="69"/>
  <c r="O91" i="57"/>
  <c r="AG91" i="57" s="1"/>
  <c r="P91" i="57"/>
  <c r="AC72" i="69"/>
  <c r="AD72" i="69"/>
  <c r="AB73" i="69"/>
  <c r="AG73" i="69"/>
  <c r="O76" i="69"/>
  <c r="AO75" i="69"/>
  <c r="AY74" i="69"/>
  <c r="L91" i="57"/>
  <c r="N91" i="57"/>
  <c r="AH74" i="69"/>
  <c r="M31" i="50"/>
  <c r="H31" i="50"/>
  <c r="I31" i="50"/>
  <c r="J31" i="50"/>
  <c r="N31" i="50"/>
  <c r="F31" i="50"/>
  <c r="G31" i="50"/>
  <c r="K31" i="50"/>
  <c r="A31" i="50"/>
  <c r="Q31" i="50" s="1"/>
  <c r="P31" i="50" s="1"/>
  <c r="L31" i="50"/>
  <c r="B31" i="50"/>
  <c r="R31" i="50" s="1"/>
  <c r="S31" i="50" s="1"/>
  <c r="Z31" i="50" s="1"/>
  <c r="H91" i="57"/>
  <c r="G91" i="57"/>
  <c r="E91" i="57"/>
  <c r="D91" i="57"/>
  <c r="C91" i="57"/>
  <c r="M91" i="57" s="1"/>
  <c r="AQ91" i="57" s="1"/>
  <c r="K91" i="57"/>
  <c r="I91" i="57"/>
  <c r="F91" i="57"/>
  <c r="J91" i="57"/>
  <c r="AN90" i="55" a="1"/>
  <c r="AN90" i="55"/>
  <c r="B92" i="57"/>
  <c r="AR76" i="67" a="1"/>
  <c r="AR76" i="67"/>
  <c r="B77" i="69"/>
  <c r="L77" i="69"/>
  <c r="AE74" i="69"/>
  <c r="R74" i="69"/>
  <c r="S74" i="69"/>
  <c r="Y74" i="69"/>
  <c r="C76" i="69"/>
  <c r="P76" i="69"/>
  <c r="D75" i="69"/>
  <c r="E75" i="69"/>
  <c r="F75" i="69"/>
  <c r="G75" i="69"/>
  <c r="H75" i="69"/>
  <c r="I75" i="69"/>
  <c r="J75" i="69"/>
  <c r="K75" i="69"/>
  <c r="M75" i="69"/>
  <c r="AP31" i="59" a="1"/>
  <c r="AP31" i="59"/>
  <c r="E32" i="50"/>
  <c r="AP76" i="69"/>
  <c r="N76" i="69"/>
  <c r="U76" i="69"/>
  <c r="O32" i="50"/>
  <c r="T32" i="50"/>
  <c r="AK28" i="50"/>
  <c r="AF75" i="69"/>
  <c r="Q75" i="69"/>
  <c r="O92" i="57"/>
  <c r="P92" i="57"/>
  <c r="AC73" i="69"/>
  <c r="AD73" i="69"/>
  <c r="AB74" i="69"/>
  <c r="AG74" i="69"/>
  <c r="O77" i="69"/>
  <c r="AO76" i="69"/>
  <c r="AY75" i="69"/>
  <c r="L92" i="57"/>
  <c r="N92" i="57"/>
  <c r="AH75" i="69"/>
  <c r="F32" i="50"/>
  <c r="U32" i="50" s="1"/>
  <c r="I32" i="50"/>
  <c r="J32" i="50"/>
  <c r="L32" i="50"/>
  <c r="M32" i="50"/>
  <c r="K32" i="50"/>
  <c r="N32" i="50"/>
  <c r="B32" i="50"/>
  <c r="R32" i="50" s="1"/>
  <c r="S32" i="50" s="1"/>
  <c r="V32" i="50" s="1"/>
  <c r="A32" i="50"/>
  <c r="Q32" i="50" s="1"/>
  <c r="P32" i="50" s="1"/>
  <c r="G32" i="50"/>
  <c r="H32" i="50"/>
  <c r="K92" i="57"/>
  <c r="I92" i="57"/>
  <c r="F92" i="57"/>
  <c r="C92" i="57"/>
  <c r="M92" i="57" s="1"/>
  <c r="R92" i="57" s="1"/>
  <c r="G92" i="57"/>
  <c r="H92" i="57"/>
  <c r="E92" i="57"/>
  <c r="D92" i="57"/>
  <c r="J92" i="57"/>
  <c r="AN91" i="55" a="1"/>
  <c r="AN91" i="55"/>
  <c r="B93" i="57"/>
  <c r="C77" i="69"/>
  <c r="P77" i="69"/>
  <c r="AE75" i="69"/>
  <c r="R75" i="69"/>
  <c r="S75" i="69"/>
  <c r="Y75" i="69"/>
  <c r="D76" i="69"/>
  <c r="E76" i="69"/>
  <c r="F76" i="69"/>
  <c r="G76" i="69"/>
  <c r="H76" i="69"/>
  <c r="I76" i="69"/>
  <c r="J76" i="69"/>
  <c r="K76" i="69"/>
  <c r="M76" i="69"/>
  <c r="AR77" i="67" a="1"/>
  <c r="AR77" i="67"/>
  <c r="B78" i="69"/>
  <c r="L78" i="69"/>
  <c r="AP32" i="59" a="1"/>
  <c r="AP32" i="59"/>
  <c r="E33" i="50"/>
  <c r="AP77" i="69"/>
  <c r="N77" i="69"/>
  <c r="U77" i="69"/>
  <c r="O33" i="50"/>
  <c r="T33" i="50"/>
  <c r="AK29" i="50"/>
  <c r="AF76" i="69"/>
  <c r="Q76" i="69"/>
  <c r="O93" i="57"/>
  <c r="P93" i="57"/>
  <c r="AC74" i="69"/>
  <c r="AD74" i="69"/>
  <c r="AB75" i="69"/>
  <c r="AG75" i="69"/>
  <c r="O78" i="69"/>
  <c r="AO77" i="69"/>
  <c r="AY76" i="69"/>
  <c r="L93" i="57"/>
  <c r="N93" i="57"/>
  <c r="AH76" i="69"/>
  <c r="M33" i="50"/>
  <c r="F33" i="50"/>
  <c r="A33" i="50"/>
  <c r="Q33" i="50" s="1"/>
  <c r="P33" i="50" s="1"/>
  <c r="B33" i="50"/>
  <c r="R33" i="50" s="1"/>
  <c r="S33" i="50" s="1"/>
  <c r="Z33" i="50" s="1"/>
  <c r="L33" i="50"/>
  <c r="G33" i="50"/>
  <c r="H33" i="50"/>
  <c r="I33" i="50"/>
  <c r="K33" i="50"/>
  <c r="J33" i="50"/>
  <c r="N33" i="50"/>
  <c r="D93" i="57"/>
  <c r="C93" i="57"/>
  <c r="M93" i="57" s="1"/>
  <c r="R93" i="57" s="1"/>
  <c r="K93" i="57"/>
  <c r="I93" i="57"/>
  <c r="H93" i="57"/>
  <c r="G93" i="57"/>
  <c r="E93" i="57"/>
  <c r="F93" i="57"/>
  <c r="J93" i="57"/>
  <c r="AN92" i="55" a="1"/>
  <c r="AN92" i="55"/>
  <c r="B94" i="57"/>
  <c r="AR78" i="67" a="1"/>
  <c r="AR78" i="67"/>
  <c r="B79" i="69"/>
  <c r="L79" i="69"/>
  <c r="D77" i="69"/>
  <c r="E77" i="69"/>
  <c r="F77" i="69"/>
  <c r="G77" i="69"/>
  <c r="H77" i="69"/>
  <c r="I77" i="69"/>
  <c r="J77" i="69"/>
  <c r="K77" i="69"/>
  <c r="M77" i="69"/>
  <c r="C78" i="69"/>
  <c r="P78" i="69"/>
  <c r="AE76" i="69"/>
  <c r="R76" i="69"/>
  <c r="S76" i="69"/>
  <c r="Y76" i="69"/>
  <c r="AP33" i="59" a="1"/>
  <c r="AP33" i="59"/>
  <c r="E34" i="50"/>
  <c r="AP78" i="69"/>
  <c r="N78" i="69"/>
  <c r="U78" i="69"/>
  <c r="T34" i="50"/>
  <c r="O34" i="50"/>
  <c r="AK30" i="50"/>
  <c r="AF77" i="69"/>
  <c r="Q77" i="69"/>
  <c r="O94" i="57"/>
  <c r="AG94" i="57" s="1"/>
  <c r="P94" i="57"/>
  <c r="AC75" i="69"/>
  <c r="AD75" i="69"/>
  <c r="AB76" i="69"/>
  <c r="AG76" i="69"/>
  <c r="O79" i="69"/>
  <c r="AO78" i="69"/>
  <c r="AY77" i="69"/>
  <c r="L94" i="57"/>
  <c r="N94" i="57"/>
  <c r="AH77" i="69"/>
  <c r="A34" i="50"/>
  <c r="Q34" i="50" s="1"/>
  <c r="P34" i="50" s="1"/>
  <c r="M34" i="50"/>
  <c r="J34" i="50"/>
  <c r="N34" i="50"/>
  <c r="H34" i="50"/>
  <c r="B34" i="50"/>
  <c r="R34" i="50" s="1"/>
  <c r="S34" i="50" s="1"/>
  <c r="V34" i="50" s="1"/>
  <c r="I34" i="50"/>
  <c r="F34" i="50"/>
  <c r="U34" i="50" s="1"/>
  <c r="K34" i="50"/>
  <c r="L34" i="50"/>
  <c r="G34" i="50"/>
  <c r="J94" i="57"/>
  <c r="G94" i="57"/>
  <c r="E94" i="57"/>
  <c r="D94" i="57"/>
  <c r="I94" i="57"/>
  <c r="C94" i="57"/>
  <c r="M94" i="57" s="1"/>
  <c r="AJ94" i="57" s="1"/>
  <c r="K94" i="57"/>
  <c r="F94" i="57"/>
  <c r="H94" i="57"/>
  <c r="AN93" i="55" a="1"/>
  <c r="AN93" i="55"/>
  <c r="B95" i="57"/>
  <c r="C79" i="69"/>
  <c r="P79" i="69"/>
  <c r="D78" i="69"/>
  <c r="E78" i="69"/>
  <c r="F78" i="69"/>
  <c r="G78" i="69"/>
  <c r="H78" i="69"/>
  <c r="I78" i="69"/>
  <c r="J78" i="69"/>
  <c r="K78" i="69"/>
  <c r="M78" i="69"/>
  <c r="AE77" i="69"/>
  <c r="R77" i="69"/>
  <c r="S77" i="69"/>
  <c r="Y77" i="69"/>
  <c r="AR79" i="67" a="1"/>
  <c r="AR79" i="67"/>
  <c r="B80" i="69"/>
  <c r="L80" i="69"/>
  <c r="AP34" i="59" a="1"/>
  <c r="AP34" i="59"/>
  <c r="E35" i="50"/>
  <c r="AP79" i="69"/>
  <c r="N79" i="69"/>
  <c r="U79" i="69"/>
  <c r="T35" i="50"/>
  <c r="O35" i="50"/>
  <c r="AK31" i="50"/>
  <c r="AF78" i="69"/>
  <c r="Q78" i="69"/>
  <c r="O95" i="57"/>
  <c r="AG95" i="57" s="1"/>
  <c r="P95" i="57"/>
  <c r="AC76" i="69"/>
  <c r="AD76" i="69"/>
  <c r="AB77" i="69"/>
  <c r="AG77" i="69"/>
  <c r="O80" i="69"/>
  <c r="AO79" i="69"/>
  <c r="AY78" i="69"/>
  <c r="L95" i="57"/>
  <c r="N95" i="57"/>
  <c r="AH78" i="69"/>
  <c r="F35" i="50"/>
  <c r="U35" i="50" s="1"/>
  <c r="A35" i="50"/>
  <c r="Q35" i="50" s="1"/>
  <c r="P35" i="50" s="1"/>
  <c r="M35" i="50"/>
  <c r="K35" i="50"/>
  <c r="L35" i="50"/>
  <c r="J35" i="50"/>
  <c r="I35" i="50"/>
  <c r="H35" i="50"/>
  <c r="N35" i="50"/>
  <c r="B35" i="50"/>
  <c r="R35" i="50" s="1"/>
  <c r="S35" i="50" s="1"/>
  <c r="G35" i="50"/>
  <c r="E95" i="57"/>
  <c r="C95" i="57"/>
  <c r="M95" i="57" s="1"/>
  <c r="K95" i="57"/>
  <c r="G95" i="57"/>
  <c r="H95" i="57"/>
  <c r="D95" i="57"/>
  <c r="I95" i="57"/>
  <c r="F95" i="57"/>
  <c r="J95" i="57"/>
  <c r="AN94" i="55" a="1"/>
  <c r="AN94" i="55"/>
  <c r="B96" i="57"/>
  <c r="AR80" i="67" a="1"/>
  <c r="AR80" i="67"/>
  <c r="B81" i="69"/>
  <c r="L81" i="69"/>
  <c r="D79" i="69"/>
  <c r="E79" i="69"/>
  <c r="F79" i="69"/>
  <c r="G79" i="69"/>
  <c r="H79" i="69"/>
  <c r="I79" i="69"/>
  <c r="J79" i="69"/>
  <c r="K79" i="69"/>
  <c r="M79" i="69"/>
  <c r="C80" i="69"/>
  <c r="P80" i="69"/>
  <c r="R78" i="69"/>
  <c r="S78" i="69"/>
  <c r="Y78" i="69"/>
  <c r="AE78" i="69"/>
  <c r="AP35" i="59" a="1"/>
  <c r="AP35" i="59"/>
  <c r="E36" i="50"/>
  <c r="AP80" i="69"/>
  <c r="N80" i="69"/>
  <c r="U80" i="69"/>
  <c r="O36" i="50"/>
  <c r="T36" i="50"/>
  <c r="AF79" i="69"/>
  <c r="Q79" i="69"/>
  <c r="O96" i="57"/>
  <c r="AG96" i="57" s="1"/>
  <c r="P96" i="57"/>
  <c r="AC77" i="69"/>
  <c r="AD77" i="69"/>
  <c r="AB78" i="69"/>
  <c r="AG78" i="69"/>
  <c r="AO80" i="69"/>
  <c r="O81" i="69"/>
  <c r="AY79" i="69"/>
  <c r="L96" i="57"/>
  <c r="N96" i="57"/>
  <c r="AH79" i="69"/>
  <c r="F36" i="50"/>
  <c r="AM36" i="50" s="1"/>
  <c r="H36" i="50"/>
  <c r="M36" i="50"/>
  <c r="N36" i="50"/>
  <c r="G36" i="50"/>
  <c r="L36" i="50"/>
  <c r="K36" i="50"/>
  <c r="I36" i="50"/>
  <c r="J36" i="50"/>
  <c r="B36" i="50"/>
  <c r="R36" i="50" s="1"/>
  <c r="S36" i="50" s="1"/>
  <c r="W36" i="50" s="1"/>
  <c r="X36" i="50" s="1"/>
  <c r="A36" i="50"/>
  <c r="Q36" i="50" s="1"/>
  <c r="P36" i="50" s="1"/>
  <c r="F96" i="57"/>
  <c r="E96" i="57"/>
  <c r="C96" i="57"/>
  <c r="M96" i="57" s="1"/>
  <c r="R96" i="57" s="1"/>
  <c r="I96" i="57"/>
  <c r="J96" i="57"/>
  <c r="K96" i="57"/>
  <c r="H96" i="57"/>
  <c r="D96" i="57"/>
  <c r="G96" i="57"/>
  <c r="AN95" i="55" a="1"/>
  <c r="AN95" i="55"/>
  <c r="B97" i="57"/>
  <c r="AR81" i="67" a="1"/>
  <c r="AR81" i="67"/>
  <c r="B82" i="69"/>
  <c r="L82" i="69"/>
  <c r="C81" i="69"/>
  <c r="P81" i="69"/>
  <c r="D80" i="69"/>
  <c r="E80" i="69"/>
  <c r="F80" i="69"/>
  <c r="G80" i="69"/>
  <c r="H80" i="69"/>
  <c r="I80" i="69"/>
  <c r="J80" i="69"/>
  <c r="K80" i="69"/>
  <c r="M80" i="69"/>
  <c r="AE79" i="69"/>
  <c r="R79" i="69"/>
  <c r="S79" i="69"/>
  <c r="AP36" i="59" a="1"/>
  <c r="AP36" i="59"/>
  <c r="E37" i="50"/>
  <c r="Y79" i="69"/>
  <c r="AG79" i="69"/>
  <c r="AP81" i="69"/>
  <c r="N81" i="69"/>
  <c r="U81" i="69"/>
  <c r="O37" i="50"/>
  <c r="T37" i="50"/>
  <c r="AK33" i="50"/>
  <c r="AK32" i="50"/>
  <c r="AF80" i="69"/>
  <c r="Q80" i="69"/>
  <c r="O97" i="57"/>
  <c r="AG97" i="57" s="1"/>
  <c r="P97" i="57"/>
  <c r="AC78" i="69"/>
  <c r="AD78" i="69"/>
  <c r="O82" i="69"/>
  <c r="AO81" i="69"/>
  <c r="AY80" i="69"/>
  <c r="L97" i="57"/>
  <c r="N97" i="57"/>
  <c r="AH80" i="69"/>
  <c r="B37" i="50"/>
  <c r="R37" i="50" s="1"/>
  <c r="S37" i="50" s="1"/>
  <c r="K37" i="50"/>
  <c r="M37" i="50"/>
  <c r="I37" i="50"/>
  <c r="A37" i="50"/>
  <c r="Q37" i="50" s="1"/>
  <c r="P37" i="50" s="1"/>
  <c r="H37" i="50"/>
  <c r="G37" i="50"/>
  <c r="F37" i="50"/>
  <c r="U37" i="50" s="1"/>
  <c r="N37" i="50"/>
  <c r="J37" i="50"/>
  <c r="L37" i="50"/>
  <c r="H97" i="57"/>
  <c r="G97" i="57"/>
  <c r="E97" i="57"/>
  <c r="D97" i="57"/>
  <c r="C97" i="57"/>
  <c r="M97" i="57" s="1"/>
  <c r="Q97" i="57" s="1"/>
  <c r="T97" i="57" s="1"/>
  <c r="I97" i="57"/>
  <c r="K97" i="57"/>
  <c r="F97" i="57"/>
  <c r="J97" i="57"/>
  <c r="AN96" i="55" a="1"/>
  <c r="AN96" i="55"/>
  <c r="B98" i="57"/>
  <c r="AE80" i="69"/>
  <c r="R80" i="69"/>
  <c r="S80" i="69"/>
  <c r="Y80" i="69"/>
  <c r="D81" i="69"/>
  <c r="E81" i="69"/>
  <c r="F81" i="69"/>
  <c r="G81" i="69"/>
  <c r="H81" i="69"/>
  <c r="I81" i="69"/>
  <c r="J81" i="69"/>
  <c r="K81" i="69"/>
  <c r="M81" i="69"/>
  <c r="C82" i="69"/>
  <c r="P82" i="69"/>
  <c r="AR82" i="67" a="1"/>
  <c r="AR82" i="67"/>
  <c r="B83" i="69"/>
  <c r="L83" i="69"/>
  <c r="AP37" i="59" a="1"/>
  <c r="AP37" i="59"/>
  <c r="E38" i="50"/>
  <c r="AB79" i="69"/>
  <c r="AC79" i="69"/>
  <c r="AD79" i="69"/>
  <c r="AB80" i="69"/>
  <c r="AC80" i="69"/>
  <c r="AD80" i="69"/>
  <c r="AP82" i="69"/>
  <c r="N82" i="69"/>
  <c r="U82" i="69"/>
  <c r="T38" i="50"/>
  <c r="O38" i="50"/>
  <c r="AK34" i="50"/>
  <c r="AF81" i="69"/>
  <c r="Q81" i="69"/>
  <c r="O98" i="57"/>
  <c r="AG98" i="57" s="1"/>
  <c r="P98" i="57"/>
  <c r="O83" i="69"/>
  <c r="AO82" i="69"/>
  <c r="AG80" i="69"/>
  <c r="AY81" i="69"/>
  <c r="L98" i="57"/>
  <c r="N98" i="57"/>
  <c r="AH81" i="69"/>
  <c r="G38" i="50"/>
  <c r="F38" i="50"/>
  <c r="U38" i="50" s="1"/>
  <c r="M38" i="50"/>
  <c r="L38" i="50"/>
  <c r="K38" i="50"/>
  <c r="H38" i="50"/>
  <c r="B38" i="50"/>
  <c r="R38" i="50" s="1"/>
  <c r="S38" i="50" s="1"/>
  <c r="N38" i="50"/>
  <c r="A38" i="50"/>
  <c r="Q38" i="50" s="1"/>
  <c r="P38" i="50" s="1"/>
  <c r="J38" i="50"/>
  <c r="I38" i="50"/>
  <c r="J98" i="57"/>
  <c r="E98" i="57"/>
  <c r="H98" i="57"/>
  <c r="G98" i="57"/>
  <c r="D98" i="57"/>
  <c r="K98" i="57"/>
  <c r="F98" i="57"/>
  <c r="I98" i="57"/>
  <c r="C98" i="57"/>
  <c r="M98" i="57" s="1"/>
  <c r="AE98" i="57" s="1"/>
  <c r="AN97" i="55" a="1"/>
  <c r="AN97" i="55"/>
  <c r="B99" i="57"/>
  <c r="D82" i="69"/>
  <c r="E82" i="69"/>
  <c r="F82" i="69"/>
  <c r="G82" i="69"/>
  <c r="H82" i="69"/>
  <c r="I82" i="69"/>
  <c r="J82" i="69"/>
  <c r="K82" i="69"/>
  <c r="M82" i="69"/>
  <c r="R81" i="69"/>
  <c r="S81" i="69"/>
  <c r="Y81" i="69"/>
  <c r="AE81" i="69"/>
  <c r="C83" i="69"/>
  <c r="P83" i="69"/>
  <c r="AR83" i="67" a="1"/>
  <c r="AR83" i="67"/>
  <c r="B84" i="69"/>
  <c r="L84" i="69"/>
  <c r="AP38" i="59" a="1"/>
  <c r="AP38" i="59"/>
  <c r="E39" i="50"/>
  <c r="AP83" i="69"/>
  <c r="N83" i="69"/>
  <c r="U83" i="69"/>
  <c r="T39" i="50"/>
  <c r="O39" i="50"/>
  <c r="AK35" i="50"/>
  <c r="AF82" i="69"/>
  <c r="Q82" i="69"/>
  <c r="O99" i="57"/>
  <c r="P99" i="57"/>
  <c r="AB81" i="69"/>
  <c r="AG81" i="69"/>
  <c r="AO83" i="69"/>
  <c r="O84" i="69"/>
  <c r="AY82" i="69"/>
  <c r="L99" i="57"/>
  <c r="N99" i="57"/>
  <c r="AH82" i="69"/>
  <c r="J39" i="50"/>
  <c r="M39" i="50"/>
  <c r="F39" i="50"/>
  <c r="N39" i="50"/>
  <c r="G39" i="50"/>
  <c r="K39" i="50"/>
  <c r="I39" i="50"/>
  <c r="A39" i="50"/>
  <c r="Q39" i="50" s="1"/>
  <c r="P39" i="50" s="1"/>
  <c r="L39" i="50"/>
  <c r="H39" i="50"/>
  <c r="B39" i="50"/>
  <c r="R39" i="50" s="1"/>
  <c r="S39" i="50" s="1"/>
  <c r="E99" i="57"/>
  <c r="D99" i="57"/>
  <c r="C99" i="57"/>
  <c r="M99" i="57" s="1"/>
  <c r="K99" i="57"/>
  <c r="G99" i="57"/>
  <c r="I99" i="57"/>
  <c r="H99" i="57"/>
  <c r="F99" i="57"/>
  <c r="J99" i="57"/>
  <c r="AN98" i="55" a="1"/>
  <c r="AN98" i="55"/>
  <c r="B100" i="57"/>
  <c r="AR84" i="67" a="1"/>
  <c r="AR84" i="67"/>
  <c r="B85" i="69"/>
  <c r="L85" i="69"/>
  <c r="AE82" i="69"/>
  <c r="R82" i="69"/>
  <c r="S82" i="69"/>
  <c r="Y82" i="69"/>
  <c r="C84" i="69"/>
  <c r="P84" i="69"/>
  <c r="D83" i="69"/>
  <c r="E83" i="69"/>
  <c r="F83" i="69"/>
  <c r="G83" i="69"/>
  <c r="H83" i="69"/>
  <c r="I83" i="69"/>
  <c r="J83" i="69"/>
  <c r="K83" i="69"/>
  <c r="M83" i="69"/>
  <c r="AP39" i="59" a="1"/>
  <c r="AP39" i="59"/>
  <c r="E40" i="50"/>
  <c r="AP84" i="69"/>
  <c r="N84" i="69"/>
  <c r="U84" i="69"/>
  <c r="O40" i="50"/>
  <c r="T40" i="50"/>
  <c r="AK36" i="50"/>
  <c r="AF83" i="69"/>
  <c r="Q83" i="69"/>
  <c r="O100" i="57"/>
  <c r="AG100" i="57" s="1"/>
  <c r="P100" i="57"/>
  <c r="AC81" i="69"/>
  <c r="AD81" i="69"/>
  <c r="AB82" i="69"/>
  <c r="AG82" i="69"/>
  <c r="O85" i="69"/>
  <c r="AO84" i="69"/>
  <c r="AY83" i="69"/>
  <c r="L100" i="57"/>
  <c r="N100" i="57"/>
  <c r="AH83" i="69"/>
  <c r="N40" i="50"/>
  <c r="I40" i="50"/>
  <c r="J40" i="50"/>
  <c r="G40" i="50"/>
  <c r="B40" i="50"/>
  <c r="R40" i="50" s="1"/>
  <c r="S40" i="50" s="1"/>
  <c r="A40" i="50"/>
  <c r="Q40" i="50" s="1"/>
  <c r="P40" i="50" s="1"/>
  <c r="H40" i="50"/>
  <c r="M40" i="50"/>
  <c r="K40" i="50"/>
  <c r="F40" i="50"/>
  <c r="U40" i="50" s="1"/>
  <c r="L40" i="50"/>
  <c r="I100" i="57"/>
  <c r="F100" i="57"/>
  <c r="C100" i="57"/>
  <c r="M100" i="57" s="1"/>
  <c r="K100" i="57"/>
  <c r="H100" i="57"/>
  <c r="D100" i="57"/>
  <c r="G100" i="57"/>
  <c r="E100" i="57"/>
  <c r="J100" i="57"/>
  <c r="AN99" i="55" a="1"/>
  <c r="AN99" i="55"/>
  <c r="B101" i="57"/>
  <c r="R83" i="69"/>
  <c r="S83" i="69"/>
  <c r="Y83" i="69"/>
  <c r="AE83" i="69"/>
  <c r="D84" i="69"/>
  <c r="E84" i="69"/>
  <c r="F84" i="69"/>
  <c r="G84" i="69"/>
  <c r="H84" i="69"/>
  <c r="I84" i="69"/>
  <c r="J84" i="69"/>
  <c r="K84" i="69"/>
  <c r="M84" i="69"/>
  <c r="C85" i="69"/>
  <c r="P85" i="69"/>
  <c r="AR85" i="67" a="1"/>
  <c r="AR85" i="67"/>
  <c r="B86" i="69"/>
  <c r="L86" i="69"/>
  <c r="AP40" i="59" a="1"/>
  <c r="AP40" i="59"/>
  <c r="E41" i="50"/>
  <c r="AB83" i="69"/>
  <c r="AC83" i="69"/>
  <c r="AD83" i="69"/>
  <c r="AP85" i="69"/>
  <c r="N85" i="69"/>
  <c r="U85" i="69"/>
  <c r="O41" i="50"/>
  <c r="T41" i="50"/>
  <c r="AF84" i="69"/>
  <c r="Q84" i="69"/>
  <c r="O101" i="57"/>
  <c r="P101" i="57"/>
  <c r="AC82" i="69"/>
  <c r="AD82" i="69"/>
  <c r="O86" i="69"/>
  <c r="AG83" i="69"/>
  <c r="AO85" i="69"/>
  <c r="AY84" i="69"/>
  <c r="L101" i="57"/>
  <c r="N101" i="57"/>
  <c r="AH84" i="69"/>
  <c r="M41" i="50"/>
  <c r="K41" i="50"/>
  <c r="H41" i="50"/>
  <c r="N41" i="50"/>
  <c r="I41" i="50"/>
  <c r="A41" i="50"/>
  <c r="Q41" i="50" s="1"/>
  <c r="P41" i="50" s="1"/>
  <c r="B41" i="50"/>
  <c r="R41" i="50" s="1"/>
  <c r="S41" i="50" s="1"/>
  <c r="L41" i="50"/>
  <c r="G41" i="50"/>
  <c r="J41" i="50"/>
  <c r="F41" i="50"/>
  <c r="U41" i="50" s="1"/>
  <c r="K101" i="57"/>
  <c r="I101" i="57"/>
  <c r="H101" i="57"/>
  <c r="G101" i="57"/>
  <c r="E101" i="57"/>
  <c r="D101" i="57"/>
  <c r="C101" i="57"/>
  <c r="M101" i="57" s="1"/>
  <c r="F101" i="57"/>
  <c r="J101" i="57"/>
  <c r="AN100" i="55" a="1"/>
  <c r="AN100" i="55"/>
  <c r="B102" i="57"/>
  <c r="AR86" i="67" a="1"/>
  <c r="AR86" i="67"/>
  <c r="B87" i="69"/>
  <c r="L87" i="69"/>
  <c r="D85" i="69"/>
  <c r="E85" i="69"/>
  <c r="F85" i="69"/>
  <c r="G85" i="69"/>
  <c r="H85" i="69"/>
  <c r="I85" i="69"/>
  <c r="J85" i="69"/>
  <c r="K85" i="69"/>
  <c r="M85" i="69"/>
  <c r="C86" i="69"/>
  <c r="P86" i="69"/>
  <c r="AE84" i="69"/>
  <c r="R84" i="69"/>
  <c r="S84" i="69"/>
  <c r="Y84" i="69"/>
  <c r="AP41" i="59" a="1"/>
  <c r="AP41" i="59"/>
  <c r="E42" i="50"/>
  <c r="AP86" i="69"/>
  <c r="N86" i="69"/>
  <c r="U86" i="69"/>
  <c r="T42" i="50"/>
  <c r="O42" i="50"/>
  <c r="AK37" i="50"/>
  <c r="AK38" i="50"/>
  <c r="AF85" i="69"/>
  <c r="Q85" i="69"/>
  <c r="O102" i="57"/>
  <c r="AG102" i="57" s="1"/>
  <c r="P102" i="57"/>
  <c r="AB84" i="69"/>
  <c r="AG84" i="69"/>
  <c r="O87" i="69"/>
  <c r="AO86" i="69"/>
  <c r="AY85" i="69"/>
  <c r="L102" i="57"/>
  <c r="N102" i="57"/>
  <c r="AH85" i="69"/>
  <c r="A42" i="50"/>
  <c r="Q42" i="50" s="1"/>
  <c r="P42" i="50" s="1"/>
  <c r="M42" i="50"/>
  <c r="B42" i="50"/>
  <c r="R42" i="50" s="1"/>
  <c r="S42" i="50" s="1"/>
  <c r="L42" i="50"/>
  <c r="K42" i="50"/>
  <c r="I42" i="50"/>
  <c r="F42" i="50"/>
  <c r="H42" i="50"/>
  <c r="N42" i="50"/>
  <c r="J42" i="50"/>
  <c r="G42" i="50"/>
  <c r="I102" i="57"/>
  <c r="C102" i="57"/>
  <c r="M102" i="57" s="1"/>
  <c r="AK102" i="57" s="1"/>
  <c r="E102" i="57"/>
  <c r="K102" i="57"/>
  <c r="G102" i="57"/>
  <c r="F102" i="57"/>
  <c r="H102" i="57"/>
  <c r="J102" i="57"/>
  <c r="D102" i="57"/>
  <c r="AN101" i="55" a="1"/>
  <c r="AN101" i="55"/>
  <c r="B103" i="57"/>
  <c r="AR87" i="67" a="1"/>
  <c r="AR87" i="67"/>
  <c r="B88" i="69"/>
  <c r="L88" i="69"/>
  <c r="D86" i="69"/>
  <c r="E86" i="69"/>
  <c r="F86" i="69"/>
  <c r="G86" i="69"/>
  <c r="H86" i="69"/>
  <c r="I86" i="69"/>
  <c r="J86" i="69"/>
  <c r="K86" i="69"/>
  <c r="M86" i="69"/>
  <c r="AE85" i="69"/>
  <c r="R85" i="69"/>
  <c r="S85" i="69"/>
  <c r="Y85" i="69"/>
  <c r="C87" i="69"/>
  <c r="P87" i="69"/>
  <c r="AP42" i="59" a="1"/>
  <c r="AP42" i="59"/>
  <c r="E43" i="50"/>
  <c r="AP87" i="69"/>
  <c r="N87" i="69"/>
  <c r="U87" i="69"/>
  <c r="T43" i="50"/>
  <c r="O43" i="50"/>
  <c r="AK39" i="50"/>
  <c r="AF86" i="69"/>
  <c r="Q86" i="69"/>
  <c r="O103" i="57"/>
  <c r="AG103" i="57" s="1"/>
  <c r="P103" i="57"/>
  <c r="AC84" i="69"/>
  <c r="AD84" i="69"/>
  <c r="AB85" i="69"/>
  <c r="AG85" i="69"/>
  <c r="O88" i="69"/>
  <c r="AO87" i="69"/>
  <c r="AY86" i="69"/>
  <c r="L103" i="57"/>
  <c r="N103" i="57"/>
  <c r="AH86" i="69"/>
  <c r="F43" i="50"/>
  <c r="AM43" i="50" s="1"/>
  <c r="M43" i="50"/>
  <c r="K43" i="50"/>
  <c r="J43" i="50"/>
  <c r="A43" i="50"/>
  <c r="Q43" i="50" s="1"/>
  <c r="P43" i="50" s="1"/>
  <c r="N43" i="50"/>
  <c r="L43" i="50"/>
  <c r="B43" i="50"/>
  <c r="R43" i="50" s="1"/>
  <c r="S43" i="50" s="1"/>
  <c r="Z43" i="50" s="1"/>
  <c r="I43" i="50"/>
  <c r="H43" i="50"/>
  <c r="G43" i="50"/>
  <c r="K103" i="57"/>
  <c r="I103" i="57"/>
  <c r="H103" i="57"/>
  <c r="G103" i="57"/>
  <c r="C103" i="57"/>
  <c r="M103" i="57" s="1"/>
  <c r="AC103" i="57" s="1"/>
  <c r="E103" i="57"/>
  <c r="D103" i="57"/>
  <c r="F103" i="57"/>
  <c r="J103" i="57"/>
  <c r="AN102" i="55" a="1"/>
  <c r="AN102" i="55"/>
  <c r="B104" i="57"/>
  <c r="AR88" i="67" a="1"/>
  <c r="AR88" i="67"/>
  <c r="B89" i="69"/>
  <c r="L89" i="69"/>
  <c r="D87" i="69"/>
  <c r="E87" i="69"/>
  <c r="F87" i="69"/>
  <c r="G87" i="69"/>
  <c r="H87" i="69"/>
  <c r="I87" i="69"/>
  <c r="J87" i="69"/>
  <c r="K87" i="69"/>
  <c r="M87" i="69"/>
  <c r="C88" i="69"/>
  <c r="P88" i="69"/>
  <c r="AE86" i="69"/>
  <c r="R86" i="69"/>
  <c r="S86" i="69"/>
  <c r="AP43" i="59" a="1"/>
  <c r="AP43" i="59"/>
  <c r="E44" i="50"/>
  <c r="Y86" i="69"/>
  <c r="AB86" i="69"/>
  <c r="AC86" i="69"/>
  <c r="AD86" i="69"/>
  <c r="AP88" i="69"/>
  <c r="N88" i="69"/>
  <c r="U88" i="69"/>
  <c r="O44" i="50"/>
  <c r="T44" i="50"/>
  <c r="AK40" i="50"/>
  <c r="AF87" i="69"/>
  <c r="Q87" i="69"/>
  <c r="O104" i="57"/>
  <c r="P104" i="57"/>
  <c r="AC85" i="69"/>
  <c r="AD85" i="69"/>
  <c r="AO88" i="69"/>
  <c r="O89" i="69"/>
  <c r="AY87" i="69"/>
  <c r="L104" i="57"/>
  <c r="N104" i="57"/>
  <c r="AH87" i="69"/>
  <c r="H44" i="50"/>
  <c r="F44" i="50"/>
  <c r="M44" i="50"/>
  <c r="K44" i="50"/>
  <c r="J44" i="50"/>
  <c r="N44" i="50"/>
  <c r="A44" i="50"/>
  <c r="Q44" i="50" s="1"/>
  <c r="P44" i="50" s="1"/>
  <c r="L44" i="50"/>
  <c r="B44" i="50"/>
  <c r="R44" i="50" s="1"/>
  <c r="S44" i="50" s="1"/>
  <c r="I44" i="50"/>
  <c r="G44" i="50"/>
  <c r="K104" i="57"/>
  <c r="J104" i="57"/>
  <c r="I104" i="57"/>
  <c r="C104" i="57"/>
  <c r="M104" i="57" s="1"/>
  <c r="Q104" i="57" s="1"/>
  <c r="T104" i="57" s="1"/>
  <c r="F104" i="57"/>
  <c r="E104" i="57"/>
  <c r="H104" i="57"/>
  <c r="D104" i="57"/>
  <c r="G104" i="57"/>
  <c r="AN103" i="55" a="1"/>
  <c r="AN103" i="55"/>
  <c r="B105" i="57"/>
  <c r="AE87" i="69"/>
  <c r="R87" i="69"/>
  <c r="S87" i="69"/>
  <c r="Y87" i="69"/>
  <c r="D88" i="69"/>
  <c r="E88" i="69"/>
  <c r="F88" i="69"/>
  <c r="G88" i="69"/>
  <c r="H88" i="69"/>
  <c r="I88" i="69"/>
  <c r="J88" i="69"/>
  <c r="K88" i="69"/>
  <c r="M88" i="69"/>
  <c r="C89" i="69"/>
  <c r="P89" i="69"/>
  <c r="AR89" i="67" a="1"/>
  <c r="AR89" i="67"/>
  <c r="B90" i="69"/>
  <c r="L90" i="69"/>
  <c r="AP44" i="59" a="1"/>
  <c r="AP44" i="59"/>
  <c r="E45" i="50"/>
  <c r="AG86" i="69"/>
  <c r="AP89" i="69"/>
  <c r="N89" i="69"/>
  <c r="U89" i="69"/>
  <c r="O45" i="50"/>
  <c r="T45" i="50"/>
  <c r="AK41" i="50"/>
  <c r="AF88" i="69"/>
  <c r="Q88" i="69"/>
  <c r="O105" i="57"/>
  <c r="AG105" i="57" s="1"/>
  <c r="P105" i="57"/>
  <c r="AB87" i="69"/>
  <c r="AG87" i="69"/>
  <c r="AO89" i="69"/>
  <c r="O90" i="69"/>
  <c r="AY88" i="69"/>
  <c r="L105" i="57"/>
  <c r="N105" i="57"/>
  <c r="AH88" i="69"/>
  <c r="M45" i="50"/>
  <c r="B45" i="50"/>
  <c r="R45" i="50" s="1"/>
  <c r="S45" i="50" s="1"/>
  <c r="I45" i="50"/>
  <c r="A45" i="50"/>
  <c r="Q45" i="50" s="1"/>
  <c r="P45" i="50" s="1"/>
  <c r="H45" i="50"/>
  <c r="G45" i="50"/>
  <c r="K45" i="50"/>
  <c r="J45" i="50"/>
  <c r="F45" i="50"/>
  <c r="U45" i="50" s="1"/>
  <c r="N45" i="50"/>
  <c r="L45" i="50"/>
  <c r="D105" i="57"/>
  <c r="C105" i="57"/>
  <c r="M105" i="57" s="1"/>
  <c r="R105" i="57" s="1"/>
  <c r="K105" i="57"/>
  <c r="I105" i="57"/>
  <c r="E105" i="57"/>
  <c r="G105" i="57"/>
  <c r="H105" i="57"/>
  <c r="F105" i="57"/>
  <c r="J105" i="57"/>
  <c r="AN104" i="55" a="1"/>
  <c r="AN104" i="55"/>
  <c r="B106" i="57"/>
  <c r="AR90" i="67" a="1"/>
  <c r="AR90" i="67"/>
  <c r="B91" i="69"/>
  <c r="L91" i="69"/>
  <c r="AE88" i="69"/>
  <c r="R88" i="69"/>
  <c r="S88" i="69"/>
  <c r="Y88" i="69"/>
  <c r="C90" i="69"/>
  <c r="P90" i="69"/>
  <c r="D89" i="69"/>
  <c r="E89" i="69"/>
  <c r="F89" i="69"/>
  <c r="G89" i="69"/>
  <c r="H89" i="69"/>
  <c r="I89" i="69"/>
  <c r="J89" i="69"/>
  <c r="K89" i="69"/>
  <c r="M89" i="69"/>
  <c r="AP45" i="59" a="1"/>
  <c r="AP45" i="59"/>
  <c r="E46" i="50"/>
  <c r="AP90" i="69"/>
  <c r="N90" i="69"/>
  <c r="U90" i="69"/>
  <c r="T46" i="50"/>
  <c r="O46" i="50"/>
  <c r="AK42" i="50"/>
  <c r="AF89" i="69"/>
  <c r="Q89" i="69"/>
  <c r="O106" i="57"/>
  <c r="AG106" i="57" s="1"/>
  <c r="P106" i="57"/>
  <c r="AC87" i="69"/>
  <c r="AD87" i="69"/>
  <c r="AB88" i="69"/>
  <c r="AG88" i="69"/>
  <c r="O91" i="69"/>
  <c r="AO90" i="69"/>
  <c r="AY89" i="69"/>
  <c r="L106" i="57"/>
  <c r="N106" i="57"/>
  <c r="AH89" i="69"/>
  <c r="G46" i="50"/>
  <c r="H46" i="50"/>
  <c r="N46" i="50"/>
  <c r="M46" i="50"/>
  <c r="F46" i="50"/>
  <c r="U46" i="50" s="1"/>
  <c r="L46" i="50"/>
  <c r="A46" i="50"/>
  <c r="Q46" i="50" s="1"/>
  <c r="P46" i="50" s="1"/>
  <c r="J46" i="50"/>
  <c r="K46" i="50"/>
  <c r="B46" i="50"/>
  <c r="R46" i="50" s="1"/>
  <c r="S46" i="50" s="1"/>
  <c r="I46" i="50"/>
  <c r="J106" i="57"/>
  <c r="G106" i="57"/>
  <c r="C106" i="57"/>
  <c r="M106" i="57" s="1"/>
  <c r="H106" i="57"/>
  <c r="D106" i="57"/>
  <c r="K106" i="57"/>
  <c r="F106" i="57"/>
  <c r="E106" i="57"/>
  <c r="I106" i="57"/>
  <c r="AN105" i="55" a="1"/>
  <c r="AN105" i="55"/>
  <c r="B107" i="57"/>
  <c r="AR91" i="67" a="1"/>
  <c r="AR91" i="67"/>
  <c r="B92" i="69"/>
  <c r="L92" i="69"/>
  <c r="D90" i="69"/>
  <c r="E90" i="69"/>
  <c r="F90" i="69"/>
  <c r="G90" i="69"/>
  <c r="H90" i="69"/>
  <c r="I90" i="69"/>
  <c r="J90" i="69"/>
  <c r="K90" i="69"/>
  <c r="M90" i="69"/>
  <c r="AE89" i="69"/>
  <c r="R89" i="69"/>
  <c r="S89" i="69"/>
  <c r="Y89" i="69"/>
  <c r="C91" i="69"/>
  <c r="P91" i="69"/>
  <c r="AP46" i="59" a="1"/>
  <c r="AP46" i="59"/>
  <c r="E47" i="50"/>
  <c r="AP91" i="69"/>
  <c r="N91" i="69"/>
  <c r="U91" i="69"/>
  <c r="T47" i="50"/>
  <c r="O47" i="50"/>
  <c r="AF90" i="69"/>
  <c r="Q90" i="69"/>
  <c r="O107" i="57"/>
  <c r="AG107" i="57" s="1"/>
  <c r="P107" i="57"/>
  <c r="AC88" i="69"/>
  <c r="AD88" i="69"/>
  <c r="AB89" i="69"/>
  <c r="AG89" i="69"/>
  <c r="O92" i="69"/>
  <c r="AO91" i="69"/>
  <c r="AY90" i="69"/>
  <c r="L107" i="57"/>
  <c r="N107" i="57"/>
  <c r="AH90" i="69"/>
  <c r="G47" i="50"/>
  <c r="I47" i="50"/>
  <c r="M47" i="50"/>
  <c r="J47" i="50"/>
  <c r="F47" i="50"/>
  <c r="N47" i="50"/>
  <c r="L47" i="50"/>
  <c r="B47" i="50"/>
  <c r="R47" i="50" s="1"/>
  <c r="S47" i="50" s="1"/>
  <c r="AJ47" i="50" s="1"/>
  <c r="H47" i="50"/>
  <c r="A47" i="50"/>
  <c r="Q47" i="50" s="1"/>
  <c r="P47" i="50" s="1"/>
  <c r="K47" i="50"/>
  <c r="E107" i="57"/>
  <c r="D107" i="57"/>
  <c r="C107" i="57"/>
  <c r="M107" i="57" s="1"/>
  <c r="AK107" i="57" s="1"/>
  <c r="K107" i="57"/>
  <c r="G107" i="57"/>
  <c r="I107" i="57"/>
  <c r="H107" i="57"/>
  <c r="F107" i="57"/>
  <c r="J107" i="57"/>
  <c r="AN106" i="55" a="1"/>
  <c r="AN106" i="55"/>
  <c r="B108" i="57"/>
  <c r="AR92" i="67" a="1"/>
  <c r="AR92" i="67"/>
  <c r="B93" i="69"/>
  <c r="L93" i="69"/>
  <c r="C92" i="69"/>
  <c r="P92" i="69"/>
  <c r="D91" i="69"/>
  <c r="E91" i="69"/>
  <c r="F91" i="69"/>
  <c r="G91" i="69"/>
  <c r="H91" i="69"/>
  <c r="I91" i="69"/>
  <c r="J91" i="69"/>
  <c r="K91" i="69"/>
  <c r="M91" i="69"/>
  <c r="AE90" i="69"/>
  <c r="R90" i="69"/>
  <c r="S90" i="69"/>
  <c r="Y90" i="69"/>
  <c r="AP47" i="59" a="1"/>
  <c r="AP47" i="59"/>
  <c r="E48" i="50"/>
  <c r="AP92" i="69"/>
  <c r="N92" i="69"/>
  <c r="U92" i="69"/>
  <c r="O48" i="50"/>
  <c r="T48" i="50"/>
  <c r="AK44" i="50"/>
  <c r="AK43" i="50"/>
  <c r="AF91" i="69"/>
  <c r="Q91" i="69"/>
  <c r="O108" i="57"/>
  <c r="AG108" i="57" s="1"/>
  <c r="P108" i="57"/>
  <c r="AC89" i="69"/>
  <c r="AD89" i="69"/>
  <c r="AB90" i="69"/>
  <c r="AG90" i="69"/>
  <c r="O93" i="69"/>
  <c r="AO92" i="69"/>
  <c r="AY91" i="69"/>
  <c r="L108" i="57"/>
  <c r="N108" i="57"/>
  <c r="AH91" i="69"/>
  <c r="B48" i="50"/>
  <c r="R48" i="50" s="1"/>
  <c r="S48" i="50" s="1"/>
  <c r="V48" i="50" s="1"/>
  <c r="F48" i="50"/>
  <c r="U48" i="50" s="1"/>
  <c r="H48" i="50"/>
  <c r="L48" i="50"/>
  <c r="I48" i="50"/>
  <c r="N48" i="50"/>
  <c r="M48" i="50"/>
  <c r="J48" i="50"/>
  <c r="K48" i="50"/>
  <c r="G48" i="50"/>
  <c r="A48" i="50"/>
  <c r="Q48" i="50" s="1"/>
  <c r="P48" i="50" s="1"/>
  <c r="I108" i="57"/>
  <c r="F108" i="57"/>
  <c r="C108" i="57"/>
  <c r="M108" i="57" s="1"/>
  <c r="K108" i="57"/>
  <c r="H108" i="57"/>
  <c r="D108" i="57"/>
  <c r="G108" i="57"/>
  <c r="E108" i="57"/>
  <c r="J108" i="57"/>
  <c r="AN107" i="55" a="1"/>
  <c r="AN107" i="55"/>
  <c r="B109" i="57"/>
  <c r="C93" i="69"/>
  <c r="P93" i="69"/>
  <c r="AE91" i="69"/>
  <c r="R91" i="69"/>
  <c r="S91" i="69"/>
  <c r="Y91" i="69"/>
  <c r="D92" i="69"/>
  <c r="E92" i="69"/>
  <c r="F92" i="69"/>
  <c r="G92" i="69"/>
  <c r="H92" i="69"/>
  <c r="I92" i="69"/>
  <c r="J92" i="69"/>
  <c r="K92" i="69"/>
  <c r="M92" i="69"/>
  <c r="AR93" i="67" a="1"/>
  <c r="AR93" i="67"/>
  <c r="B94" i="69"/>
  <c r="L94" i="69"/>
  <c r="AP48" i="59" a="1"/>
  <c r="AP48" i="59"/>
  <c r="E49" i="50"/>
  <c r="AP93" i="69"/>
  <c r="N93" i="69"/>
  <c r="U93" i="69"/>
  <c r="O49" i="50"/>
  <c r="T49" i="50"/>
  <c r="AK45" i="50"/>
  <c r="AF92" i="69"/>
  <c r="Q92" i="69"/>
  <c r="O109" i="57"/>
  <c r="P109" i="57"/>
  <c r="AC90" i="69"/>
  <c r="AD90" i="69"/>
  <c r="AB91" i="69"/>
  <c r="AG91" i="69"/>
  <c r="O94" i="69"/>
  <c r="AO93" i="69"/>
  <c r="AY92" i="69"/>
  <c r="L109" i="57"/>
  <c r="N109" i="57"/>
  <c r="AH92" i="69"/>
  <c r="M49" i="50"/>
  <c r="B49" i="50"/>
  <c r="R49" i="50" s="1"/>
  <c r="S49" i="50" s="1"/>
  <c r="I49" i="50"/>
  <c r="H49" i="50"/>
  <c r="J49" i="50"/>
  <c r="K49" i="50"/>
  <c r="L49" i="50"/>
  <c r="F49" i="50"/>
  <c r="AM49" i="50" s="1"/>
  <c r="G49" i="50"/>
  <c r="A49" i="50"/>
  <c r="Q49" i="50" s="1"/>
  <c r="P49" i="50" s="1"/>
  <c r="N49" i="50"/>
  <c r="K109" i="57"/>
  <c r="I109" i="57"/>
  <c r="H109" i="57"/>
  <c r="G109" i="57"/>
  <c r="C109" i="57"/>
  <c r="M109" i="57" s="1"/>
  <c r="E109" i="57"/>
  <c r="D109" i="57"/>
  <c r="F109" i="57"/>
  <c r="J109" i="57"/>
  <c r="AN108" i="55" a="1"/>
  <c r="AN108" i="55"/>
  <c r="B110" i="57"/>
  <c r="AR94" i="67" a="1"/>
  <c r="AR94" i="67"/>
  <c r="B95" i="69"/>
  <c r="L95" i="69"/>
  <c r="D93" i="69"/>
  <c r="E93" i="69"/>
  <c r="F93" i="69"/>
  <c r="G93" i="69"/>
  <c r="H93" i="69"/>
  <c r="I93" i="69"/>
  <c r="J93" i="69"/>
  <c r="K93" i="69"/>
  <c r="M93" i="69"/>
  <c r="AE92" i="69"/>
  <c r="R92" i="69"/>
  <c r="S92" i="69"/>
  <c r="Y92" i="69"/>
  <c r="C94" i="69"/>
  <c r="P94" i="69"/>
  <c r="AP49" i="59" a="1"/>
  <c r="AP49" i="59"/>
  <c r="E50" i="50"/>
  <c r="AP94" i="69"/>
  <c r="N94" i="69"/>
  <c r="U94" i="69"/>
  <c r="T50" i="50"/>
  <c r="O50" i="50"/>
  <c r="AK46" i="50"/>
  <c r="AF93" i="69"/>
  <c r="Q93" i="69"/>
  <c r="O110" i="57"/>
  <c r="AG110" i="57" s="1"/>
  <c r="P110" i="57"/>
  <c r="AC91" i="69"/>
  <c r="AD91" i="69"/>
  <c r="AB92" i="69"/>
  <c r="AG92" i="69"/>
  <c r="AO94" i="69"/>
  <c r="O95" i="69"/>
  <c r="AY93" i="69"/>
  <c r="L110" i="57"/>
  <c r="N110" i="57"/>
  <c r="AH93" i="69"/>
  <c r="I50" i="50"/>
  <c r="F50" i="50"/>
  <c r="G50" i="50"/>
  <c r="M50" i="50"/>
  <c r="A50" i="50"/>
  <c r="Q50" i="50" s="1"/>
  <c r="P50" i="50" s="1"/>
  <c r="N50" i="50"/>
  <c r="H50" i="50"/>
  <c r="J50" i="50"/>
  <c r="K50" i="50"/>
  <c r="L50" i="50"/>
  <c r="B50" i="50"/>
  <c r="R50" i="50" s="1"/>
  <c r="S50" i="50" s="1"/>
  <c r="Z50" i="50" s="1"/>
  <c r="J110" i="57"/>
  <c r="E110" i="57"/>
  <c r="H110" i="57"/>
  <c r="D110" i="57"/>
  <c r="I110" i="57"/>
  <c r="G110" i="57"/>
  <c r="C110" i="57"/>
  <c r="M110" i="57" s="1"/>
  <c r="K110" i="57"/>
  <c r="F110" i="57"/>
  <c r="AN109" i="55" a="1"/>
  <c r="AN109" i="55"/>
  <c r="B111" i="57"/>
  <c r="AR95" i="67" a="1"/>
  <c r="AR95" i="67"/>
  <c r="B96" i="69"/>
  <c r="L96" i="69"/>
  <c r="AE93" i="69"/>
  <c r="R93" i="69"/>
  <c r="S93" i="69"/>
  <c r="Y93" i="69"/>
  <c r="D94" i="69"/>
  <c r="E94" i="69"/>
  <c r="F94" i="69"/>
  <c r="G94" i="69"/>
  <c r="H94" i="69"/>
  <c r="I94" i="69"/>
  <c r="J94" i="69"/>
  <c r="K94" i="69"/>
  <c r="M94" i="69"/>
  <c r="C95" i="69"/>
  <c r="P95" i="69"/>
  <c r="AP50" i="59" a="1"/>
  <c r="AP50" i="59"/>
  <c r="E51" i="50"/>
  <c r="AB93" i="69"/>
  <c r="AC93" i="69"/>
  <c r="AD93" i="69"/>
  <c r="AP95" i="69"/>
  <c r="N95" i="69"/>
  <c r="U95" i="69"/>
  <c r="T51" i="50"/>
  <c r="O51" i="50"/>
  <c r="AF94" i="69"/>
  <c r="Q94" i="69"/>
  <c r="O111" i="57"/>
  <c r="P111" i="57"/>
  <c r="AC92" i="69"/>
  <c r="AD92" i="69"/>
  <c r="AG93" i="69"/>
  <c r="O96" i="69"/>
  <c r="AO95" i="69"/>
  <c r="AY94" i="69"/>
  <c r="L111" i="57"/>
  <c r="N111" i="57"/>
  <c r="AH94" i="69"/>
  <c r="F51" i="50"/>
  <c r="U51" i="50" s="1"/>
  <c r="A51" i="50"/>
  <c r="Q51" i="50" s="1"/>
  <c r="P51" i="50" s="1"/>
  <c r="M51" i="50"/>
  <c r="K51" i="50"/>
  <c r="H51" i="50"/>
  <c r="L51" i="50"/>
  <c r="B51" i="50"/>
  <c r="R51" i="50" s="1"/>
  <c r="S51" i="50" s="1"/>
  <c r="G51" i="50"/>
  <c r="N51" i="50"/>
  <c r="J51" i="50"/>
  <c r="I51" i="50"/>
  <c r="I111" i="57"/>
  <c r="H111" i="57"/>
  <c r="G111" i="57"/>
  <c r="E111" i="57"/>
  <c r="D111" i="57"/>
  <c r="K111" i="57"/>
  <c r="C111" i="57"/>
  <c r="M111" i="57" s="1"/>
  <c r="F111" i="57"/>
  <c r="J111" i="57"/>
  <c r="AN110" i="55" a="1"/>
  <c r="AN110" i="55"/>
  <c r="B112" i="57"/>
  <c r="AR96" i="67" a="1"/>
  <c r="AR96" i="67"/>
  <c r="B97" i="69"/>
  <c r="L97" i="69"/>
  <c r="D95" i="69"/>
  <c r="E95" i="69"/>
  <c r="F95" i="69"/>
  <c r="G95" i="69"/>
  <c r="H95" i="69"/>
  <c r="I95" i="69"/>
  <c r="J95" i="69"/>
  <c r="K95" i="69"/>
  <c r="M95" i="69"/>
  <c r="R94" i="69"/>
  <c r="S94" i="69"/>
  <c r="Y94" i="69"/>
  <c r="AE94" i="69"/>
  <c r="C96" i="69"/>
  <c r="P96" i="69"/>
  <c r="AP51" i="59" a="1"/>
  <c r="AP51" i="59"/>
  <c r="E52" i="50"/>
  <c r="AP96" i="69"/>
  <c r="N96" i="69"/>
  <c r="U96" i="69"/>
  <c r="O52" i="50"/>
  <c r="T52" i="50"/>
  <c r="AK47" i="50"/>
  <c r="AF95" i="69"/>
  <c r="Q95" i="69"/>
  <c r="O112" i="57"/>
  <c r="AG112" i="57" s="1"/>
  <c r="P112" i="57"/>
  <c r="AB94" i="69"/>
  <c r="AG94" i="69"/>
  <c r="AO96" i="69"/>
  <c r="O97" i="69"/>
  <c r="AY95" i="69"/>
  <c r="L112" i="57"/>
  <c r="N112" i="57"/>
  <c r="AH95" i="69"/>
  <c r="H52" i="50"/>
  <c r="N52" i="50"/>
  <c r="M52" i="50"/>
  <c r="F52" i="50"/>
  <c r="U52" i="50" s="1"/>
  <c r="L52" i="50"/>
  <c r="B52" i="50"/>
  <c r="R52" i="50" s="1"/>
  <c r="S52" i="50" s="1"/>
  <c r="J52" i="50"/>
  <c r="I52" i="50"/>
  <c r="A52" i="50"/>
  <c r="Q52" i="50" s="1"/>
  <c r="P52" i="50" s="1"/>
  <c r="G52" i="50"/>
  <c r="K52" i="50"/>
  <c r="K112" i="57"/>
  <c r="I112" i="57"/>
  <c r="F112" i="57"/>
  <c r="E112" i="57"/>
  <c r="C112" i="57"/>
  <c r="M112" i="57" s="1"/>
  <c r="H112" i="57"/>
  <c r="D112" i="57"/>
  <c r="J112" i="57"/>
  <c r="G112" i="57"/>
  <c r="AN111" i="55" a="1"/>
  <c r="AN111" i="55"/>
  <c r="B113" i="57"/>
  <c r="D96" i="69"/>
  <c r="E96" i="69"/>
  <c r="F96" i="69"/>
  <c r="G96" i="69"/>
  <c r="H96" i="69"/>
  <c r="I96" i="69"/>
  <c r="J96" i="69"/>
  <c r="K96" i="69"/>
  <c r="M96" i="69"/>
  <c r="AE95" i="69"/>
  <c r="R95" i="69"/>
  <c r="S95" i="69"/>
  <c r="Y95" i="69"/>
  <c r="C97" i="69"/>
  <c r="P97" i="69"/>
  <c r="AR97" i="67" a="1"/>
  <c r="AR97" i="67"/>
  <c r="B98" i="69"/>
  <c r="L98" i="69"/>
  <c r="AP52" i="59" a="1"/>
  <c r="AP52" i="59"/>
  <c r="E53" i="50"/>
  <c r="AP97" i="69"/>
  <c r="N97" i="69"/>
  <c r="U97" i="69"/>
  <c r="O53" i="50"/>
  <c r="T53" i="50"/>
  <c r="AK48" i="50"/>
  <c r="AF96" i="69"/>
  <c r="Q96" i="69"/>
  <c r="O113" i="57"/>
  <c r="AG113" i="57" s="1"/>
  <c r="P113" i="57"/>
  <c r="AC94" i="69"/>
  <c r="AD94" i="69"/>
  <c r="AB95" i="69"/>
  <c r="AG95" i="69"/>
  <c r="AO97" i="69"/>
  <c r="O98" i="69"/>
  <c r="AY96" i="69"/>
  <c r="L113" i="57"/>
  <c r="N113" i="57"/>
  <c r="AH96" i="69"/>
  <c r="B53" i="50"/>
  <c r="R53" i="50" s="1"/>
  <c r="S53" i="50" s="1"/>
  <c r="I53" i="50"/>
  <c r="H53" i="50"/>
  <c r="A53" i="50"/>
  <c r="Q53" i="50" s="1"/>
  <c r="P53" i="50" s="1"/>
  <c r="G53" i="50"/>
  <c r="K53" i="50"/>
  <c r="J53" i="50"/>
  <c r="L53" i="50"/>
  <c r="N53" i="50"/>
  <c r="F53" i="50"/>
  <c r="U53" i="50" s="1"/>
  <c r="M53" i="50"/>
  <c r="D113" i="57"/>
  <c r="C113" i="57"/>
  <c r="M113" i="57" s="1"/>
  <c r="AD113" i="57" s="1"/>
  <c r="K113" i="57"/>
  <c r="I113" i="57"/>
  <c r="E113" i="57"/>
  <c r="H113" i="57"/>
  <c r="G113" i="57"/>
  <c r="F113" i="57"/>
  <c r="J113" i="57"/>
  <c r="AN112" i="55" a="1"/>
  <c r="AN112" i="55"/>
  <c r="B114" i="57"/>
  <c r="AR98" i="67" a="1"/>
  <c r="AR98" i="67"/>
  <c r="B99" i="69"/>
  <c r="L99" i="69"/>
  <c r="AE96" i="69"/>
  <c r="R96" i="69"/>
  <c r="S96" i="69"/>
  <c r="Y96" i="69"/>
  <c r="C98" i="69"/>
  <c r="P98" i="69"/>
  <c r="D97" i="69"/>
  <c r="E97" i="69"/>
  <c r="F97" i="69"/>
  <c r="G97" i="69"/>
  <c r="H97" i="69"/>
  <c r="I97" i="69"/>
  <c r="J97" i="69"/>
  <c r="K97" i="69"/>
  <c r="M97" i="69"/>
  <c r="AP53" i="59" a="1"/>
  <c r="AP53" i="59"/>
  <c r="E54" i="50"/>
  <c r="AP98" i="69"/>
  <c r="N98" i="69"/>
  <c r="U98" i="69"/>
  <c r="T54" i="50"/>
  <c r="O54" i="50"/>
  <c r="AK50" i="50"/>
  <c r="AK49" i="50"/>
  <c r="AF97" i="69"/>
  <c r="Q97" i="69"/>
  <c r="O114" i="57"/>
  <c r="AG114" i="57" s="1"/>
  <c r="P114" i="57"/>
  <c r="AC95" i="69"/>
  <c r="AD95" i="69"/>
  <c r="AB96" i="69"/>
  <c r="AG96" i="69"/>
  <c r="O99" i="69"/>
  <c r="AO98" i="69"/>
  <c r="AK54" i="50"/>
  <c r="AY97" i="69"/>
  <c r="L114" i="57"/>
  <c r="N114" i="57"/>
  <c r="AH97" i="69"/>
  <c r="F54" i="50"/>
  <c r="AM54" i="50" s="1"/>
  <c r="G54" i="50"/>
  <c r="H54" i="50"/>
  <c r="L54" i="50"/>
  <c r="J54" i="50"/>
  <c r="K54" i="50"/>
  <c r="M54" i="50"/>
  <c r="A54" i="50"/>
  <c r="Q54" i="50" s="1"/>
  <c r="P54" i="50" s="1"/>
  <c r="I54" i="50"/>
  <c r="B54" i="50"/>
  <c r="R54" i="50" s="1"/>
  <c r="S54" i="50" s="1"/>
  <c r="N54" i="50"/>
  <c r="E114" i="57"/>
  <c r="C114" i="57"/>
  <c r="M114" i="57" s="1"/>
  <c r="G114" i="57"/>
  <c r="I114" i="57"/>
  <c r="K114" i="57"/>
  <c r="F114" i="57"/>
  <c r="J114" i="57"/>
  <c r="D114" i="57"/>
  <c r="H114" i="57"/>
  <c r="AN113" i="55" a="1"/>
  <c r="AN113" i="55"/>
  <c r="B115" i="57"/>
  <c r="C99" i="69"/>
  <c r="P99" i="69"/>
  <c r="D98" i="69"/>
  <c r="E98" i="69"/>
  <c r="F98" i="69"/>
  <c r="G98" i="69"/>
  <c r="H98" i="69"/>
  <c r="I98" i="69"/>
  <c r="J98" i="69"/>
  <c r="K98" i="69"/>
  <c r="M98" i="69"/>
  <c r="R97" i="69"/>
  <c r="S97" i="69"/>
  <c r="AE97" i="69"/>
  <c r="AR99" i="67" a="1"/>
  <c r="AR99" i="67"/>
  <c r="B100" i="69"/>
  <c r="L100" i="69"/>
  <c r="AP54" i="59" a="1"/>
  <c r="AP54" i="59"/>
  <c r="E55" i="50"/>
  <c r="Y97" i="69"/>
  <c r="AB97" i="69"/>
  <c r="AC97" i="69"/>
  <c r="AD97" i="69"/>
  <c r="AP99" i="69"/>
  <c r="N99" i="69"/>
  <c r="U99" i="69"/>
  <c r="T55" i="50"/>
  <c r="O55" i="50"/>
  <c r="AK51" i="50"/>
  <c r="AF98" i="69"/>
  <c r="Q98" i="69"/>
  <c r="O115" i="57"/>
  <c r="P115" i="57"/>
  <c r="AC96" i="69"/>
  <c r="AD96" i="69"/>
  <c r="O100" i="69"/>
  <c r="AO99" i="69"/>
  <c r="AK55" i="50"/>
  <c r="AY98" i="69"/>
  <c r="L115" i="57"/>
  <c r="N115" i="57"/>
  <c r="AH98" i="69"/>
  <c r="J55" i="50"/>
  <c r="M55" i="50"/>
  <c r="I55" i="50"/>
  <c r="N55" i="50"/>
  <c r="G55" i="50"/>
  <c r="F55" i="50"/>
  <c r="K55" i="50"/>
  <c r="B55" i="50"/>
  <c r="R55" i="50" s="1"/>
  <c r="S55" i="50" s="1"/>
  <c r="AJ55" i="50" s="1"/>
  <c r="H55" i="50"/>
  <c r="L55" i="50"/>
  <c r="A55" i="50"/>
  <c r="Q55" i="50" s="1"/>
  <c r="P55" i="50" s="1"/>
  <c r="E115" i="57"/>
  <c r="D115" i="57"/>
  <c r="C115" i="57"/>
  <c r="M115" i="57" s="1"/>
  <c r="K115" i="57"/>
  <c r="G115" i="57"/>
  <c r="I115" i="57"/>
  <c r="H115" i="57"/>
  <c r="F115" i="57"/>
  <c r="J115" i="57"/>
  <c r="AN114" i="55" a="1"/>
  <c r="AN114" i="55"/>
  <c r="B116" i="57"/>
  <c r="AR100" i="67" a="1"/>
  <c r="AR100" i="67"/>
  <c r="B101" i="69"/>
  <c r="L101" i="69"/>
  <c r="D99" i="69"/>
  <c r="E99" i="69"/>
  <c r="F99" i="69"/>
  <c r="G99" i="69"/>
  <c r="H99" i="69"/>
  <c r="I99" i="69"/>
  <c r="J99" i="69"/>
  <c r="K99" i="69"/>
  <c r="M99" i="69"/>
  <c r="C100" i="69"/>
  <c r="P100" i="69"/>
  <c r="R98" i="69"/>
  <c r="S98" i="69"/>
  <c r="AE98" i="69"/>
  <c r="AP55" i="59" a="1"/>
  <c r="AP55" i="59"/>
  <c r="E56" i="50"/>
  <c r="AG97" i="69"/>
  <c r="Y98" i="69"/>
  <c r="AB98" i="69"/>
  <c r="AC98" i="69"/>
  <c r="AD98" i="69"/>
  <c r="AP100" i="69"/>
  <c r="N100" i="69"/>
  <c r="U100" i="69"/>
  <c r="O56" i="50"/>
  <c r="T56" i="50"/>
  <c r="AF99" i="69"/>
  <c r="Q99" i="69"/>
  <c r="O116" i="57"/>
  <c r="AG116" i="57" s="1"/>
  <c r="P116" i="57"/>
  <c r="AO100" i="69"/>
  <c r="O101" i="69"/>
  <c r="AK56" i="50"/>
  <c r="AY99" i="69"/>
  <c r="L116" i="57"/>
  <c r="N116" i="57"/>
  <c r="AH99" i="69"/>
  <c r="F56" i="50"/>
  <c r="L56" i="50"/>
  <c r="B56" i="50"/>
  <c r="R56" i="50" s="1"/>
  <c r="S56" i="50" s="1"/>
  <c r="Z56" i="50" s="1"/>
  <c r="J56" i="50"/>
  <c r="M56" i="50"/>
  <c r="I56" i="50"/>
  <c r="H56" i="50"/>
  <c r="N56" i="50"/>
  <c r="G56" i="50"/>
  <c r="K56" i="50"/>
  <c r="A56" i="50"/>
  <c r="Q56" i="50" s="1"/>
  <c r="P56" i="50" s="1"/>
  <c r="G116" i="57"/>
  <c r="E116" i="57"/>
  <c r="C116" i="57"/>
  <c r="M116" i="57" s="1"/>
  <c r="R116" i="57" s="1"/>
  <c r="I116" i="57"/>
  <c r="K116" i="57"/>
  <c r="J116" i="57"/>
  <c r="F116" i="57"/>
  <c r="D116" i="57"/>
  <c r="H116" i="57"/>
  <c r="AN115" i="55" a="1"/>
  <c r="AN115" i="55"/>
  <c r="B117" i="57"/>
  <c r="R99" i="69"/>
  <c r="S99" i="69"/>
  <c r="Y99" i="69"/>
  <c r="AE99" i="69"/>
  <c r="C101" i="69"/>
  <c r="P101" i="69"/>
  <c r="D100" i="69"/>
  <c r="E100" i="69"/>
  <c r="F100" i="69"/>
  <c r="G100" i="69"/>
  <c r="H100" i="69"/>
  <c r="I100" i="69"/>
  <c r="J100" i="69"/>
  <c r="K100" i="69"/>
  <c r="M100" i="69"/>
  <c r="AR101" i="67" a="1"/>
  <c r="AR101" i="67"/>
  <c r="B102" i="69"/>
  <c r="L102" i="69"/>
  <c r="AP56" i="59" a="1"/>
  <c r="AP56" i="59"/>
  <c r="E57" i="50"/>
  <c r="AG98" i="69"/>
  <c r="AP101" i="69"/>
  <c r="N101" i="69"/>
  <c r="U101" i="69"/>
  <c r="O57" i="50"/>
  <c r="T57" i="50"/>
  <c r="AK52" i="50"/>
  <c r="AK53" i="50"/>
  <c r="AF100" i="69"/>
  <c r="Q100" i="69"/>
  <c r="O117" i="57"/>
  <c r="AG117" i="57" s="1"/>
  <c r="P117" i="57"/>
  <c r="AB99" i="69"/>
  <c r="AG99" i="69"/>
  <c r="AO101" i="69"/>
  <c r="O102" i="69"/>
  <c r="AK57" i="50"/>
  <c r="AY100" i="69"/>
  <c r="L117" i="57"/>
  <c r="N117" i="57"/>
  <c r="AH100" i="69"/>
  <c r="M57" i="50"/>
  <c r="J57" i="50"/>
  <c r="G57" i="50"/>
  <c r="L57" i="50"/>
  <c r="H57" i="50"/>
  <c r="I57" i="50"/>
  <c r="K57" i="50"/>
  <c r="B57" i="50"/>
  <c r="R57" i="50" s="1"/>
  <c r="S57" i="50" s="1"/>
  <c r="W57" i="50" s="1"/>
  <c r="X57" i="50" s="1"/>
  <c r="F57" i="50"/>
  <c r="U57" i="50" s="1"/>
  <c r="A57" i="50"/>
  <c r="Q57" i="50" s="1"/>
  <c r="P57" i="50" s="1"/>
  <c r="N57" i="50"/>
  <c r="G117" i="57"/>
  <c r="E117" i="57"/>
  <c r="D117" i="57"/>
  <c r="C117" i="57"/>
  <c r="M117" i="57" s="1"/>
  <c r="H117" i="57"/>
  <c r="K117" i="57"/>
  <c r="I117" i="57"/>
  <c r="F117" i="57"/>
  <c r="J117" i="57"/>
  <c r="AN116" i="55" a="1"/>
  <c r="AN116" i="55"/>
  <c r="B118" i="57"/>
  <c r="C102" i="69"/>
  <c r="P102" i="69"/>
  <c r="AE100" i="69"/>
  <c r="R100" i="69"/>
  <c r="S100" i="69"/>
  <c r="AR102" i="67" a="1"/>
  <c r="AR102" i="67"/>
  <c r="B103" i="69"/>
  <c r="L103" i="69"/>
  <c r="D101" i="69"/>
  <c r="E101" i="69"/>
  <c r="F101" i="69"/>
  <c r="G101" i="69"/>
  <c r="H101" i="69"/>
  <c r="I101" i="69"/>
  <c r="J101" i="69"/>
  <c r="K101" i="69"/>
  <c r="M101" i="69"/>
  <c r="AP57" i="59" a="1"/>
  <c r="AP57" i="59"/>
  <c r="E58" i="50"/>
  <c r="Y100" i="69"/>
  <c r="AB100" i="69"/>
  <c r="AC100" i="69"/>
  <c r="AD100" i="69"/>
  <c r="AP102" i="69"/>
  <c r="N102" i="69"/>
  <c r="U102" i="69"/>
  <c r="T58" i="50"/>
  <c r="O58" i="50"/>
  <c r="AF101" i="69"/>
  <c r="Q101" i="69"/>
  <c r="O118" i="57"/>
  <c r="AG118" i="57" s="1"/>
  <c r="P118" i="57"/>
  <c r="AC99" i="69"/>
  <c r="AD99" i="69"/>
  <c r="O103" i="69"/>
  <c r="AO102" i="69"/>
  <c r="AK58" i="50"/>
  <c r="AY101" i="69"/>
  <c r="L118" i="57"/>
  <c r="N118" i="57"/>
  <c r="AH101" i="69"/>
  <c r="I58" i="50"/>
  <c r="J58" i="50"/>
  <c r="K58" i="50"/>
  <c r="M58" i="50"/>
  <c r="L58" i="50"/>
  <c r="N58" i="50"/>
  <c r="G58" i="50"/>
  <c r="F58" i="50"/>
  <c r="A58" i="50"/>
  <c r="Q58" i="50" s="1"/>
  <c r="P58" i="50" s="1"/>
  <c r="H58" i="50"/>
  <c r="B58" i="50"/>
  <c r="R58" i="50" s="1"/>
  <c r="S58" i="50" s="1"/>
  <c r="C58" i="50" s="1"/>
  <c r="I118" i="57"/>
  <c r="G118" i="57"/>
  <c r="E118" i="57"/>
  <c r="C118" i="57"/>
  <c r="M118" i="57" s="1"/>
  <c r="AJ118" i="57" s="1"/>
  <c r="K118" i="57"/>
  <c r="F118" i="57"/>
  <c r="J118" i="57"/>
  <c r="D118" i="57"/>
  <c r="H118" i="57"/>
  <c r="AN117" i="55" a="1"/>
  <c r="AN117" i="55"/>
  <c r="B119" i="57"/>
  <c r="C103" i="69"/>
  <c r="P103" i="69"/>
  <c r="R101" i="69"/>
  <c r="S101" i="69"/>
  <c r="Y101" i="69"/>
  <c r="AE101" i="69"/>
  <c r="AR103" i="67" a="1"/>
  <c r="AR103" i="67"/>
  <c r="B104" i="69"/>
  <c r="L104" i="69"/>
  <c r="D102" i="69"/>
  <c r="E102" i="69"/>
  <c r="F102" i="69"/>
  <c r="G102" i="69"/>
  <c r="H102" i="69"/>
  <c r="I102" i="69"/>
  <c r="J102" i="69"/>
  <c r="K102" i="69"/>
  <c r="M102" i="69"/>
  <c r="AP58" i="59" a="1"/>
  <c r="AP58" i="59"/>
  <c r="E59" i="50"/>
  <c r="AG100" i="69"/>
  <c r="AP103" i="69"/>
  <c r="N103" i="69"/>
  <c r="U103" i="69"/>
  <c r="T59" i="50"/>
  <c r="O59" i="50"/>
  <c r="AF102" i="69"/>
  <c r="Q102" i="69"/>
  <c r="O119" i="57"/>
  <c r="AG119" i="57" s="1"/>
  <c r="P119" i="57"/>
  <c r="AB101" i="69"/>
  <c r="AG101" i="69"/>
  <c r="AO103" i="69"/>
  <c r="O104" i="69"/>
  <c r="AK59" i="50"/>
  <c r="AY102" i="69"/>
  <c r="L119" i="57"/>
  <c r="N119" i="57"/>
  <c r="AH102" i="69"/>
  <c r="F59" i="50"/>
  <c r="AM59" i="50" s="1"/>
  <c r="M59" i="50"/>
  <c r="I59" i="50"/>
  <c r="K59" i="50"/>
  <c r="A59" i="50"/>
  <c r="Q59" i="50" s="1"/>
  <c r="P59" i="50" s="1"/>
  <c r="J59" i="50"/>
  <c r="L59" i="50"/>
  <c r="B59" i="50"/>
  <c r="R59" i="50" s="1"/>
  <c r="S59" i="50" s="1"/>
  <c r="AJ59" i="50" s="1"/>
  <c r="H59" i="50"/>
  <c r="G59" i="50"/>
  <c r="N59" i="50"/>
  <c r="H119" i="57"/>
  <c r="G119" i="57"/>
  <c r="E119" i="57"/>
  <c r="D119" i="57"/>
  <c r="C119" i="57"/>
  <c r="M119" i="57" s="1"/>
  <c r="R119" i="57" s="1"/>
  <c r="I119" i="57"/>
  <c r="K119" i="57"/>
  <c r="F119" i="57"/>
  <c r="J119" i="57"/>
  <c r="AN118" i="55" a="1"/>
  <c r="AN118" i="55"/>
  <c r="B120" i="57"/>
  <c r="R102" i="69"/>
  <c r="S102" i="69"/>
  <c r="Y102" i="69"/>
  <c r="AE102" i="69"/>
  <c r="C104" i="69"/>
  <c r="P104" i="69"/>
  <c r="AR104" i="67" a="1"/>
  <c r="AR104" i="67"/>
  <c r="B105" i="69"/>
  <c r="L105" i="69"/>
  <c r="D103" i="69"/>
  <c r="E103" i="69"/>
  <c r="F103" i="69"/>
  <c r="G103" i="69"/>
  <c r="H103" i="69"/>
  <c r="I103" i="69"/>
  <c r="J103" i="69"/>
  <c r="K103" i="69"/>
  <c r="M103" i="69"/>
  <c r="AP59" i="59" a="1"/>
  <c r="AP59" i="59"/>
  <c r="E60" i="50"/>
  <c r="AP104" i="69"/>
  <c r="N104" i="69"/>
  <c r="U104" i="69"/>
  <c r="O60" i="50"/>
  <c r="T60" i="50"/>
  <c r="AF103" i="69"/>
  <c r="Q103" i="69"/>
  <c r="O120" i="57"/>
  <c r="AG120" i="57" s="1"/>
  <c r="P120" i="57"/>
  <c r="AC101" i="69"/>
  <c r="AD101" i="69"/>
  <c r="AB102" i="69"/>
  <c r="AG102" i="69"/>
  <c r="AO104" i="69"/>
  <c r="O105" i="69"/>
  <c r="AK60" i="50"/>
  <c r="AY103" i="69"/>
  <c r="L120" i="57"/>
  <c r="N120" i="57"/>
  <c r="AH103" i="69"/>
  <c r="H60" i="50"/>
  <c r="N60" i="50"/>
  <c r="B60" i="50"/>
  <c r="R60" i="50" s="1"/>
  <c r="S60" i="50" s="1"/>
  <c r="M60" i="50"/>
  <c r="L60" i="50"/>
  <c r="F60" i="50"/>
  <c r="I60" i="50"/>
  <c r="K60" i="50"/>
  <c r="J60" i="50"/>
  <c r="G60" i="50"/>
  <c r="A60" i="50"/>
  <c r="Q60" i="50" s="1"/>
  <c r="P60" i="50" s="1"/>
  <c r="K120" i="57"/>
  <c r="I120" i="57"/>
  <c r="G120" i="57"/>
  <c r="E120" i="57"/>
  <c r="C120" i="57"/>
  <c r="M120" i="57" s="1"/>
  <c r="Q120" i="57" s="1"/>
  <c r="T120" i="57" s="1"/>
  <c r="F120" i="57"/>
  <c r="J120" i="57"/>
  <c r="H120" i="57"/>
  <c r="D120" i="57"/>
  <c r="AN119" i="55" a="1"/>
  <c r="AN119" i="55"/>
  <c r="B121" i="57"/>
  <c r="C105" i="69"/>
  <c r="P105" i="69"/>
  <c r="AR105" i="67" a="1"/>
  <c r="AR105" i="67"/>
  <c r="B106" i="69"/>
  <c r="L106" i="69"/>
  <c r="D104" i="69"/>
  <c r="E104" i="69"/>
  <c r="F104" i="69"/>
  <c r="G104" i="69"/>
  <c r="H104" i="69"/>
  <c r="I104" i="69"/>
  <c r="J104" i="69"/>
  <c r="K104" i="69"/>
  <c r="M104" i="69"/>
  <c r="AE103" i="69"/>
  <c r="R103" i="69"/>
  <c r="S103" i="69"/>
  <c r="Y103" i="69"/>
  <c r="AP60" i="59" a="1"/>
  <c r="AP60" i="59"/>
  <c r="E61" i="50"/>
  <c r="AB103" i="69"/>
  <c r="AC103" i="69"/>
  <c r="AD103" i="69"/>
  <c r="AP105" i="69"/>
  <c r="N105" i="69"/>
  <c r="U105" i="69"/>
  <c r="O61" i="50"/>
  <c r="T61" i="50"/>
  <c r="AF104" i="69"/>
  <c r="Q104" i="69"/>
  <c r="O121" i="57"/>
  <c r="AG121" i="57" s="1"/>
  <c r="P121" i="57"/>
  <c r="AC102" i="69"/>
  <c r="AD102" i="69"/>
  <c r="AG103" i="69"/>
  <c r="AO105" i="69"/>
  <c r="O106" i="69"/>
  <c r="AK61" i="50"/>
  <c r="AY104" i="69"/>
  <c r="L121" i="57"/>
  <c r="N121" i="57"/>
  <c r="AH104" i="69"/>
  <c r="B61" i="50"/>
  <c r="R61" i="50" s="1"/>
  <c r="S61" i="50" s="1"/>
  <c r="C61" i="50" s="1"/>
  <c r="A61" i="50"/>
  <c r="Q61" i="50" s="1"/>
  <c r="P61" i="50" s="1"/>
  <c r="H61" i="50"/>
  <c r="K61" i="50"/>
  <c r="M61" i="50"/>
  <c r="I61" i="50"/>
  <c r="G61" i="50"/>
  <c r="J61" i="50"/>
  <c r="L61" i="50"/>
  <c r="N61" i="50"/>
  <c r="F61" i="50"/>
  <c r="I121" i="57"/>
  <c r="H121" i="57"/>
  <c r="G121" i="57"/>
  <c r="E121" i="57"/>
  <c r="D121" i="57"/>
  <c r="K121" i="57"/>
  <c r="C121" i="57"/>
  <c r="M121" i="57" s="1"/>
  <c r="F121" i="57"/>
  <c r="J121" i="57"/>
  <c r="AN120" i="55" a="1"/>
  <c r="AN120" i="55"/>
  <c r="B122" i="57"/>
  <c r="AR106" i="67" a="1"/>
  <c r="AR106" i="67"/>
  <c r="B107" i="69"/>
  <c r="L107" i="69"/>
  <c r="D105" i="69"/>
  <c r="E105" i="69"/>
  <c r="F105" i="69"/>
  <c r="G105" i="69"/>
  <c r="H105" i="69"/>
  <c r="I105" i="69"/>
  <c r="J105" i="69"/>
  <c r="K105" i="69"/>
  <c r="M105" i="69"/>
  <c r="AE104" i="69"/>
  <c r="R104" i="69"/>
  <c r="S104" i="69"/>
  <c r="Y104" i="69"/>
  <c r="C106" i="69"/>
  <c r="P106" i="69"/>
  <c r="AP61" i="59" a="1"/>
  <c r="AP61" i="59"/>
  <c r="E62" i="50"/>
  <c r="AP106" i="69"/>
  <c r="N106" i="69"/>
  <c r="U106" i="69"/>
  <c r="T62" i="50"/>
  <c r="O62" i="50"/>
  <c r="AF105" i="69"/>
  <c r="Q105" i="69"/>
  <c r="O122" i="57"/>
  <c r="P122" i="57"/>
  <c r="AB104" i="69"/>
  <c r="AG104" i="69"/>
  <c r="AO106" i="69"/>
  <c r="O107" i="69"/>
  <c r="AK62" i="50"/>
  <c r="AY105" i="69"/>
  <c r="L122" i="57"/>
  <c r="N122" i="57"/>
  <c r="AH105" i="69"/>
  <c r="G62" i="50"/>
  <c r="L62" i="50"/>
  <c r="A62" i="50"/>
  <c r="Q62" i="50" s="1"/>
  <c r="P62" i="50" s="1"/>
  <c r="B62" i="50"/>
  <c r="R62" i="50" s="1"/>
  <c r="S62" i="50" s="1"/>
  <c r="AJ62" i="50" s="1"/>
  <c r="F62" i="50"/>
  <c r="AM62" i="50" s="1"/>
  <c r="H62" i="50"/>
  <c r="N62" i="50"/>
  <c r="K62" i="50"/>
  <c r="M62" i="50"/>
  <c r="J62" i="50"/>
  <c r="I62" i="50"/>
  <c r="K122" i="57"/>
  <c r="I122" i="57"/>
  <c r="G122" i="57"/>
  <c r="E122" i="57"/>
  <c r="C122" i="57"/>
  <c r="M122" i="57" s="1"/>
  <c r="F122" i="57"/>
  <c r="J122" i="57"/>
  <c r="D122" i="57"/>
  <c r="H122" i="57"/>
  <c r="AN121" i="55" a="1"/>
  <c r="AN121" i="55"/>
  <c r="B123" i="57"/>
  <c r="D106" i="69"/>
  <c r="E106" i="69"/>
  <c r="F106" i="69"/>
  <c r="G106" i="69"/>
  <c r="H106" i="69"/>
  <c r="I106" i="69"/>
  <c r="J106" i="69"/>
  <c r="K106" i="69"/>
  <c r="M106" i="69"/>
  <c r="C107" i="69"/>
  <c r="P107" i="69"/>
  <c r="R105" i="69"/>
  <c r="S105" i="69"/>
  <c r="Y105" i="69"/>
  <c r="AE105" i="69"/>
  <c r="AR107" i="67" a="1"/>
  <c r="AR107" i="67"/>
  <c r="B108" i="69"/>
  <c r="L108" i="69"/>
  <c r="AP62" i="59" a="1"/>
  <c r="AP62" i="59"/>
  <c r="E63" i="50"/>
  <c r="AP107" i="69"/>
  <c r="N107" i="69"/>
  <c r="U107" i="69"/>
  <c r="T63" i="50"/>
  <c r="O63" i="50"/>
  <c r="AF106" i="69"/>
  <c r="Q106" i="69"/>
  <c r="O123" i="57"/>
  <c r="AG123" i="57" s="1"/>
  <c r="P123" i="57"/>
  <c r="AC104" i="69"/>
  <c r="AD104" i="69"/>
  <c r="AB105" i="69"/>
  <c r="AG105" i="69"/>
  <c r="O108" i="69"/>
  <c r="AO107" i="69"/>
  <c r="AK63" i="50"/>
  <c r="AY106" i="69"/>
  <c r="L123" i="57"/>
  <c r="N123" i="57"/>
  <c r="AH106" i="69"/>
  <c r="I63" i="50"/>
  <c r="M63" i="50"/>
  <c r="G63" i="50"/>
  <c r="F63" i="50"/>
  <c r="AM63" i="50" s="1"/>
  <c r="L63" i="50"/>
  <c r="K63" i="50"/>
  <c r="A63" i="50"/>
  <c r="Q63" i="50" s="1"/>
  <c r="P63" i="50" s="1"/>
  <c r="H63" i="50"/>
  <c r="N63" i="50"/>
  <c r="J63" i="50"/>
  <c r="B63" i="50"/>
  <c r="R63" i="50" s="1"/>
  <c r="S63" i="50" s="1"/>
  <c r="K123" i="57"/>
  <c r="I123" i="57"/>
  <c r="H123" i="57"/>
  <c r="G123" i="57"/>
  <c r="E123" i="57"/>
  <c r="D123" i="57"/>
  <c r="C123" i="57"/>
  <c r="M123" i="57" s="1"/>
  <c r="AD123" i="57" s="1"/>
  <c r="J123" i="57"/>
  <c r="F123" i="57"/>
  <c r="AN122" i="55" a="1"/>
  <c r="AN122" i="55"/>
  <c r="B124" i="57"/>
  <c r="AR108" i="67" a="1"/>
  <c r="AR108" i="67"/>
  <c r="B109" i="69"/>
  <c r="L109" i="69"/>
  <c r="D107" i="69"/>
  <c r="E107" i="69"/>
  <c r="F107" i="69"/>
  <c r="G107" i="69"/>
  <c r="H107" i="69"/>
  <c r="I107" i="69"/>
  <c r="J107" i="69"/>
  <c r="K107" i="69"/>
  <c r="M107" i="69"/>
  <c r="AE106" i="69"/>
  <c r="R106" i="69"/>
  <c r="S106" i="69"/>
  <c r="C108" i="69"/>
  <c r="P108" i="69"/>
  <c r="AP63" i="59" a="1"/>
  <c r="AP63" i="59"/>
  <c r="E64" i="50"/>
  <c r="Y106" i="69"/>
  <c r="AB106" i="69"/>
  <c r="AC106" i="69"/>
  <c r="AD106" i="69"/>
  <c r="AP108" i="69"/>
  <c r="N108" i="69"/>
  <c r="U108" i="69"/>
  <c r="O64" i="50"/>
  <c r="T64" i="50"/>
  <c r="AF107" i="69"/>
  <c r="Q107" i="69"/>
  <c r="O124" i="57"/>
  <c r="AG124" i="57" s="1"/>
  <c r="P124" i="57"/>
  <c r="AC105" i="69"/>
  <c r="AD105" i="69"/>
  <c r="AO108" i="69"/>
  <c r="O109" i="69"/>
  <c r="AK64" i="50"/>
  <c r="AY107" i="69"/>
  <c r="L124" i="57"/>
  <c r="N124" i="57"/>
  <c r="AH107" i="69"/>
  <c r="F64" i="50"/>
  <c r="AM64" i="50" s="1"/>
  <c r="H64" i="50"/>
  <c r="J64" i="50"/>
  <c r="L64" i="50"/>
  <c r="B64" i="50"/>
  <c r="R64" i="50" s="1"/>
  <c r="S64" i="50" s="1"/>
  <c r="V64" i="50" s="1"/>
  <c r="I64" i="50"/>
  <c r="G64" i="50"/>
  <c r="K64" i="50"/>
  <c r="M64" i="50"/>
  <c r="N64" i="50"/>
  <c r="A64" i="50"/>
  <c r="Q64" i="50" s="1"/>
  <c r="P64" i="50" s="1"/>
  <c r="K124" i="57"/>
  <c r="I124" i="57"/>
  <c r="G124" i="57"/>
  <c r="E124" i="57"/>
  <c r="C124" i="57"/>
  <c r="M124" i="57" s="1"/>
  <c r="AC124" i="57" s="1"/>
  <c r="F124" i="57"/>
  <c r="J124" i="57"/>
  <c r="H124" i="57"/>
  <c r="D124" i="57"/>
  <c r="AN123" i="55" a="1"/>
  <c r="AN123" i="55"/>
  <c r="B125" i="57"/>
  <c r="C109" i="69"/>
  <c r="P109" i="69"/>
  <c r="D108" i="69"/>
  <c r="E108" i="69"/>
  <c r="F108" i="69"/>
  <c r="G108" i="69"/>
  <c r="H108" i="69"/>
  <c r="I108" i="69"/>
  <c r="J108" i="69"/>
  <c r="K108" i="69"/>
  <c r="M108" i="69"/>
  <c r="AE107" i="69"/>
  <c r="R107" i="69"/>
  <c r="S107" i="69"/>
  <c r="AR109" i="67" a="1"/>
  <c r="AR109" i="67"/>
  <c r="B110" i="69"/>
  <c r="L110" i="69"/>
  <c r="AP64" i="59" a="1"/>
  <c r="AP64" i="59"/>
  <c r="E65" i="50"/>
  <c r="Y107" i="69"/>
  <c r="AB107" i="69"/>
  <c r="AC107" i="69"/>
  <c r="AD107" i="69"/>
  <c r="AG106" i="69"/>
  <c r="AP109" i="69"/>
  <c r="N109" i="69"/>
  <c r="U109" i="69"/>
  <c r="O65" i="50"/>
  <c r="T65" i="50"/>
  <c r="AF108" i="69"/>
  <c r="Q108" i="69"/>
  <c r="O125" i="57"/>
  <c r="P125" i="57"/>
  <c r="O110" i="69"/>
  <c r="AO109" i="69"/>
  <c r="AK65" i="50"/>
  <c r="AY108" i="69"/>
  <c r="L125" i="57"/>
  <c r="N125" i="57"/>
  <c r="AH108" i="69"/>
  <c r="M65" i="50"/>
  <c r="I65" i="50"/>
  <c r="B65" i="50"/>
  <c r="R65" i="50" s="1"/>
  <c r="S65" i="50" s="1"/>
  <c r="V65" i="50" s="1"/>
  <c r="J65" i="50"/>
  <c r="A65" i="50"/>
  <c r="Q65" i="50" s="1"/>
  <c r="P65" i="50" s="1"/>
  <c r="L65" i="50"/>
  <c r="F65" i="50"/>
  <c r="U65" i="50" s="1"/>
  <c r="G65" i="50"/>
  <c r="N65" i="50"/>
  <c r="H65" i="50"/>
  <c r="K65" i="50"/>
  <c r="K125" i="57"/>
  <c r="I125" i="57"/>
  <c r="H125" i="57"/>
  <c r="G125" i="57"/>
  <c r="C125" i="57"/>
  <c r="M125" i="57" s="1"/>
  <c r="R125" i="57" s="1"/>
  <c r="E125" i="57"/>
  <c r="D125" i="57"/>
  <c r="F125" i="57"/>
  <c r="J125" i="57"/>
  <c r="AN124" i="55" a="1"/>
  <c r="AN124" i="55"/>
  <c r="B126" i="57"/>
  <c r="AR110" i="67" a="1"/>
  <c r="AR110" i="67"/>
  <c r="B111" i="69"/>
  <c r="L111" i="69"/>
  <c r="D109" i="69"/>
  <c r="E109" i="69"/>
  <c r="F109" i="69"/>
  <c r="G109" i="69"/>
  <c r="H109" i="69"/>
  <c r="I109" i="69"/>
  <c r="J109" i="69"/>
  <c r="K109" i="69"/>
  <c r="M109" i="69"/>
  <c r="C110" i="69"/>
  <c r="P110" i="69"/>
  <c r="AE108" i="69"/>
  <c r="R108" i="69"/>
  <c r="S108" i="69"/>
  <c r="Y108" i="69"/>
  <c r="AP65" i="59" a="1"/>
  <c r="AP65" i="59"/>
  <c r="E66" i="50"/>
  <c r="AG107" i="69"/>
  <c r="AP110" i="69"/>
  <c r="N110" i="69"/>
  <c r="U110" i="69"/>
  <c r="T66" i="50"/>
  <c r="O66" i="50"/>
  <c r="AF109" i="69"/>
  <c r="Q109" i="69"/>
  <c r="O126" i="57"/>
  <c r="AG126" i="57" s="1"/>
  <c r="P126" i="57"/>
  <c r="AB108" i="69"/>
  <c r="AG108" i="69"/>
  <c r="O111" i="69"/>
  <c r="AO110" i="69"/>
  <c r="AK66" i="50"/>
  <c r="AY109" i="69"/>
  <c r="L126" i="57"/>
  <c r="N126" i="57"/>
  <c r="AH109" i="69"/>
  <c r="I66" i="50"/>
  <c r="A66" i="50"/>
  <c r="Q66" i="50" s="1"/>
  <c r="P66" i="50" s="1"/>
  <c r="L66" i="50"/>
  <c r="K66" i="50"/>
  <c r="G66" i="50"/>
  <c r="N66" i="50"/>
  <c r="B66" i="50"/>
  <c r="R66" i="50" s="1"/>
  <c r="S66" i="50" s="1"/>
  <c r="H66" i="50"/>
  <c r="J66" i="50"/>
  <c r="F66" i="50"/>
  <c r="U66" i="50" s="1"/>
  <c r="M66" i="50"/>
  <c r="K126" i="57"/>
  <c r="I126" i="57"/>
  <c r="C126" i="57"/>
  <c r="M126" i="57" s="1"/>
  <c r="G126" i="57"/>
  <c r="E126" i="57"/>
  <c r="F126" i="57"/>
  <c r="J126" i="57"/>
  <c r="D126" i="57"/>
  <c r="H126" i="57"/>
  <c r="AN125" i="55" a="1"/>
  <c r="AN125" i="55"/>
  <c r="B127" i="57"/>
  <c r="C111" i="69"/>
  <c r="P111" i="69"/>
  <c r="AE109" i="69"/>
  <c r="R109" i="69"/>
  <c r="S109" i="69"/>
  <c r="Y109" i="69"/>
  <c r="D110" i="69"/>
  <c r="E110" i="69"/>
  <c r="F110" i="69"/>
  <c r="G110" i="69"/>
  <c r="H110" i="69"/>
  <c r="I110" i="69"/>
  <c r="J110" i="69"/>
  <c r="K110" i="69"/>
  <c r="M110" i="69"/>
  <c r="AR111" i="67" a="1"/>
  <c r="AR111" i="67"/>
  <c r="B112" i="69"/>
  <c r="L112" i="69"/>
  <c r="AP66" i="59" a="1"/>
  <c r="AP66" i="59"/>
  <c r="E67" i="50"/>
  <c r="AB109" i="69"/>
  <c r="AC109" i="69"/>
  <c r="AD109" i="69"/>
  <c r="AP111" i="69"/>
  <c r="N111" i="69"/>
  <c r="U111" i="69"/>
  <c r="T67" i="50"/>
  <c r="O67" i="50"/>
  <c r="AF110" i="69"/>
  <c r="Q110" i="69"/>
  <c r="O127" i="57"/>
  <c r="P127" i="57"/>
  <c r="AC108" i="69"/>
  <c r="AD108" i="69"/>
  <c r="AG109" i="69"/>
  <c r="O112" i="69"/>
  <c r="AO111" i="69"/>
  <c r="AK67" i="50"/>
  <c r="AY110" i="69"/>
  <c r="L127" i="57"/>
  <c r="N127" i="57"/>
  <c r="AH110" i="69"/>
  <c r="F67" i="50"/>
  <c r="K67" i="50"/>
  <c r="M67" i="50"/>
  <c r="A67" i="50"/>
  <c r="Q67" i="50" s="1"/>
  <c r="P67" i="50" s="1"/>
  <c r="I67" i="50"/>
  <c r="G67" i="50"/>
  <c r="L67" i="50"/>
  <c r="B67" i="50"/>
  <c r="R67" i="50" s="1"/>
  <c r="S67" i="50" s="1"/>
  <c r="H67" i="50"/>
  <c r="N67" i="50"/>
  <c r="J67" i="50"/>
  <c r="C127" i="57"/>
  <c r="M127" i="57" s="1"/>
  <c r="AE127" i="57" s="1"/>
  <c r="K127" i="57"/>
  <c r="I127" i="57"/>
  <c r="H127" i="57"/>
  <c r="D127" i="57"/>
  <c r="G127" i="57"/>
  <c r="E127" i="57"/>
  <c r="J127" i="57"/>
  <c r="F127" i="57"/>
  <c r="AN126" i="55" a="1"/>
  <c r="AN126" i="55"/>
  <c r="B128" i="57"/>
  <c r="AR112" i="67" a="1"/>
  <c r="AR112" i="67"/>
  <c r="B113" i="69"/>
  <c r="L113" i="69"/>
  <c r="D111" i="69"/>
  <c r="E111" i="69"/>
  <c r="F111" i="69"/>
  <c r="G111" i="69"/>
  <c r="H111" i="69"/>
  <c r="I111" i="69"/>
  <c r="J111" i="69"/>
  <c r="K111" i="69"/>
  <c r="M111" i="69"/>
  <c r="C112" i="69"/>
  <c r="P112" i="69"/>
  <c r="R110" i="69"/>
  <c r="S110" i="69"/>
  <c r="AE110" i="69"/>
  <c r="AP67" i="59" a="1"/>
  <c r="AP67" i="59"/>
  <c r="E68" i="50"/>
  <c r="Y110" i="69"/>
  <c r="AB110" i="69"/>
  <c r="AC110" i="69"/>
  <c r="AD110" i="69"/>
  <c r="AP112" i="69"/>
  <c r="N112" i="69"/>
  <c r="U112" i="69"/>
  <c r="O68" i="50"/>
  <c r="T68" i="50"/>
  <c r="AF111" i="69"/>
  <c r="Q111" i="69"/>
  <c r="O128" i="57"/>
  <c r="AG128" i="57" s="1"/>
  <c r="P128" i="57"/>
  <c r="O113" i="69"/>
  <c r="AO112" i="69"/>
  <c r="AK68" i="50"/>
  <c r="AY111" i="69"/>
  <c r="L128" i="57"/>
  <c r="N128" i="57"/>
  <c r="AH111" i="69"/>
  <c r="I68" i="50"/>
  <c r="N68" i="50"/>
  <c r="H68" i="50"/>
  <c r="M68" i="50"/>
  <c r="L68" i="50"/>
  <c r="F68" i="50"/>
  <c r="B68" i="50"/>
  <c r="R68" i="50" s="1"/>
  <c r="S68" i="50" s="1"/>
  <c r="C68" i="50" s="1"/>
  <c r="K68" i="50"/>
  <c r="A68" i="50"/>
  <c r="Q68" i="50" s="1"/>
  <c r="P68" i="50" s="1"/>
  <c r="J68" i="50"/>
  <c r="G68" i="50"/>
  <c r="C128" i="57"/>
  <c r="M128" i="57" s="1"/>
  <c r="AE128" i="57" s="1"/>
  <c r="K128" i="57"/>
  <c r="E128" i="57"/>
  <c r="I128" i="57"/>
  <c r="G128" i="57"/>
  <c r="F128" i="57"/>
  <c r="J128" i="57"/>
  <c r="D128" i="57"/>
  <c r="H128" i="57"/>
  <c r="AN127" i="55" a="1"/>
  <c r="AN127" i="55"/>
  <c r="B129" i="57"/>
  <c r="AE111" i="69"/>
  <c r="R111" i="69"/>
  <c r="S111" i="69"/>
  <c r="D112" i="69"/>
  <c r="E112" i="69"/>
  <c r="F112" i="69"/>
  <c r="G112" i="69"/>
  <c r="H112" i="69"/>
  <c r="I112" i="69"/>
  <c r="J112" i="69"/>
  <c r="K112" i="69"/>
  <c r="M112" i="69"/>
  <c r="C113" i="69"/>
  <c r="P113" i="69"/>
  <c r="AR113" i="67" a="1"/>
  <c r="AR113" i="67"/>
  <c r="B114" i="69"/>
  <c r="L114" i="69"/>
  <c r="AP68" i="59" a="1"/>
  <c r="AP68" i="59"/>
  <c r="E69" i="50"/>
  <c r="Y111" i="69"/>
  <c r="AB111" i="69"/>
  <c r="AC111" i="69"/>
  <c r="AD111" i="69"/>
  <c r="AG110" i="69"/>
  <c r="AP113" i="69"/>
  <c r="N113" i="69"/>
  <c r="U113" i="69"/>
  <c r="O69" i="50"/>
  <c r="T69" i="50"/>
  <c r="AF112" i="69"/>
  <c r="Q112" i="69"/>
  <c r="O129" i="57"/>
  <c r="AG129" i="57" s="1"/>
  <c r="P129" i="57"/>
  <c r="O114" i="69"/>
  <c r="AO113" i="69"/>
  <c r="AK69" i="50"/>
  <c r="AY112" i="69"/>
  <c r="L129" i="57"/>
  <c r="N129" i="57"/>
  <c r="AH112" i="69"/>
  <c r="B69" i="50"/>
  <c r="R69" i="50" s="1"/>
  <c r="S69" i="50" s="1"/>
  <c r="I69" i="50"/>
  <c r="G69" i="50"/>
  <c r="A69" i="50"/>
  <c r="Q69" i="50" s="1"/>
  <c r="P69" i="50" s="1"/>
  <c r="M69" i="50"/>
  <c r="K69" i="50"/>
  <c r="H69" i="50"/>
  <c r="J69" i="50"/>
  <c r="F69" i="50"/>
  <c r="U69" i="50" s="1"/>
  <c r="L69" i="50"/>
  <c r="N69" i="50"/>
  <c r="D129" i="57"/>
  <c r="C129" i="57"/>
  <c r="M129" i="57" s="1"/>
  <c r="K129" i="57"/>
  <c r="I129" i="57"/>
  <c r="E129" i="57"/>
  <c r="H129" i="57"/>
  <c r="G129" i="57"/>
  <c r="F129" i="57"/>
  <c r="J129" i="57"/>
  <c r="AN128" i="55" a="1"/>
  <c r="AN128" i="55"/>
  <c r="B130" i="57"/>
  <c r="AR114" i="67" a="1"/>
  <c r="AR114" i="67"/>
  <c r="B115" i="69"/>
  <c r="L115" i="69"/>
  <c r="C114" i="69"/>
  <c r="P114" i="69"/>
  <c r="D113" i="69"/>
  <c r="E113" i="69"/>
  <c r="F113" i="69"/>
  <c r="G113" i="69"/>
  <c r="H113" i="69"/>
  <c r="I113" i="69"/>
  <c r="J113" i="69"/>
  <c r="K113" i="69"/>
  <c r="M113" i="69"/>
  <c r="AE112" i="69"/>
  <c r="R112" i="69"/>
  <c r="S112" i="69"/>
  <c r="Y112" i="69"/>
  <c r="AP69" i="59" a="1"/>
  <c r="AP69" i="59"/>
  <c r="E70" i="50"/>
  <c r="AG111" i="69"/>
  <c r="AP114" i="69"/>
  <c r="N114" i="69"/>
  <c r="U114" i="69"/>
  <c r="T70" i="50"/>
  <c r="O70" i="50"/>
  <c r="AF113" i="69"/>
  <c r="Q113" i="69"/>
  <c r="O130" i="57"/>
  <c r="AG130" i="57" s="1"/>
  <c r="P130" i="57"/>
  <c r="AB112" i="69"/>
  <c r="AG112" i="69"/>
  <c r="O115" i="69"/>
  <c r="AO114" i="69"/>
  <c r="AK70" i="50"/>
  <c r="AY113" i="69"/>
  <c r="L130" i="57"/>
  <c r="N130" i="57"/>
  <c r="AH113" i="69"/>
  <c r="I70" i="50"/>
  <c r="G70" i="50"/>
  <c r="N70" i="50"/>
  <c r="A70" i="50"/>
  <c r="Q70" i="50" s="1"/>
  <c r="P70" i="50" s="1"/>
  <c r="L70" i="50"/>
  <c r="K70" i="50"/>
  <c r="F70" i="50"/>
  <c r="AM70" i="50" s="1"/>
  <c r="J70" i="50"/>
  <c r="M70" i="50"/>
  <c r="B70" i="50"/>
  <c r="R70" i="50" s="1"/>
  <c r="S70" i="50" s="1"/>
  <c r="V70" i="50" s="1"/>
  <c r="H70" i="50"/>
  <c r="E130" i="57"/>
  <c r="C130" i="57"/>
  <c r="M130" i="57" s="1"/>
  <c r="AK130" i="57" s="1"/>
  <c r="G130" i="57"/>
  <c r="K130" i="57"/>
  <c r="I130" i="57"/>
  <c r="F130" i="57"/>
  <c r="J130" i="57"/>
  <c r="D130" i="57"/>
  <c r="H130" i="57"/>
  <c r="AN129" i="55" a="1"/>
  <c r="AN129" i="55"/>
  <c r="B131" i="57"/>
  <c r="D114" i="69"/>
  <c r="E114" i="69"/>
  <c r="F114" i="69"/>
  <c r="G114" i="69"/>
  <c r="H114" i="69"/>
  <c r="I114" i="69"/>
  <c r="J114" i="69"/>
  <c r="K114" i="69"/>
  <c r="M114" i="69"/>
  <c r="C115" i="69"/>
  <c r="P115" i="69"/>
  <c r="R113" i="69"/>
  <c r="S113" i="69"/>
  <c r="Y113" i="69"/>
  <c r="AE113" i="69"/>
  <c r="AR115" i="67" a="1"/>
  <c r="AR115" i="67"/>
  <c r="B116" i="69"/>
  <c r="L116" i="69"/>
  <c r="AP70" i="59" a="1"/>
  <c r="AP70" i="59"/>
  <c r="E71" i="50"/>
  <c r="AP115" i="69"/>
  <c r="N115" i="69"/>
  <c r="U115" i="69"/>
  <c r="T71" i="50"/>
  <c r="O71" i="50"/>
  <c r="AF114" i="69"/>
  <c r="Q114" i="69"/>
  <c r="O131" i="57"/>
  <c r="AG131" i="57" s="1"/>
  <c r="P131" i="57"/>
  <c r="AC112" i="69"/>
  <c r="AD112" i="69"/>
  <c r="AB113" i="69"/>
  <c r="AG113" i="69"/>
  <c r="O116" i="69"/>
  <c r="AO115" i="69"/>
  <c r="AK71" i="50"/>
  <c r="AY114" i="69"/>
  <c r="L131" i="57"/>
  <c r="N131" i="57"/>
  <c r="AH114" i="69"/>
  <c r="F71" i="50"/>
  <c r="U71" i="50" s="1"/>
  <c r="N71" i="50"/>
  <c r="H71" i="50"/>
  <c r="G71" i="50"/>
  <c r="A71" i="50"/>
  <c r="Q71" i="50" s="1"/>
  <c r="P71" i="50" s="1"/>
  <c r="K71" i="50"/>
  <c r="I71" i="50"/>
  <c r="B71" i="50"/>
  <c r="R71" i="50" s="1"/>
  <c r="S71" i="50" s="1"/>
  <c r="C71" i="50" s="1"/>
  <c r="L71" i="50"/>
  <c r="M71" i="50"/>
  <c r="J71" i="50"/>
  <c r="E131" i="57"/>
  <c r="D131" i="57"/>
  <c r="C131" i="57"/>
  <c r="M131" i="57" s="1"/>
  <c r="K131" i="57"/>
  <c r="G131" i="57"/>
  <c r="I131" i="57"/>
  <c r="H131" i="57"/>
  <c r="F131" i="57"/>
  <c r="J131" i="57"/>
  <c r="AN130" i="55" a="1"/>
  <c r="AN130" i="55"/>
  <c r="B132" i="57"/>
  <c r="C116" i="69"/>
  <c r="P116" i="69"/>
  <c r="R114" i="69"/>
  <c r="S114" i="69"/>
  <c r="Y114" i="69"/>
  <c r="AE114" i="69"/>
  <c r="AR116" i="67" a="1"/>
  <c r="AR116" i="67"/>
  <c r="B117" i="69"/>
  <c r="L117" i="69"/>
  <c r="D115" i="69"/>
  <c r="E115" i="69"/>
  <c r="F115" i="69"/>
  <c r="G115" i="69"/>
  <c r="H115" i="69"/>
  <c r="I115" i="69"/>
  <c r="J115" i="69"/>
  <c r="K115" i="69"/>
  <c r="M115" i="69"/>
  <c r="AP71" i="59" a="1"/>
  <c r="AP71" i="59"/>
  <c r="E72" i="50"/>
  <c r="AP116" i="69"/>
  <c r="N116" i="69"/>
  <c r="U116" i="69"/>
  <c r="O72" i="50"/>
  <c r="T72" i="50"/>
  <c r="AF115" i="69"/>
  <c r="Q115" i="69"/>
  <c r="O132" i="57"/>
  <c r="AG132" i="57" s="1"/>
  <c r="P132" i="57"/>
  <c r="AC113" i="69"/>
  <c r="AD113" i="69"/>
  <c r="AB114" i="69"/>
  <c r="AG114" i="69"/>
  <c r="AO116" i="69"/>
  <c r="O117" i="69"/>
  <c r="AK72" i="50"/>
  <c r="AY115" i="69"/>
  <c r="L132" i="57"/>
  <c r="N132" i="57"/>
  <c r="AH115" i="69"/>
  <c r="M72" i="50"/>
  <c r="B72" i="50"/>
  <c r="R72" i="50" s="1"/>
  <c r="S72" i="50" s="1"/>
  <c r="G72" i="50"/>
  <c r="N72" i="50"/>
  <c r="I72" i="50"/>
  <c r="F72" i="50"/>
  <c r="U72" i="50" s="1"/>
  <c r="L72" i="50"/>
  <c r="J72" i="50"/>
  <c r="A72" i="50"/>
  <c r="Q72" i="50" s="1"/>
  <c r="P72" i="50" s="1"/>
  <c r="H72" i="50"/>
  <c r="K72" i="50"/>
  <c r="G132" i="57"/>
  <c r="E132" i="57"/>
  <c r="C132" i="57"/>
  <c r="M132" i="57" s="1"/>
  <c r="I132" i="57"/>
  <c r="K132" i="57"/>
  <c r="J132" i="57"/>
  <c r="D132" i="57"/>
  <c r="H132" i="57"/>
  <c r="F132" i="57"/>
  <c r="AN131" i="55" a="1"/>
  <c r="AN131" i="55"/>
  <c r="B133" i="57"/>
  <c r="AR117" i="67" a="1"/>
  <c r="AR117" i="67"/>
  <c r="B118" i="69"/>
  <c r="L118" i="69"/>
  <c r="R115" i="69"/>
  <c r="S115" i="69"/>
  <c r="Y115" i="69"/>
  <c r="AE115" i="69"/>
  <c r="D116" i="69"/>
  <c r="E116" i="69"/>
  <c r="F116" i="69"/>
  <c r="G116" i="69"/>
  <c r="H116" i="69"/>
  <c r="I116" i="69"/>
  <c r="J116" i="69"/>
  <c r="K116" i="69"/>
  <c r="M116" i="69"/>
  <c r="C117" i="69"/>
  <c r="P117" i="69"/>
  <c r="AP72" i="59" a="1"/>
  <c r="AP72" i="59"/>
  <c r="E73" i="50"/>
  <c r="AP117" i="69"/>
  <c r="N117" i="69"/>
  <c r="O73" i="50"/>
  <c r="T73" i="50"/>
  <c r="AF116" i="69"/>
  <c r="Q116" i="69"/>
  <c r="O133" i="57"/>
  <c r="AG133" i="57" s="1"/>
  <c r="P133" i="57"/>
  <c r="AC114" i="69"/>
  <c r="AD114" i="69"/>
  <c r="AB115" i="69"/>
  <c r="AG115" i="69"/>
  <c r="O118" i="69"/>
  <c r="AO117" i="69"/>
  <c r="AK73" i="50"/>
  <c r="AY116" i="69"/>
  <c r="L133" i="57"/>
  <c r="N133" i="57"/>
  <c r="AH116" i="69"/>
  <c r="G73" i="50"/>
  <c r="A73" i="50"/>
  <c r="Q73" i="50" s="1"/>
  <c r="P73" i="50" s="1"/>
  <c r="L73" i="50"/>
  <c r="H73" i="50"/>
  <c r="I73" i="50"/>
  <c r="K73" i="50"/>
  <c r="F73" i="50"/>
  <c r="AM73" i="50" s="1"/>
  <c r="N73" i="50"/>
  <c r="J73" i="50"/>
  <c r="B73" i="50"/>
  <c r="R73" i="50" s="1"/>
  <c r="S73" i="50" s="1"/>
  <c r="M73" i="50"/>
  <c r="G133" i="57"/>
  <c r="E133" i="57"/>
  <c r="D133" i="57"/>
  <c r="C133" i="57"/>
  <c r="M133" i="57" s="1"/>
  <c r="H133" i="57"/>
  <c r="I133" i="57"/>
  <c r="K133" i="57"/>
  <c r="F133" i="57"/>
  <c r="J133" i="57"/>
  <c r="AN132" i="55" a="1"/>
  <c r="AN132" i="55"/>
  <c r="B134" i="57"/>
  <c r="AR118" i="67" a="1"/>
  <c r="AR118" i="67"/>
  <c r="B119" i="69"/>
  <c r="L119" i="69"/>
  <c r="AE116" i="69"/>
  <c r="R116" i="69"/>
  <c r="S116" i="69"/>
  <c r="Y116" i="69"/>
  <c r="D117" i="69"/>
  <c r="E117" i="69"/>
  <c r="F117" i="69"/>
  <c r="G117" i="69"/>
  <c r="H117" i="69"/>
  <c r="I117" i="69"/>
  <c r="J117" i="69"/>
  <c r="K117" i="69"/>
  <c r="M117" i="69"/>
  <c r="U117" i="69"/>
  <c r="C118" i="69"/>
  <c r="P118" i="69"/>
  <c r="AP73" i="59" a="1"/>
  <c r="AP73" i="59"/>
  <c r="E74" i="50"/>
  <c r="AP118" i="69"/>
  <c r="N118" i="69"/>
  <c r="U118" i="69"/>
  <c r="T74" i="50"/>
  <c r="O74" i="50"/>
  <c r="AF117" i="69"/>
  <c r="Q117" i="69"/>
  <c r="O134" i="57"/>
  <c r="AG134" i="57" s="1"/>
  <c r="P134" i="57"/>
  <c r="AC115" i="69"/>
  <c r="AD115" i="69"/>
  <c r="AB116" i="69"/>
  <c r="AG116" i="69"/>
  <c r="AO118" i="69"/>
  <c r="O119" i="69"/>
  <c r="AK74" i="50"/>
  <c r="AY117" i="69"/>
  <c r="L134" i="57"/>
  <c r="N134" i="57"/>
  <c r="AH117" i="69"/>
  <c r="I74" i="50"/>
  <c r="N74" i="50"/>
  <c r="J74" i="50"/>
  <c r="H74" i="50"/>
  <c r="G74" i="50"/>
  <c r="K74" i="50"/>
  <c r="M74" i="50"/>
  <c r="B74" i="50"/>
  <c r="R74" i="50" s="1"/>
  <c r="S74" i="50" s="1"/>
  <c r="AJ74" i="50" s="1"/>
  <c r="F74" i="50"/>
  <c r="U74" i="50" s="1"/>
  <c r="A74" i="50"/>
  <c r="Q74" i="50" s="1"/>
  <c r="P74" i="50" s="1"/>
  <c r="L74" i="50"/>
  <c r="I134" i="57"/>
  <c r="G134" i="57"/>
  <c r="E134" i="57"/>
  <c r="C134" i="57"/>
  <c r="M134" i="57" s="1"/>
  <c r="K134" i="57"/>
  <c r="F134" i="57"/>
  <c r="J134" i="57"/>
  <c r="D134" i="57"/>
  <c r="H134" i="57"/>
  <c r="AN133" i="55" a="1"/>
  <c r="AN133" i="55"/>
  <c r="B135" i="57"/>
  <c r="C119" i="69"/>
  <c r="P119" i="69"/>
  <c r="D118" i="69"/>
  <c r="E118" i="69"/>
  <c r="F118" i="69"/>
  <c r="G118" i="69"/>
  <c r="H118" i="69"/>
  <c r="I118" i="69"/>
  <c r="J118" i="69"/>
  <c r="K118" i="69"/>
  <c r="M118" i="69"/>
  <c r="AE117" i="69"/>
  <c r="R117" i="69"/>
  <c r="S117" i="69"/>
  <c r="Y117" i="69"/>
  <c r="AR119" i="67" a="1"/>
  <c r="AR119" i="67"/>
  <c r="B120" i="69"/>
  <c r="L120" i="69"/>
  <c r="AP74" i="59" a="1"/>
  <c r="AP74" i="59"/>
  <c r="E75" i="50"/>
  <c r="AP119" i="69"/>
  <c r="N119" i="69"/>
  <c r="U119" i="69"/>
  <c r="T75" i="50"/>
  <c r="O75" i="50"/>
  <c r="AF118" i="69"/>
  <c r="Q118" i="69"/>
  <c r="O135" i="57"/>
  <c r="P135" i="57"/>
  <c r="AC116" i="69"/>
  <c r="AD116" i="69"/>
  <c r="AB117" i="69"/>
  <c r="AG117" i="69"/>
  <c r="O120" i="69"/>
  <c r="AO119" i="69"/>
  <c r="AK75" i="50"/>
  <c r="AY118" i="69"/>
  <c r="L135" i="57"/>
  <c r="N135" i="57"/>
  <c r="AH118" i="69"/>
  <c r="I75" i="50"/>
  <c r="H75" i="50"/>
  <c r="M75" i="50"/>
  <c r="K75" i="50"/>
  <c r="A75" i="50"/>
  <c r="Q75" i="50" s="1"/>
  <c r="P75" i="50" s="1"/>
  <c r="L75" i="50"/>
  <c r="B75" i="50"/>
  <c r="R75" i="50" s="1"/>
  <c r="S75" i="50" s="1"/>
  <c r="G75" i="50"/>
  <c r="J75" i="50"/>
  <c r="N75" i="50"/>
  <c r="F75" i="50"/>
  <c r="U75" i="50" s="1"/>
  <c r="H135" i="57"/>
  <c r="G135" i="57"/>
  <c r="E135" i="57"/>
  <c r="D135" i="57"/>
  <c r="C135" i="57"/>
  <c r="M135" i="57" s="1"/>
  <c r="I135" i="57"/>
  <c r="K135" i="57"/>
  <c r="F135" i="57"/>
  <c r="J135" i="57"/>
  <c r="AN134" i="55" a="1"/>
  <c r="AN134" i="55"/>
  <c r="B136" i="57"/>
  <c r="AR120" i="67" a="1"/>
  <c r="AR120" i="67"/>
  <c r="B121" i="69"/>
  <c r="L121" i="69"/>
  <c r="C120" i="69"/>
  <c r="P120" i="69"/>
  <c r="R118" i="69"/>
  <c r="S118" i="69"/>
  <c r="Y118" i="69"/>
  <c r="AE118" i="69"/>
  <c r="D119" i="69"/>
  <c r="E119" i="69"/>
  <c r="F119" i="69"/>
  <c r="G119" i="69"/>
  <c r="H119" i="69"/>
  <c r="I119" i="69"/>
  <c r="J119" i="69"/>
  <c r="K119" i="69"/>
  <c r="M119" i="69"/>
  <c r="AP75" i="59" a="1"/>
  <c r="AP75" i="59"/>
  <c r="E76" i="50"/>
  <c r="AP120" i="69"/>
  <c r="N120" i="69"/>
  <c r="U120" i="69"/>
  <c r="O76" i="50"/>
  <c r="T76" i="50"/>
  <c r="AF119" i="69"/>
  <c r="Q119" i="69"/>
  <c r="O136" i="57"/>
  <c r="AG136" i="57" s="1"/>
  <c r="P136" i="57"/>
  <c r="AC117" i="69"/>
  <c r="AD117" i="69"/>
  <c r="AB118" i="69"/>
  <c r="AG118" i="69"/>
  <c r="AO120" i="69"/>
  <c r="O121" i="69"/>
  <c r="AK76" i="50"/>
  <c r="AY119" i="69"/>
  <c r="L136" i="57"/>
  <c r="N136" i="57"/>
  <c r="AH119" i="69"/>
  <c r="F76" i="50"/>
  <c r="AM76" i="50" s="1"/>
  <c r="M76" i="50"/>
  <c r="I76" i="50"/>
  <c r="K76" i="50"/>
  <c r="B76" i="50"/>
  <c r="R76" i="50" s="1"/>
  <c r="S76" i="50" s="1"/>
  <c r="J76" i="50"/>
  <c r="G76" i="50"/>
  <c r="H76" i="50"/>
  <c r="N76" i="50"/>
  <c r="A76" i="50"/>
  <c r="Q76" i="50" s="1"/>
  <c r="P76" i="50" s="1"/>
  <c r="L76" i="50"/>
  <c r="K136" i="57"/>
  <c r="I136" i="57"/>
  <c r="G136" i="57"/>
  <c r="E136" i="57"/>
  <c r="C136" i="57"/>
  <c r="M136" i="57" s="1"/>
  <c r="AD136" i="57" s="1"/>
  <c r="F136" i="57"/>
  <c r="J136" i="57"/>
  <c r="H136" i="57"/>
  <c r="D136" i="57"/>
  <c r="AN135" i="55" a="1"/>
  <c r="AN135" i="55"/>
  <c r="B137" i="57"/>
  <c r="D120" i="69"/>
  <c r="E120" i="69"/>
  <c r="F120" i="69"/>
  <c r="G120" i="69"/>
  <c r="H120" i="69"/>
  <c r="I120" i="69"/>
  <c r="J120" i="69"/>
  <c r="K120" i="69"/>
  <c r="M120" i="69"/>
  <c r="AE119" i="69"/>
  <c r="R119" i="69"/>
  <c r="S119" i="69"/>
  <c r="C121" i="69"/>
  <c r="P121" i="69"/>
  <c r="AR121" i="67" a="1"/>
  <c r="AR121" i="67"/>
  <c r="B122" i="69"/>
  <c r="L122" i="69"/>
  <c r="AP76" i="59" a="1"/>
  <c r="AP76" i="59"/>
  <c r="E77" i="50"/>
  <c r="Y119" i="69"/>
  <c r="AB119" i="69"/>
  <c r="AC119" i="69"/>
  <c r="AD119" i="69"/>
  <c r="AP121" i="69"/>
  <c r="N121" i="69"/>
  <c r="U121" i="69"/>
  <c r="O77" i="50"/>
  <c r="T77" i="50"/>
  <c r="AF120" i="69"/>
  <c r="Q120" i="69"/>
  <c r="O137" i="57"/>
  <c r="AG137" i="57" s="1"/>
  <c r="P137" i="57"/>
  <c r="AC118" i="69"/>
  <c r="AD118" i="69"/>
  <c r="O122" i="69"/>
  <c r="AO121" i="69"/>
  <c r="AK77" i="50"/>
  <c r="AY120" i="69"/>
  <c r="L137" i="57"/>
  <c r="N137" i="57"/>
  <c r="AH120" i="69"/>
  <c r="G77" i="50"/>
  <c r="M77" i="50"/>
  <c r="K77" i="50"/>
  <c r="F77" i="50"/>
  <c r="AM77" i="50" s="1"/>
  <c r="H77" i="50"/>
  <c r="J77" i="50"/>
  <c r="I77" i="50"/>
  <c r="L77" i="50"/>
  <c r="B77" i="50"/>
  <c r="R77" i="50" s="1"/>
  <c r="S77" i="50" s="1"/>
  <c r="V77" i="50" s="1"/>
  <c r="A77" i="50"/>
  <c r="Q77" i="50" s="1"/>
  <c r="P77" i="50" s="1"/>
  <c r="N77" i="50"/>
  <c r="I137" i="57"/>
  <c r="H137" i="57"/>
  <c r="G137" i="57"/>
  <c r="E137" i="57"/>
  <c r="D137" i="57"/>
  <c r="K137" i="57"/>
  <c r="C137" i="57"/>
  <c r="M137" i="57" s="1"/>
  <c r="Q137" i="57" s="1"/>
  <c r="T137" i="57" s="1"/>
  <c r="F137" i="57"/>
  <c r="J137" i="57"/>
  <c r="AN136" i="55" a="1"/>
  <c r="AN136" i="55"/>
  <c r="B138" i="57"/>
  <c r="AR122" i="67" a="1"/>
  <c r="AR122" i="67"/>
  <c r="B123" i="69"/>
  <c r="L123" i="69"/>
  <c r="R120" i="69"/>
  <c r="S120" i="69"/>
  <c r="Y120" i="69"/>
  <c r="AE120" i="69"/>
  <c r="C122" i="69"/>
  <c r="P122" i="69"/>
  <c r="D121" i="69"/>
  <c r="E121" i="69"/>
  <c r="F121" i="69"/>
  <c r="G121" i="69"/>
  <c r="H121" i="69"/>
  <c r="I121" i="69"/>
  <c r="J121" i="69"/>
  <c r="K121" i="69"/>
  <c r="M121" i="69"/>
  <c r="AP77" i="59" a="1"/>
  <c r="AP77" i="59"/>
  <c r="E78" i="50"/>
  <c r="AG119" i="69"/>
  <c r="AB120" i="69"/>
  <c r="AC120" i="69"/>
  <c r="AD120" i="69"/>
  <c r="AP122" i="69"/>
  <c r="N122" i="69"/>
  <c r="U122" i="69"/>
  <c r="T78" i="50"/>
  <c r="O78" i="50"/>
  <c r="AF121" i="69"/>
  <c r="Q121" i="69"/>
  <c r="O138" i="57"/>
  <c r="AG138" i="57" s="1"/>
  <c r="P138" i="57"/>
  <c r="AG120" i="69"/>
  <c r="O123" i="69"/>
  <c r="AO122" i="69"/>
  <c r="AK78" i="50"/>
  <c r="AY121" i="69"/>
  <c r="L138" i="57"/>
  <c r="N138" i="57"/>
  <c r="AH121" i="69"/>
  <c r="F78" i="50"/>
  <c r="A78" i="50"/>
  <c r="Q78" i="50" s="1"/>
  <c r="P78" i="50" s="1"/>
  <c r="K78" i="50"/>
  <c r="H78" i="50"/>
  <c r="L78" i="50"/>
  <c r="M78" i="50"/>
  <c r="B78" i="50"/>
  <c r="R78" i="50" s="1"/>
  <c r="S78" i="50" s="1"/>
  <c r="G78" i="50"/>
  <c r="N78" i="50"/>
  <c r="I78" i="50"/>
  <c r="J78" i="50"/>
  <c r="K138" i="57"/>
  <c r="I138" i="57"/>
  <c r="G138" i="57"/>
  <c r="E138" i="57"/>
  <c r="C138" i="57"/>
  <c r="M138" i="57" s="1"/>
  <c r="F138" i="57"/>
  <c r="J138" i="57"/>
  <c r="D138" i="57"/>
  <c r="H138" i="57"/>
  <c r="AN137" i="55" a="1"/>
  <c r="AN137" i="55"/>
  <c r="B139" i="57"/>
  <c r="D122" i="69"/>
  <c r="E122" i="69"/>
  <c r="F122" i="69"/>
  <c r="G122" i="69"/>
  <c r="H122" i="69"/>
  <c r="I122" i="69"/>
  <c r="J122" i="69"/>
  <c r="K122" i="69"/>
  <c r="M122" i="69"/>
  <c r="C123" i="69"/>
  <c r="P123" i="69"/>
  <c r="AE121" i="69"/>
  <c r="R121" i="69"/>
  <c r="S121" i="69"/>
  <c r="Y121" i="69"/>
  <c r="AR123" i="67" a="1"/>
  <c r="AR123" i="67"/>
  <c r="B124" i="69"/>
  <c r="L124" i="69"/>
  <c r="AP78" i="59" a="1"/>
  <c r="AP78" i="59"/>
  <c r="E79" i="50"/>
  <c r="AP123" i="69"/>
  <c r="N123" i="69"/>
  <c r="U123" i="69"/>
  <c r="T79" i="50"/>
  <c r="O79" i="50"/>
  <c r="AF122" i="69"/>
  <c r="Q122" i="69"/>
  <c r="O139" i="57"/>
  <c r="P139" i="57"/>
  <c r="AB121" i="69"/>
  <c r="AG121" i="69"/>
  <c r="AO123" i="69"/>
  <c r="O124" i="69"/>
  <c r="AK79" i="50"/>
  <c r="AY122" i="69"/>
  <c r="L139" i="57"/>
  <c r="N139" i="57"/>
  <c r="AH122" i="69"/>
  <c r="A79" i="50"/>
  <c r="Q79" i="50" s="1"/>
  <c r="P79" i="50" s="1"/>
  <c r="M79" i="50"/>
  <c r="B79" i="50"/>
  <c r="R79" i="50" s="1"/>
  <c r="S79" i="50" s="1"/>
  <c r="AJ79" i="50" s="1"/>
  <c r="L79" i="50"/>
  <c r="J79" i="50"/>
  <c r="N79" i="50"/>
  <c r="F79" i="50"/>
  <c r="I79" i="50"/>
  <c r="G79" i="50"/>
  <c r="K79" i="50"/>
  <c r="H79" i="50"/>
  <c r="K139" i="57"/>
  <c r="I139" i="57"/>
  <c r="H139" i="57"/>
  <c r="G139" i="57"/>
  <c r="E139" i="57"/>
  <c r="C139" i="57"/>
  <c r="M139" i="57" s="1"/>
  <c r="D139" i="57"/>
  <c r="J139" i="57"/>
  <c r="F139" i="57"/>
  <c r="AN138" i="55" a="1"/>
  <c r="AN138" i="55"/>
  <c r="B140" i="57"/>
  <c r="AR124" i="67" a="1"/>
  <c r="AR124" i="67"/>
  <c r="B125" i="69"/>
  <c r="L125" i="69"/>
  <c r="C124" i="69"/>
  <c r="P124" i="69"/>
  <c r="D123" i="69"/>
  <c r="E123" i="69"/>
  <c r="F123" i="69"/>
  <c r="G123" i="69"/>
  <c r="H123" i="69"/>
  <c r="I123" i="69"/>
  <c r="J123" i="69"/>
  <c r="K123" i="69"/>
  <c r="M123" i="69"/>
  <c r="R122" i="69"/>
  <c r="S122" i="69"/>
  <c r="Y122" i="69"/>
  <c r="AE122" i="69"/>
  <c r="AP79" i="59" a="1"/>
  <c r="AP79" i="59"/>
  <c r="E80" i="50"/>
  <c r="AP124" i="69"/>
  <c r="N124" i="69"/>
  <c r="U124" i="69"/>
  <c r="O80" i="50"/>
  <c r="T80" i="50"/>
  <c r="AF123" i="69"/>
  <c r="Q123" i="69"/>
  <c r="O140" i="57"/>
  <c r="P140" i="57"/>
  <c r="AC121" i="69"/>
  <c r="AD121" i="69"/>
  <c r="AB122" i="69"/>
  <c r="AG122" i="69"/>
  <c r="O125" i="69"/>
  <c r="AO124" i="69"/>
  <c r="AK80" i="50"/>
  <c r="AY123" i="69"/>
  <c r="L140" i="57"/>
  <c r="N140" i="57"/>
  <c r="AH123" i="69"/>
  <c r="M80" i="50"/>
  <c r="A80" i="50"/>
  <c r="Q80" i="50" s="1"/>
  <c r="P80" i="50" s="1"/>
  <c r="N80" i="50"/>
  <c r="G80" i="50"/>
  <c r="I80" i="50"/>
  <c r="J80" i="50"/>
  <c r="K80" i="50"/>
  <c r="F80" i="50"/>
  <c r="U80" i="50" s="1"/>
  <c r="L80" i="50"/>
  <c r="H80" i="50"/>
  <c r="B80" i="50"/>
  <c r="R80" i="50" s="1"/>
  <c r="S80" i="50" s="1"/>
  <c r="K140" i="57"/>
  <c r="I140" i="57"/>
  <c r="G140" i="57"/>
  <c r="E140" i="57"/>
  <c r="C140" i="57"/>
  <c r="M140" i="57" s="1"/>
  <c r="F140" i="57"/>
  <c r="J140" i="57"/>
  <c r="H140" i="57"/>
  <c r="D140" i="57"/>
  <c r="AN139" i="55" a="1"/>
  <c r="AN139" i="55"/>
  <c r="B141" i="57"/>
  <c r="R123" i="69"/>
  <c r="S123" i="69"/>
  <c r="Y123" i="69"/>
  <c r="AE123" i="69"/>
  <c r="C125" i="69"/>
  <c r="P125" i="69"/>
  <c r="D124" i="69"/>
  <c r="E124" i="69"/>
  <c r="F124" i="69"/>
  <c r="G124" i="69"/>
  <c r="H124" i="69"/>
  <c r="I124" i="69"/>
  <c r="J124" i="69"/>
  <c r="K124" i="69"/>
  <c r="M124" i="69"/>
  <c r="AR125" i="67" a="1"/>
  <c r="AR125" i="67"/>
  <c r="B126" i="69"/>
  <c r="L126" i="69"/>
  <c r="AP80" i="59" a="1"/>
  <c r="AP80" i="59"/>
  <c r="E81" i="50"/>
  <c r="AP125" i="69"/>
  <c r="N125" i="69"/>
  <c r="U125" i="69"/>
  <c r="O81" i="50"/>
  <c r="T81" i="50"/>
  <c r="AF124" i="69"/>
  <c r="Q124" i="69"/>
  <c r="O141" i="57"/>
  <c r="AG141" i="57" s="1"/>
  <c r="P141" i="57"/>
  <c r="AC122" i="69"/>
  <c r="AD122" i="69"/>
  <c r="AB123" i="69"/>
  <c r="AG123" i="69"/>
  <c r="AO125" i="69"/>
  <c r="O126" i="69"/>
  <c r="AK81" i="50"/>
  <c r="AY124" i="69"/>
  <c r="L141" i="57"/>
  <c r="N141" i="57"/>
  <c r="AH124" i="69"/>
  <c r="F81" i="50"/>
  <c r="AM81" i="50" s="1"/>
  <c r="B81" i="50"/>
  <c r="R81" i="50" s="1"/>
  <c r="S81" i="50" s="1"/>
  <c r="H81" i="50"/>
  <c r="I81" i="50"/>
  <c r="L81" i="50"/>
  <c r="K81" i="50"/>
  <c r="A81" i="50"/>
  <c r="Q81" i="50" s="1"/>
  <c r="P81" i="50" s="1"/>
  <c r="M81" i="50"/>
  <c r="J81" i="50"/>
  <c r="G81" i="50"/>
  <c r="N81" i="50"/>
  <c r="K141" i="57"/>
  <c r="I141" i="57"/>
  <c r="H141" i="57"/>
  <c r="G141" i="57"/>
  <c r="E141" i="57"/>
  <c r="C141" i="57"/>
  <c r="M141" i="57" s="1"/>
  <c r="AK141" i="57" s="1"/>
  <c r="D141" i="57"/>
  <c r="F141" i="57"/>
  <c r="J141" i="57"/>
  <c r="AN140" i="55" a="1"/>
  <c r="AN140" i="55"/>
  <c r="B142" i="57"/>
  <c r="C126" i="69"/>
  <c r="P126" i="69"/>
  <c r="AE124" i="69"/>
  <c r="R124" i="69"/>
  <c r="S124" i="69"/>
  <c r="Y124" i="69"/>
  <c r="D125" i="69"/>
  <c r="E125" i="69"/>
  <c r="F125" i="69"/>
  <c r="G125" i="69"/>
  <c r="H125" i="69"/>
  <c r="I125" i="69"/>
  <c r="J125" i="69"/>
  <c r="K125" i="69"/>
  <c r="M125" i="69"/>
  <c r="AR126" i="67" a="1"/>
  <c r="AR126" i="67"/>
  <c r="B127" i="69"/>
  <c r="L127" i="69"/>
  <c r="AP81" i="59" a="1"/>
  <c r="AP81" i="59"/>
  <c r="E82" i="50"/>
  <c r="AB124" i="69"/>
  <c r="AC124" i="69"/>
  <c r="AD124" i="69"/>
  <c r="AP126" i="69"/>
  <c r="N126" i="69"/>
  <c r="U126" i="69"/>
  <c r="T82" i="50"/>
  <c r="O82" i="50"/>
  <c r="AF125" i="69"/>
  <c r="Q125" i="69"/>
  <c r="O142" i="57"/>
  <c r="P142" i="57"/>
  <c r="AC123" i="69"/>
  <c r="AD123" i="69"/>
  <c r="O127" i="69"/>
  <c r="AO126" i="69"/>
  <c r="AG124" i="69"/>
  <c r="AK82" i="50"/>
  <c r="AY125" i="69"/>
  <c r="L142" i="57"/>
  <c r="N142" i="57"/>
  <c r="AH125" i="69"/>
  <c r="K82" i="50"/>
  <c r="B82" i="50"/>
  <c r="R82" i="50" s="1"/>
  <c r="S82" i="50" s="1"/>
  <c r="W82" i="50" s="1"/>
  <c r="X82" i="50" s="1"/>
  <c r="M82" i="50"/>
  <c r="A82" i="50"/>
  <c r="Q82" i="50" s="1"/>
  <c r="P82" i="50" s="1"/>
  <c r="I82" i="50"/>
  <c r="F82" i="50"/>
  <c r="L82" i="50"/>
  <c r="H82" i="50"/>
  <c r="N82" i="50"/>
  <c r="J82" i="50"/>
  <c r="G82" i="50"/>
  <c r="K142" i="57"/>
  <c r="I142" i="57"/>
  <c r="G142" i="57"/>
  <c r="C142" i="57"/>
  <c r="M142" i="57" s="1"/>
  <c r="AE142" i="57" s="1"/>
  <c r="E142" i="57"/>
  <c r="F142" i="57"/>
  <c r="D142" i="57"/>
  <c r="J142" i="57"/>
  <c r="H142" i="57"/>
  <c r="AN141" i="55" a="1"/>
  <c r="AN141" i="55"/>
  <c r="B143" i="57"/>
  <c r="AE125" i="69"/>
  <c r="R125" i="69"/>
  <c r="S125" i="69"/>
  <c r="Y125" i="69"/>
  <c r="D126" i="69"/>
  <c r="E126" i="69"/>
  <c r="F126" i="69"/>
  <c r="G126" i="69"/>
  <c r="H126" i="69"/>
  <c r="I126" i="69"/>
  <c r="J126" i="69"/>
  <c r="K126" i="69"/>
  <c r="M126" i="69"/>
  <c r="C127" i="69"/>
  <c r="P127" i="69"/>
  <c r="AR127" i="67" a="1"/>
  <c r="AR127" i="67"/>
  <c r="B128" i="69"/>
  <c r="L128" i="69"/>
  <c r="AP82" i="59" a="1"/>
  <c r="AP82" i="59"/>
  <c r="E83" i="50"/>
  <c r="AP127" i="69"/>
  <c r="N127" i="69"/>
  <c r="U127" i="69"/>
  <c r="T83" i="50"/>
  <c r="O83" i="50"/>
  <c r="AF126" i="69"/>
  <c r="Q126" i="69"/>
  <c r="O143" i="57"/>
  <c r="AG143" i="57" s="1"/>
  <c r="P143" i="57"/>
  <c r="AB125" i="69"/>
  <c r="AG125" i="69"/>
  <c r="O128" i="69"/>
  <c r="AO127" i="69"/>
  <c r="AK83" i="50"/>
  <c r="AY126" i="69"/>
  <c r="L143" i="57"/>
  <c r="N143" i="57"/>
  <c r="AH126" i="69"/>
  <c r="B83" i="50"/>
  <c r="R83" i="50" s="1"/>
  <c r="S83" i="50" s="1"/>
  <c r="J83" i="50"/>
  <c r="F83" i="50"/>
  <c r="AM83" i="50" s="1"/>
  <c r="K83" i="50"/>
  <c r="A83" i="50"/>
  <c r="Q83" i="50" s="1"/>
  <c r="P83" i="50" s="1"/>
  <c r="N83" i="50"/>
  <c r="I83" i="50"/>
  <c r="M83" i="50"/>
  <c r="H83" i="50"/>
  <c r="G83" i="50"/>
  <c r="L83" i="50"/>
  <c r="C143" i="57"/>
  <c r="M143" i="57" s="1"/>
  <c r="AJ143" i="57" s="1"/>
  <c r="K143" i="57"/>
  <c r="I143" i="57"/>
  <c r="H143" i="57"/>
  <c r="G143" i="57"/>
  <c r="D143" i="57"/>
  <c r="E143" i="57"/>
  <c r="J143" i="57"/>
  <c r="F143" i="57"/>
  <c r="AN142" i="55" a="1"/>
  <c r="AN142" i="55"/>
  <c r="B144" i="57"/>
  <c r="D127" i="69"/>
  <c r="E127" i="69"/>
  <c r="F127" i="69"/>
  <c r="G127" i="69"/>
  <c r="H127" i="69"/>
  <c r="I127" i="69"/>
  <c r="J127" i="69"/>
  <c r="K127" i="69"/>
  <c r="M127" i="69"/>
  <c r="C128" i="69"/>
  <c r="P128" i="69"/>
  <c r="AR128" i="67" a="1"/>
  <c r="AR128" i="67"/>
  <c r="B129" i="69"/>
  <c r="L129" i="69"/>
  <c r="R126" i="69"/>
  <c r="S126" i="69"/>
  <c r="Y126" i="69"/>
  <c r="AE126" i="69"/>
  <c r="AP83" i="59" a="1"/>
  <c r="AP83" i="59"/>
  <c r="E84" i="50"/>
  <c r="AP128" i="69"/>
  <c r="N128" i="69"/>
  <c r="U128" i="69"/>
  <c r="O84" i="50"/>
  <c r="T84" i="50"/>
  <c r="AF127" i="69"/>
  <c r="Q127" i="69"/>
  <c r="O144" i="57"/>
  <c r="AG144" i="57" s="1"/>
  <c r="P144" i="57"/>
  <c r="AC125" i="69"/>
  <c r="AD125" i="69"/>
  <c r="AB126" i="69"/>
  <c r="AG126" i="69"/>
  <c r="AO128" i="69"/>
  <c r="O129" i="69"/>
  <c r="AK84" i="50"/>
  <c r="AY127" i="69"/>
  <c r="L144" i="57"/>
  <c r="N144" i="57"/>
  <c r="AH127" i="69"/>
  <c r="J84" i="50"/>
  <c r="M84" i="50"/>
  <c r="I84" i="50"/>
  <c r="K84" i="50"/>
  <c r="A84" i="50"/>
  <c r="Q84" i="50" s="1"/>
  <c r="P84" i="50" s="1"/>
  <c r="H84" i="50"/>
  <c r="F84" i="50"/>
  <c r="N84" i="50"/>
  <c r="L84" i="50"/>
  <c r="G84" i="50"/>
  <c r="B84" i="50"/>
  <c r="R84" i="50" s="1"/>
  <c r="S84" i="50" s="1"/>
  <c r="C144" i="57"/>
  <c r="M144" i="57" s="1"/>
  <c r="AQ144" i="57" s="1"/>
  <c r="K144" i="57"/>
  <c r="I144" i="57"/>
  <c r="E144" i="57"/>
  <c r="G144" i="57"/>
  <c r="F144" i="57"/>
  <c r="J144" i="57"/>
  <c r="D144" i="57"/>
  <c r="H144" i="57"/>
  <c r="AN143" i="55" a="1"/>
  <c r="AN143" i="55"/>
  <c r="B145" i="57"/>
  <c r="D128" i="69"/>
  <c r="E128" i="69"/>
  <c r="F128" i="69"/>
  <c r="G128" i="69"/>
  <c r="H128" i="69"/>
  <c r="I128" i="69"/>
  <c r="J128" i="69"/>
  <c r="K128" i="69"/>
  <c r="M128" i="69"/>
  <c r="AR129" i="67" a="1"/>
  <c r="AR129" i="67"/>
  <c r="B130" i="69"/>
  <c r="L130" i="69"/>
  <c r="C129" i="69"/>
  <c r="P129" i="69"/>
  <c r="AE127" i="69"/>
  <c r="R127" i="69"/>
  <c r="S127" i="69"/>
  <c r="AP84" i="59" a="1"/>
  <c r="AP84" i="59"/>
  <c r="E85" i="50"/>
  <c r="Y127" i="69"/>
  <c r="AB127" i="69"/>
  <c r="AC127" i="69"/>
  <c r="AD127" i="69"/>
  <c r="AP129" i="69"/>
  <c r="N129" i="69"/>
  <c r="U129" i="69"/>
  <c r="O85" i="50"/>
  <c r="T85" i="50"/>
  <c r="AF128" i="69"/>
  <c r="Q128" i="69"/>
  <c r="O145" i="57"/>
  <c r="AG145" i="57" s="1"/>
  <c r="P145" i="57"/>
  <c r="AC126" i="69"/>
  <c r="AD126" i="69"/>
  <c r="AO129" i="69"/>
  <c r="O130" i="69"/>
  <c r="AK85" i="50"/>
  <c r="AY128" i="69"/>
  <c r="L145" i="57"/>
  <c r="N145" i="57"/>
  <c r="AH128" i="69"/>
  <c r="M85" i="50"/>
  <c r="F85" i="50"/>
  <c r="N85" i="50"/>
  <c r="L85" i="50"/>
  <c r="G85" i="50"/>
  <c r="H85" i="50"/>
  <c r="B85" i="50"/>
  <c r="R85" i="50" s="1"/>
  <c r="S85" i="50" s="1"/>
  <c r="J85" i="50"/>
  <c r="K85" i="50"/>
  <c r="A85" i="50"/>
  <c r="Q85" i="50" s="1"/>
  <c r="P85" i="50" s="1"/>
  <c r="I85" i="50"/>
  <c r="D145" i="57"/>
  <c r="C145" i="57"/>
  <c r="M145" i="57" s="1"/>
  <c r="K145" i="57"/>
  <c r="I145" i="57"/>
  <c r="H145" i="57"/>
  <c r="E145" i="57"/>
  <c r="G145" i="57"/>
  <c r="F145" i="57"/>
  <c r="J145" i="57"/>
  <c r="AN144" i="55" a="1"/>
  <c r="AN144" i="55"/>
  <c r="B146" i="57"/>
  <c r="R128" i="69"/>
  <c r="S128" i="69"/>
  <c r="Y128" i="69"/>
  <c r="AE128" i="69"/>
  <c r="D129" i="69"/>
  <c r="E129" i="69"/>
  <c r="F129" i="69"/>
  <c r="G129" i="69"/>
  <c r="H129" i="69"/>
  <c r="I129" i="69"/>
  <c r="J129" i="69"/>
  <c r="K129" i="69"/>
  <c r="M129" i="69"/>
  <c r="C130" i="69"/>
  <c r="P130" i="69"/>
  <c r="AR130" i="67" a="1"/>
  <c r="AR130" i="67"/>
  <c r="B131" i="69"/>
  <c r="L131" i="69"/>
  <c r="AP85" i="59" a="1"/>
  <c r="AP85" i="59"/>
  <c r="E86" i="50"/>
  <c r="AG127" i="69"/>
  <c r="AP130" i="69"/>
  <c r="N130" i="69"/>
  <c r="U130" i="69"/>
  <c r="T86" i="50"/>
  <c r="O86" i="50"/>
  <c r="AF129" i="69"/>
  <c r="Q129" i="69"/>
  <c r="O146" i="57"/>
  <c r="AG146" i="57" s="1"/>
  <c r="P146" i="57"/>
  <c r="AB128" i="69"/>
  <c r="AG128" i="69"/>
  <c r="AO130" i="69"/>
  <c r="O131" i="69"/>
  <c r="AK86" i="50"/>
  <c r="AY129" i="69"/>
  <c r="L146" i="57"/>
  <c r="N146" i="57"/>
  <c r="AH129" i="69"/>
  <c r="F86" i="50"/>
  <c r="G86" i="50"/>
  <c r="J86" i="50"/>
  <c r="A86" i="50"/>
  <c r="Q86" i="50" s="1"/>
  <c r="P86" i="50" s="1"/>
  <c r="H86" i="50"/>
  <c r="L86" i="50"/>
  <c r="N86" i="50"/>
  <c r="I86" i="50"/>
  <c r="M86" i="50"/>
  <c r="K86" i="50"/>
  <c r="B86" i="50"/>
  <c r="R86" i="50" s="1"/>
  <c r="S86" i="50" s="1"/>
  <c r="AJ86" i="50" s="1"/>
  <c r="C146" i="57"/>
  <c r="M146" i="57" s="1"/>
  <c r="K146" i="57"/>
  <c r="I146" i="57"/>
  <c r="G146" i="57"/>
  <c r="E146" i="57"/>
  <c r="F146" i="57"/>
  <c r="J146" i="57"/>
  <c r="D146" i="57"/>
  <c r="H146" i="57"/>
  <c r="AN145" i="55" a="1"/>
  <c r="AN145" i="55"/>
  <c r="B147" i="57"/>
  <c r="D130" i="69"/>
  <c r="E130" i="69"/>
  <c r="F130" i="69"/>
  <c r="G130" i="69"/>
  <c r="H130" i="69"/>
  <c r="I130" i="69"/>
  <c r="J130" i="69"/>
  <c r="K130" i="69"/>
  <c r="M130" i="69"/>
  <c r="C131" i="69"/>
  <c r="P131" i="69"/>
  <c r="AR131" i="67" a="1"/>
  <c r="AR131" i="67"/>
  <c r="B132" i="69"/>
  <c r="L132" i="69"/>
  <c r="AE129" i="69"/>
  <c r="R129" i="69"/>
  <c r="S129" i="69"/>
  <c r="Y129" i="69"/>
  <c r="AP86" i="59" a="1"/>
  <c r="AP86" i="59"/>
  <c r="E87" i="50"/>
  <c r="AP131" i="69"/>
  <c r="N131" i="69"/>
  <c r="U131" i="69"/>
  <c r="T87" i="50"/>
  <c r="O87" i="50"/>
  <c r="AF130" i="69"/>
  <c r="Q130" i="69"/>
  <c r="O147" i="57"/>
  <c r="AG147" i="57" s="1"/>
  <c r="P147" i="57"/>
  <c r="AC128" i="69"/>
  <c r="AD128" i="69"/>
  <c r="AB129" i="69"/>
  <c r="AG129" i="69"/>
  <c r="AO131" i="69"/>
  <c r="O132" i="69"/>
  <c r="AK87" i="50"/>
  <c r="AY130" i="69"/>
  <c r="L147" i="57"/>
  <c r="N147" i="57"/>
  <c r="AH130" i="69"/>
  <c r="J87" i="50"/>
  <c r="N87" i="50"/>
  <c r="B87" i="50"/>
  <c r="R87" i="50" s="1"/>
  <c r="S87" i="50" s="1"/>
  <c r="M87" i="50"/>
  <c r="A87" i="50"/>
  <c r="Q87" i="50" s="1"/>
  <c r="P87" i="50" s="1"/>
  <c r="L87" i="50"/>
  <c r="F87" i="50"/>
  <c r="U87" i="50" s="1"/>
  <c r="I87" i="50"/>
  <c r="K87" i="50"/>
  <c r="H87" i="50"/>
  <c r="G87" i="50"/>
  <c r="D147" i="57"/>
  <c r="C147" i="57"/>
  <c r="M147" i="57" s="1"/>
  <c r="K147" i="57"/>
  <c r="I147" i="57"/>
  <c r="H147" i="57"/>
  <c r="G147" i="57"/>
  <c r="E147" i="57"/>
  <c r="F147" i="57"/>
  <c r="J147" i="57"/>
  <c r="AN146" i="55" a="1"/>
  <c r="AN146" i="55"/>
  <c r="B148" i="57"/>
  <c r="AR132" i="67" a="1"/>
  <c r="AR132" i="67"/>
  <c r="B133" i="69"/>
  <c r="L133" i="69"/>
  <c r="C132" i="69"/>
  <c r="P132" i="69"/>
  <c r="D131" i="69"/>
  <c r="E131" i="69"/>
  <c r="F131" i="69"/>
  <c r="G131" i="69"/>
  <c r="H131" i="69"/>
  <c r="I131" i="69"/>
  <c r="J131" i="69"/>
  <c r="K131" i="69"/>
  <c r="M131" i="69"/>
  <c r="AE130" i="69"/>
  <c r="R130" i="69"/>
  <c r="S130" i="69"/>
  <c r="Y130" i="69"/>
  <c r="AP87" i="59" a="1"/>
  <c r="AP87" i="59"/>
  <c r="E88" i="50"/>
  <c r="AP132" i="69"/>
  <c r="N132" i="69"/>
  <c r="U132" i="69"/>
  <c r="O88" i="50"/>
  <c r="T88" i="50"/>
  <c r="AF131" i="69"/>
  <c r="Q131" i="69"/>
  <c r="O148" i="57"/>
  <c r="P148" i="57"/>
  <c r="AC129" i="69"/>
  <c r="AD129" i="69"/>
  <c r="AB130" i="69"/>
  <c r="AG130" i="69"/>
  <c r="O133" i="69"/>
  <c r="AO132" i="69"/>
  <c r="AK88" i="50"/>
  <c r="AY131" i="69"/>
  <c r="L148" i="57"/>
  <c r="N148" i="57"/>
  <c r="AH131" i="69"/>
  <c r="F88" i="50"/>
  <c r="L88" i="50"/>
  <c r="N88" i="50"/>
  <c r="M88" i="50"/>
  <c r="H88" i="50"/>
  <c r="I88" i="50"/>
  <c r="G88" i="50"/>
  <c r="A88" i="50"/>
  <c r="Q88" i="50" s="1"/>
  <c r="P88" i="50" s="1"/>
  <c r="K88" i="50"/>
  <c r="B88" i="50"/>
  <c r="R88" i="50" s="1"/>
  <c r="S88" i="50" s="1"/>
  <c r="J88" i="50"/>
  <c r="F148" i="57"/>
  <c r="C148" i="57"/>
  <c r="M148" i="57" s="1"/>
  <c r="Q148" i="57" s="1"/>
  <c r="T148" i="57" s="1"/>
  <c r="K148" i="57"/>
  <c r="H148" i="57"/>
  <c r="E148" i="57"/>
  <c r="G148" i="57"/>
  <c r="I148" i="57"/>
  <c r="D148" i="57"/>
  <c r="J148" i="57"/>
  <c r="AN147" i="55" a="1"/>
  <c r="AN147" i="55"/>
  <c r="B149" i="57"/>
  <c r="AR133" i="67" a="1"/>
  <c r="AR133" i="67"/>
  <c r="B134" i="69"/>
  <c r="L134" i="69"/>
  <c r="C133" i="69"/>
  <c r="P133" i="69"/>
  <c r="R131" i="69"/>
  <c r="S131" i="69"/>
  <c r="Y131" i="69"/>
  <c r="AE131" i="69"/>
  <c r="D132" i="69"/>
  <c r="E132" i="69"/>
  <c r="F132" i="69"/>
  <c r="G132" i="69"/>
  <c r="H132" i="69"/>
  <c r="I132" i="69"/>
  <c r="J132" i="69"/>
  <c r="K132" i="69"/>
  <c r="M132" i="69"/>
  <c r="AP88" i="59" a="1"/>
  <c r="AP88" i="59"/>
  <c r="E89" i="50"/>
  <c r="AP133" i="69"/>
  <c r="N133" i="69"/>
  <c r="U133" i="69"/>
  <c r="O89" i="50"/>
  <c r="T89" i="50"/>
  <c r="AF132" i="69"/>
  <c r="Q132" i="69"/>
  <c r="O149" i="57"/>
  <c r="AG149" i="57" s="1"/>
  <c r="P149" i="57"/>
  <c r="AC130" i="69"/>
  <c r="AD130" i="69"/>
  <c r="AB131" i="69"/>
  <c r="AG131" i="69"/>
  <c r="AO133" i="69"/>
  <c r="O134" i="69"/>
  <c r="AK89" i="50"/>
  <c r="AY132" i="69"/>
  <c r="L149" i="57"/>
  <c r="N149" i="57"/>
  <c r="AH132" i="69"/>
  <c r="I89" i="50"/>
  <c r="K89" i="50"/>
  <c r="A89" i="50"/>
  <c r="Q89" i="50" s="1"/>
  <c r="P89" i="50" s="1"/>
  <c r="L89" i="50"/>
  <c r="J89" i="50"/>
  <c r="B89" i="50"/>
  <c r="R89" i="50" s="1"/>
  <c r="S89" i="50" s="1"/>
  <c r="M89" i="50"/>
  <c r="G89" i="50"/>
  <c r="N89" i="50"/>
  <c r="F89" i="50"/>
  <c r="H89" i="50"/>
  <c r="J149" i="57"/>
  <c r="H149" i="57"/>
  <c r="E149" i="57"/>
  <c r="F149" i="57"/>
  <c r="K149" i="57"/>
  <c r="G149" i="57"/>
  <c r="C149" i="57"/>
  <c r="M149" i="57" s="1"/>
  <c r="I149" i="57"/>
  <c r="D149" i="57"/>
  <c r="AN148" i="55" a="1"/>
  <c r="AN148" i="55"/>
  <c r="B150" i="57"/>
  <c r="AE132" i="69"/>
  <c r="R132" i="69"/>
  <c r="S132" i="69"/>
  <c r="Y132" i="69"/>
  <c r="C134" i="69"/>
  <c r="P134" i="69"/>
  <c r="D133" i="69"/>
  <c r="E133" i="69"/>
  <c r="F133" i="69"/>
  <c r="G133" i="69"/>
  <c r="H133" i="69"/>
  <c r="I133" i="69"/>
  <c r="J133" i="69"/>
  <c r="K133" i="69"/>
  <c r="M133" i="69"/>
  <c r="AR134" i="67" a="1"/>
  <c r="AR134" i="67"/>
  <c r="B135" i="69"/>
  <c r="L135" i="69"/>
  <c r="AP89" i="59" a="1"/>
  <c r="AP89" i="59"/>
  <c r="E90" i="50"/>
  <c r="AB132" i="69"/>
  <c r="AC132" i="69"/>
  <c r="AD132" i="69"/>
  <c r="AP134" i="69"/>
  <c r="N134" i="69"/>
  <c r="U134" i="69"/>
  <c r="T90" i="50"/>
  <c r="O90" i="50"/>
  <c r="AF133" i="69"/>
  <c r="Q133" i="69"/>
  <c r="O150" i="57"/>
  <c r="AG150" i="57" s="1"/>
  <c r="P150" i="57"/>
  <c r="AC131" i="69"/>
  <c r="AD131" i="69"/>
  <c r="AG132" i="69"/>
  <c r="O135" i="69"/>
  <c r="AO134" i="69"/>
  <c r="AK90" i="50"/>
  <c r="AY133" i="69"/>
  <c r="L150" i="57"/>
  <c r="N150" i="57"/>
  <c r="AH133" i="69"/>
  <c r="K90" i="50"/>
  <c r="M90" i="50"/>
  <c r="A90" i="50"/>
  <c r="Q90" i="50" s="1"/>
  <c r="P90" i="50" s="1"/>
  <c r="G90" i="50"/>
  <c r="F90" i="50"/>
  <c r="J90" i="50"/>
  <c r="L90" i="50"/>
  <c r="N90" i="50"/>
  <c r="H90" i="50"/>
  <c r="I90" i="50"/>
  <c r="B90" i="50"/>
  <c r="R90" i="50" s="1"/>
  <c r="S90" i="50" s="1"/>
  <c r="J150" i="57"/>
  <c r="D150" i="57"/>
  <c r="I150" i="57"/>
  <c r="E150" i="57"/>
  <c r="G150" i="57"/>
  <c r="K150" i="57"/>
  <c r="F150" i="57"/>
  <c r="H150" i="57"/>
  <c r="C150" i="57"/>
  <c r="M150" i="57" s="1"/>
  <c r="AN149" i="55" a="1"/>
  <c r="AN149" i="55"/>
  <c r="B151" i="57"/>
  <c r="AR135" i="67" a="1"/>
  <c r="AR135" i="67"/>
  <c r="B136" i="69"/>
  <c r="L136" i="69"/>
  <c r="C135" i="69"/>
  <c r="P135" i="69"/>
  <c r="AE133" i="69"/>
  <c r="R133" i="69"/>
  <c r="S133" i="69"/>
  <c r="Y133" i="69"/>
  <c r="D134" i="69"/>
  <c r="E134" i="69"/>
  <c r="F134" i="69"/>
  <c r="G134" i="69"/>
  <c r="H134" i="69"/>
  <c r="I134" i="69"/>
  <c r="J134" i="69"/>
  <c r="K134" i="69"/>
  <c r="M134" i="69"/>
  <c r="AP90" i="59" a="1"/>
  <c r="AP90" i="59"/>
  <c r="E91" i="50"/>
  <c r="AP135" i="69"/>
  <c r="N135" i="69"/>
  <c r="U135" i="69"/>
  <c r="T91" i="50"/>
  <c r="O91" i="50"/>
  <c r="AF134" i="69"/>
  <c r="Q134" i="69"/>
  <c r="O151" i="57"/>
  <c r="AG151" i="57" s="1"/>
  <c r="P151" i="57"/>
  <c r="AB133" i="69"/>
  <c r="AG133" i="69"/>
  <c r="AO135" i="69"/>
  <c r="O136" i="69"/>
  <c r="AK91" i="50"/>
  <c r="AY134" i="69"/>
  <c r="L151" i="57"/>
  <c r="N151" i="57"/>
  <c r="AH134" i="69"/>
  <c r="I91" i="50"/>
  <c r="N91" i="50"/>
  <c r="H91" i="50"/>
  <c r="G91" i="50"/>
  <c r="B91" i="50"/>
  <c r="R91" i="50" s="1"/>
  <c r="S91" i="50" s="1"/>
  <c r="A91" i="50"/>
  <c r="Q91" i="50" s="1"/>
  <c r="P91" i="50" s="1"/>
  <c r="K91" i="50"/>
  <c r="M91" i="50"/>
  <c r="F91" i="50"/>
  <c r="J91" i="50"/>
  <c r="L91" i="50"/>
  <c r="I151" i="57"/>
  <c r="F151" i="57"/>
  <c r="D151" i="57"/>
  <c r="K151" i="57"/>
  <c r="G151" i="57"/>
  <c r="C151" i="57"/>
  <c r="M151" i="57" s="1"/>
  <c r="AC151" i="57" s="1"/>
  <c r="H151" i="57"/>
  <c r="E151" i="57"/>
  <c r="J151" i="57"/>
  <c r="AN150" i="55" a="1"/>
  <c r="AN150" i="55"/>
  <c r="B152" i="57"/>
  <c r="AR136" i="67" a="1"/>
  <c r="AR136" i="67"/>
  <c r="B137" i="69"/>
  <c r="L137" i="69"/>
  <c r="C136" i="69"/>
  <c r="P136" i="69"/>
  <c r="AE134" i="69"/>
  <c r="R134" i="69"/>
  <c r="S134" i="69"/>
  <c r="D135" i="69"/>
  <c r="E135" i="69"/>
  <c r="F135" i="69"/>
  <c r="G135" i="69"/>
  <c r="H135" i="69"/>
  <c r="I135" i="69"/>
  <c r="J135" i="69"/>
  <c r="K135" i="69"/>
  <c r="M135" i="69"/>
  <c r="AP91" i="59" a="1"/>
  <c r="AP91" i="59"/>
  <c r="E92" i="50"/>
  <c r="Y134" i="69"/>
  <c r="AB134" i="69"/>
  <c r="AC134" i="69"/>
  <c r="AD134" i="69"/>
  <c r="AP136" i="69"/>
  <c r="N136" i="69"/>
  <c r="U136" i="69"/>
  <c r="O92" i="50"/>
  <c r="T92" i="50"/>
  <c r="AF135" i="69"/>
  <c r="Q135" i="69"/>
  <c r="O152" i="57"/>
  <c r="AG152" i="57" s="1"/>
  <c r="P152" i="57"/>
  <c r="AC133" i="69"/>
  <c r="AD133" i="69"/>
  <c r="O137" i="69"/>
  <c r="AO136" i="69"/>
  <c r="AK92" i="50"/>
  <c r="AY135" i="69"/>
  <c r="L152" i="57"/>
  <c r="N152" i="57"/>
  <c r="AH135" i="69"/>
  <c r="M92" i="50"/>
  <c r="I92" i="50"/>
  <c r="K92" i="50"/>
  <c r="G92" i="50"/>
  <c r="B92" i="50"/>
  <c r="R92" i="50" s="1"/>
  <c r="S92" i="50" s="1"/>
  <c r="J92" i="50"/>
  <c r="A92" i="50"/>
  <c r="Q92" i="50" s="1"/>
  <c r="P92" i="50" s="1"/>
  <c r="F92" i="50"/>
  <c r="N92" i="50"/>
  <c r="H92" i="50"/>
  <c r="L92" i="50"/>
  <c r="K152" i="57"/>
  <c r="J152" i="57"/>
  <c r="H152" i="57"/>
  <c r="F152" i="57"/>
  <c r="D152" i="57"/>
  <c r="C152" i="57"/>
  <c r="M152" i="57" s="1"/>
  <c r="I152" i="57"/>
  <c r="E152" i="57"/>
  <c r="G152" i="57"/>
  <c r="AN151" i="55" a="1"/>
  <c r="AN151" i="55"/>
  <c r="B153" i="57"/>
  <c r="AR137" i="67" a="1"/>
  <c r="AR137" i="67"/>
  <c r="B138" i="69"/>
  <c r="L138" i="69"/>
  <c r="D136" i="69"/>
  <c r="E136" i="69"/>
  <c r="F136" i="69"/>
  <c r="G136" i="69"/>
  <c r="H136" i="69"/>
  <c r="I136" i="69"/>
  <c r="J136" i="69"/>
  <c r="K136" i="69"/>
  <c r="M136" i="69"/>
  <c r="AE135" i="69"/>
  <c r="R135" i="69"/>
  <c r="S135" i="69"/>
  <c r="Y135" i="69"/>
  <c r="C137" i="69"/>
  <c r="P137" i="69"/>
  <c r="AP92" i="59" a="1"/>
  <c r="AP92" i="59"/>
  <c r="E93" i="50"/>
  <c r="AG134" i="69"/>
  <c r="AB135" i="69"/>
  <c r="AC135" i="69"/>
  <c r="AD135" i="69"/>
  <c r="AP137" i="69"/>
  <c r="N137" i="69"/>
  <c r="U137" i="69"/>
  <c r="O93" i="50"/>
  <c r="T93" i="50"/>
  <c r="AF136" i="69"/>
  <c r="Q136" i="69"/>
  <c r="O153" i="57"/>
  <c r="P153" i="57"/>
  <c r="AG135" i="69"/>
  <c r="O138" i="69"/>
  <c r="AO137" i="69"/>
  <c r="AK93" i="50"/>
  <c r="AY136" i="69"/>
  <c r="L153" i="57"/>
  <c r="N153" i="57"/>
  <c r="AH136" i="69"/>
  <c r="J93" i="50"/>
  <c r="M93" i="50"/>
  <c r="I93" i="50"/>
  <c r="B93" i="50"/>
  <c r="R93" i="50" s="1"/>
  <c r="S93" i="50" s="1"/>
  <c r="F93" i="50"/>
  <c r="U93" i="50" s="1"/>
  <c r="N93" i="50"/>
  <c r="L93" i="50"/>
  <c r="G93" i="50"/>
  <c r="H93" i="50"/>
  <c r="K93" i="50"/>
  <c r="A93" i="50"/>
  <c r="Q93" i="50" s="1"/>
  <c r="P93" i="50" s="1"/>
  <c r="E153" i="57"/>
  <c r="J153" i="57"/>
  <c r="I153" i="57"/>
  <c r="D153" i="57"/>
  <c r="K153" i="57"/>
  <c r="G153" i="57"/>
  <c r="H153" i="57"/>
  <c r="C153" i="57"/>
  <c r="M153" i="57" s="1"/>
  <c r="F153" i="57"/>
  <c r="AN152" i="55" a="1"/>
  <c r="AN152" i="55"/>
  <c r="B154" i="57"/>
  <c r="AE136" i="69"/>
  <c r="R136" i="69"/>
  <c r="S136" i="69"/>
  <c r="Y136" i="69"/>
  <c r="C138" i="69"/>
  <c r="P138" i="69"/>
  <c r="D137" i="69"/>
  <c r="E137" i="69"/>
  <c r="F137" i="69"/>
  <c r="G137" i="69"/>
  <c r="H137" i="69"/>
  <c r="I137" i="69"/>
  <c r="J137" i="69"/>
  <c r="K137" i="69"/>
  <c r="M137" i="69"/>
  <c r="AR138" i="67" a="1"/>
  <c r="AR138" i="67"/>
  <c r="B139" i="69"/>
  <c r="L139" i="69"/>
  <c r="AP93" i="59" a="1"/>
  <c r="AP93" i="59"/>
  <c r="E94" i="50"/>
  <c r="AP138" i="69"/>
  <c r="N138" i="69"/>
  <c r="U138" i="69"/>
  <c r="T94" i="50"/>
  <c r="O94" i="50"/>
  <c r="AF137" i="69"/>
  <c r="Q137" i="69"/>
  <c r="O154" i="57"/>
  <c r="AG154" i="57" s="1"/>
  <c r="P154" i="57"/>
  <c r="AB136" i="69"/>
  <c r="AG136" i="69"/>
  <c r="AO138" i="69"/>
  <c r="O139" i="69"/>
  <c r="AK94" i="50"/>
  <c r="AY137" i="69"/>
  <c r="L154" i="57"/>
  <c r="N154" i="57"/>
  <c r="AH137" i="69"/>
  <c r="F94" i="50"/>
  <c r="J94" i="50"/>
  <c r="K94" i="50"/>
  <c r="M94" i="50"/>
  <c r="A94" i="50"/>
  <c r="Q94" i="50" s="1"/>
  <c r="P94" i="50" s="1"/>
  <c r="L94" i="50"/>
  <c r="B94" i="50"/>
  <c r="R94" i="50" s="1"/>
  <c r="S94" i="50" s="1"/>
  <c r="H94" i="50"/>
  <c r="I94" i="50"/>
  <c r="G94" i="50"/>
  <c r="N94" i="50"/>
  <c r="J154" i="57"/>
  <c r="G154" i="57"/>
  <c r="D154" i="57"/>
  <c r="C154" i="57"/>
  <c r="M154" i="57" s="1"/>
  <c r="K154" i="57"/>
  <c r="F154" i="57"/>
  <c r="I154" i="57"/>
  <c r="E154" i="57"/>
  <c r="H154" i="57"/>
  <c r="AN153" i="55" a="1"/>
  <c r="AN153" i="55"/>
  <c r="B155" i="57"/>
  <c r="C139" i="69"/>
  <c r="P139" i="69"/>
  <c r="D138" i="69"/>
  <c r="E138" i="69"/>
  <c r="F138" i="69"/>
  <c r="G138" i="69"/>
  <c r="H138" i="69"/>
  <c r="I138" i="69"/>
  <c r="J138" i="69"/>
  <c r="K138" i="69"/>
  <c r="M138" i="69"/>
  <c r="AR139" i="67" a="1"/>
  <c r="AR139" i="67"/>
  <c r="B140" i="69"/>
  <c r="L140" i="69"/>
  <c r="R137" i="69"/>
  <c r="S137" i="69"/>
  <c r="AE137" i="69"/>
  <c r="AP94" i="59" a="1"/>
  <c r="AP94" i="59"/>
  <c r="E95" i="50"/>
  <c r="Y137" i="69"/>
  <c r="AB137" i="69"/>
  <c r="AC137" i="69"/>
  <c r="AD137" i="69"/>
  <c r="AP139" i="69"/>
  <c r="N139" i="69"/>
  <c r="U139" i="69"/>
  <c r="T95" i="50"/>
  <c r="O95" i="50"/>
  <c r="AF138" i="69"/>
  <c r="Q138" i="69"/>
  <c r="O155" i="57"/>
  <c r="P155" i="57"/>
  <c r="AC136" i="69"/>
  <c r="AD136" i="69"/>
  <c r="O140" i="69"/>
  <c r="AO139" i="69"/>
  <c r="AK95" i="50"/>
  <c r="AY138" i="69"/>
  <c r="L155" i="57"/>
  <c r="N155" i="57"/>
  <c r="AH138" i="69"/>
  <c r="B95" i="50"/>
  <c r="R95" i="50" s="1"/>
  <c r="S95" i="50" s="1"/>
  <c r="L95" i="50"/>
  <c r="A95" i="50"/>
  <c r="Q95" i="50" s="1"/>
  <c r="P95" i="50" s="1"/>
  <c r="J95" i="50"/>
  <c r="F95" i="50"/>
  <c r="M95" i="50"/>
  <c r="N95" i="50"/>
  <c r="I95" i="50"/>
  <c r="K95" i="50"/>
  <c r="G95" i="50"/>
  <c r="H95" i="50"/>
  <c r="J155" i="57"/>
  <c r="I155" i="57"/>
  <c r="F155" i="57"/>
  <c r="E155" i="57"/>
  <c r="D155" i="57"/>
  <c r="C155" i="57"/>
  <c r="M155" i="57" s="1"/>
  <c r="AQ155" i="57" s="1"/>
  <c r="H155" i="57"/>
  <c r="K155" i="57"/>
  <c r="G155" i="57"/>
  <c r="AN154" i="55" a="1"/>
  <c r="AN154" i="55"/>
  <c r="B156" i="57"/>
  <c r="R138" i="69"/>
  <c r="S138" i="69"/>
  <c r="Y138" i="69"/>
  <c r="AE138" i="69"/>
  <c r="AR140" i="67" a="1"/>
  <c r="AR140" i="67"/>
  <c r="B141" i="69"/>
  <c r="L141" i="69"/>
  <c r="C140" i="69"/>
  <c r="P140" i="69"/>
  <c r="D139" i="69"/>
  <c r="E139" i="69"/>
  <c r="F139" i="69"/>
  <c r="G139" i="69"/>
  <c r="H139" i="69"/>
  <c r="I139" i="69"/>
  <c r="J139" i="69"/>
  <c r="K139" i="69"/>
  <c r="M139" i="69"/>
  <c r="AP95" i="59" a="1"/>
  <c r="AP95" i="59"/>
  <c r="E96" i="50"/>
  <c r="AG137" i="69"/>
  <c r="AP140" i="69"/>
  <c r="N140" i="69"/>
  <c r="U140" i="69"/>
  <c r="O96" i="50"/>
  <c r="T96" i="50"/>
  <c r="AF139" i="69"/>
  <c r="Q139" i="69"/>
  <c r="O156" i="57"/>
  <c r="AG156" i="57" s="1"/>
  <c r="P156" i="57"/>
  <c r="AB138" i="69"/>
  <c r="AG138" i="69"/>
  <c r="AO140" i="69"/>
  <c r="O141" i="69"/>
  <c r="AK96" i="50"/>
  <c r="AY139" i="69"/>
  <c r="L156" i="57"/>
  <c r="N156" i="57"/>
  <c r="AH139" i="69"/>
  <c r="L96" i="50"/>
  <c r="H96" i="50"/>
  <c r="A96" i="50"/>
  <c r="Q96" i="50" s="1"/>
  <c r="P96" i="50" s="1"/>
  <c r="K96" i="50"/>
  <c r="B96" i="50"/>
  <c r="R96" i="50" s="1"/>
  <c r="S96" i="50" s="1"/>
  <c r="I96" i="50"/>
  <c r="M96" i="50"/>
  <c r="F96" i="50"/>
  <c r="U96" i="50" s="1"/>
  <c r="G96" i="50"/>
  <c r="J96" i="50"/>
  <c r="N96" i="50"/>
  <c r="K156" i="57"/>
  <c r="H156" i="57"/>
  <c r="F156" i="57"/>
  <c r="C156" i="57"/>
  <c r="M156" i="57" s="1"/>
  <c r="I156" i="57"/>
  <c r="E156" i="57"/>
  <c r="G156" i="57"/>
  <c r="D156" i="57"/>
  <c r="J156" i="57"/>
  <c r="AN155" i="55" a="1"/>
  <c r="AN155" i="55"/>
  <c r="B157" i="57"/>
  <c r="C141" i="69"/>
  <c r="P141" i="69"/>
  <c r="AE139" i="69"/>
  <c r="R139" i="69"/>
  <c r="S139" i="69"/>
  <c r="D140" i="69"/>
  <c r="E140" i="69"/>
  <c r="F140" i="69"/>
  <c r="G140" i="69"/>
  <c r="H140" i="69"/>
  <c r="I140" i="69"/>
  <c r="J140" i="69"/>
  <c r="K140" i="69"/>
  <c r="M140" i="69"/>
  <c r="AR141" i="67" a="1"/>
  <c r="AR141" i="67"/>
  <c r="B142" i="69"/>
  <c r="L142" i="69"/>
  <c r="AP96" i="59" a="1"/>
  <c r="AP96" i="59"/>
  <c r="E97" i="50"/>
  <c r="Y139" i="69"/>
  <c r="AB139" i="69"/>
  <c r="AC139" i="69"/>
  <c r="AD139" i="69"/>
  <c r="AP141" i="69"/>
  <c r="N141" i="69"/>
  <c r="U141" i="69"/>
  <c r="O97" i="50"/>
  <c r="T97" i="50"/>
  <c r="AF140" i="69"/>
  <c r="Q140" i="69"/>
  <c r="O157" i="57"/>
  <c r="AG157" i="57" s="1"/>
  <c r="P157" i="57"/>
  <c r="AC138" i="69"/>
  <c r="AD138" i="69"/>
  <c r="O142" i="69"/>
  <c r="AO141" i="69"/>
  <c r="AK97" i="50"/>
  <c r="AY140" i="69"/>
  <c r="L157" i="57"/>
  <c r="N157" i="57"/>
  <c r="AH140" i="69"/>
  <c r="I97" i="50"/>
  <c r="L97" i="50"/>
  <c r="K97" i="50"/>
  <c r="M97" i="50"/>
  <c r="H97" i="50"/>
  <c r="B97" i="50"/>
  <c r="R97" i="50" s="1"/>
  <c r="S97" i="50" s="1"/>
  <c r="J97" i="50"/>
  <c r="A97" i="50"/>
  <c r="Q97" i="50" s="1"/>
  <c r="P97" i="50" s="1"/>
  <c r="N97" i="50"/>
  <c r="G97" i="50"/>
  <c r="F97" i="50"/>
  <c r="U97" i="50" s="1"/>
  <c r="J157" i="57"/>
  <c r="H157" i="57"/>
  <c r="E157" i="57"/>
  <c r="C157" i="57"/>
  <c r="M157" i="57" s="1"/>
  <c r="I157" i="57"/>
  <c r="D157" i="57"/>
  <c r="F157" i="57"/>
  <c r="K157" i="57"/>
  <c r="G157" i="57"/>
  <c r="AN156" i="55" a="1"/>
  <c r="AN156" i="55"/>
  <c r="B158" i="57"/>
  <c r="C142" i="69"/>
  <c r="P142" i="69"/>
  <c r="D141" i="69"/>
  <c r="E141" i="69"/>
  <c r="F141" i="69"/>
  <c r="G141" i="69"/>
  <c r="H141" i="69"/>
  <c r="I141" i="69"/>
  <c r="J141" i="69"/>
  <c r="K141" i="69"/>
  <c r="M141" i="69"/>
  <c r="AE140" i="69"/>
  <c r="R140" i="69"/>
  <c r="S140" i="69"/>
  <c r="Y140" i="69"/>
  <c r="AR142" i="67" a="1"/>
  <c r="AR142" i="67"/>
  <c r="B143" i="69"/>
  <c r="L143" i="69"/>
  <c r="AP97" i="59" a="1"/>
  <c r="AP97" i="59"/>
  <c r="E98" i="50"/>
  <c r="B3" i="36"/>
  <c r="AG139" i="69"/>
  <c r="AP142" i="69"/>
  <c r="N142" i="69"/>
  <c r="U142" i="69"/>
  <c r="T98" i="50"/>
  <c r="O98" i="50"/>
  <c r="AF141" i="69"/>
  <c r="Q141" i="69"/>
  <c r="O158" i="57"/>
  <c r="AG158" i="57" s="1"/>
  <c r="P158" i="57"/>
  <c r="AB140" i="69"/>
  <c r="AG140" i="69"/>
  <c r="O143" i="69"/>
  <c r="AO142" i="69"/>
  <c r="AK98" i="50"/>
  <c r="AY141" i="69"/>
  <c r="L158" i="57"/>
  <c r="N158" i="57"/>
  <c r="AH141" i="69"/>
  <c r="K98" i="50"/>
  <c r="M98" i="50"/>
  <c r="A98" i="50"/>
  <c r="Q98" i="50" s="1"/>
  <c r="P98" i="50" s="1"/>
  <c r="G98" i="50"/>
  <c r="F98" i="50"/>
  <c r="U98" i="50" s="1"/>
  <c r="J98" i="50"/>
  <c r="I98" i="50"/>
  <c r="B98" i="50"/>
  <c r="R98" i="50" s="1"/>
  <c r="S98" i="50" s="1"/>
  <c r="L98" i="50"/>
  <c r="H98" i="50"/>
  <c r="N98" i="50"/>
  <c r="J158" i="57"/>
  <c r="D158" i="57"/>
  <c r="K158" i="57"/>
  <c r="F158" i="57"/>
  <c r="H158" i="57"/>
  <c r="C158" i="57"/>
  <c r="M158" i="57" s="1"/>
  <c r="I158" i="57"/>
  <c r="G158" i="57"/>
  <c r="E158" i="57"/>
  <c r="AN157" i="55" a="1"/>
  <c r="AN157" i="55"/>
  <c r="B159" i="57"/>
  <c r="AR143" i="67" a="1"/>
  <c r="AR143" i="67"/>
  <c r="B144" i="69"/>
  <c r="L144" i="69"/>
  <c r="AE141" i="69"/>
  <c r="R141" i="69"/>
  <c r="S141" i="69"/>
  <c r="Y141" i="69"/>
  <c r="D142" i="69"/>
  <c r="E142" i="69"/>
  <c r="F142" i="69"/>
  <c r="G142" i="69"/>
  <c r="H142" i="69"/>
  <c r="I142" i="69"/>
  <c r="J142" i="69"/>
  <c r="K142" i="69"/>
  <c r="M142" i="69"/>
  <c r="C143" i="69"/>
  <c r="P143" i="69"/>
  <c r="AP98" i="59" a="1"/>
  <c r="AP98" i="59"/>
  <c r="E99" i="50"/>
  <c r="E3" i="32"/>
  <c r="AP143" i="69"/>
  <c r="N143" i="69"/>
  <c r="U143" i="69"/>
  <c r="T99" i="50"/>
  <c r="O99" i="50"/>
  <c r="AF142" i="69"/>
  <c r="Q142" i="69"/>
  <c r="O159" i="57"/>
  <c r="P159" i="57"/>
  <c r="AC140" i="69"/>
  <c r="AD140" i="69"/>
  <c r="AB141" i="69"/>
  <c r="AG141" i="69"/>
  <c r="O144" i="69"/>
  <c r="AO143" i="69"/>
  <c r="AK99" i="50"/>
  <c r="AY142" i="69"/>
  <c r="L159" i="57"/>
  <c r="N159" i="57"/>
  <c r="AH142" i="69"/>
  <c r="K99" i="50"/>
  <c r="I99" i="50"/>
  <c r="N99" i="50"/>
  <c r="B99" i="50"/>
  <c r="R99" i="50" s="1"/>
  <c r="S99" i="50" s="1"/>
  <c r="Z99" i="50" s="1"/>
  <c r="J99" i="50"/>
  <c r="G99" i="50"/>
  <c r="M99" i="50"/>
  <c r="H99" i="50"/>
  <c r="A99" i="50"/>
  <c r="Q99" i="50" s="1"/>
  <c r="P99" i="50" s="1"/>
  <c r="L99" i="50"/>
  <c r="F99" i="50"/>
  <c r="AM99" i="50" s="1"/>
  <c r="D159" i="57"/>
  <c r="I159" i="57"/>
  <c r="F159" i="57"/>
  <c r="H159" i="57"/>
  <c r="K159" i="57"/>
  <c r="G159" i="57"/>
  <c r="C159" i="57"/>
  <c r="M159" i="57" s="1"/>
  <c r="J159" i="57"/>
  <c r="E159" i="57"/>
  <c r="AN158" i="55" a="1"/>
  <c r="AN158" i="55"/>
  <c r="B160" i="57"/>
  <c r="D143" i="69"/>
  <c r="E143" i="69"/>
  <c r="F143" i="69"/>
  <c r="G143" i="69"/>
  <c r="H143" i="69"/>
  <c r="I143" i="69"/>
  <c r="J143" i="69"/>
  <c r="K143" i="69"/>
  <c r="M143" i="69"/>
  <c r="C144" i="69"/>
  <c r="P144" i="69"/>
  <c r="AE142" i="69"/>
  <c r="R142" i="69"/>
  <c r="S142" i="69"/>
  <c r="Y142" i="69"/>
  <c r="AR144" i="67" a="1"/>
  <c r="AR144" i="67"/>
  <c r="B145" i="69"/>
  <c r="L145" i="69"/>
  <c r="AP99" i="59" a="1"/>
  <c r="AP99" i="59"/>
  <c r="E100" i="50"/>
  <c r="AB142" i="69"/>
  <c r="AC142" i="69"/>
  <c r="AD142" i="69"/>
  <c r="AP144" i="69"/>
  <c r="N144" i="69"/>
  <c r="U144" i="69"/>
  <c r="O100" i="50"/>
  <c r="T100" i="50"/>
  <c r="AF143" i="69"/>
  <c r="Q143" i="69"/>
  <c r="O160" i="57"/>
  <c r="AG160" i="57" s="1"/>
  <c r="P160" i="57"/>
  <c r="AC141" i="69"/>
  <c r="AD141" i="69"/>
  <c r="O145" i="69"/>
  <c r="AO144" i="69"/>
  <c r="AG142" i="69"/>
  <c r="AK100" i="50"/>
  <c r="AY143" i="69"/>
  <c r="L160" i="57"/>
  <c r="N160" i="57"/>
  <c r="AH143" i="69"/>
  <c r="I100" i="50"/>
  <c r="M100" i="50"/>
  <c r="K100" i="50"/>
  <c r="G100" i="50"/>
  <c r="B100" i="50"/>
  <c r="R100" i="50" s="1"/>
  <c r="S100" i="50" s="1"/>
  <c r="Z100" i="50" s="1"/>
  <c r="H100" i="50"/>
  <c r="A100" i="50"/>
  <c r="Q100" i="50" s="1"/>
  <c r="P100" i="50" s="1"/>
  <c r="J100" i="50"/>
  <c r="L100" i="50"/>
  <c r="N100" i="50"/>
  <c r="F100" i="50"/>
  <c r="U100" i="50" s="1"/>
  <c r="K160" i="57"/>
  <c r="J160" i="57"/>
  <c r="H160" i="57"/>
  <c r="F160" i="57"/>
  <c r="D160" i="57"/>
  <c r="C160" i="57"/>
  <c r="M160" i="57" s="1"/>
  <c r="AC160" i="57" s="1"/>
  <c r="I160" i="57"/>
  <c r="E160" i="57"/>
  <c r="G160" i="57"/>
  <c r="AN159" i="55" a="1"/>
  <c r="AN159" i="55"/>
  <c r="B161" i="57"/>
  <c r="C145" i="69"/>
  <c r="P145" i="69"/>
  <c r="AE143" i="69"/>
  <c r="R143" i="69"/>
  <c r="S143" i="69"/>
  <c r="AR145" i="67" a="1"/>
  <c r="AR145" i="67"/>
  <c r="B146" i="69"/>
  <c r="L146" i="69"/>
  <c r="D144" i="69"/>
  <c r="E144" i="69"/>
  <c r="F144" i="69"/>
  <c r="G144" i="69"/>
  <c r="H144" i="69"/>
  <c r="I144" i="69"/>
  <c r="J144" i="69"/>
  <c r="K144" i="69"/>
  <c r="M144" i="69"/>
  <c r="AP100" i="59" a="1"/>
  <c r="AP100" i="59"/>
  <c r="E101" i="50"/>
  <c r="Y143" i="69"/>
  <c r="AB143" i="69"/>
  <c r="AC143" i="69"/>
  <c r="AD143" i="69"/>
  <c r="AP145" i="69"/>
  <c r="N145" i="69"/>
  <c r="U145" i="69"/>
  <c r="O101" i="50"/>
  <c r="T101" i="50"/>
  <c r="AF144" i="69"/>
  <c r="Q144" i="69"/>
  <c r="O161" i="57"/>
  <c r="AG161" i="57" s="1"/>
  <c r="P161" i="57"/>
  <c r="O146" i="69"/>
  <c r="AO145" i="69"/>
  <c r="AK101" i="50"/>
  <c r="AY144" i="69"/>
  <c r="L161" i="57"/>
  <c r="N161" i="57"/>
  <c r="AH144" i="69"/>
  <c r="J101" i="50"/>
  <c r="M101" i="50"/>
  <c r="I101" i="50"/>
  <c r="G101" i="50"/>
  <c r="F101" i="50"/>
  <c r="AM101" i="50" s="1"/>
  <c r="L101" i="50"/>
  <c r="N101" i="50"/>
  <c r="B101" i="50"/>
  <c r="R101" i="50" s="1"/>
  <c r="S101" i="50" s="1"/>
  <c r="AJ101" i="50" s="1"/>
  <c r="H101" i="50"/>
  <c r="K101" i="50"/>
  <c r="A101" i="50"/>
  <c r="Q101" i="50" s="1"/>
  <c r="P101" i="50" s="1"/>
  <c r="J161" i="57"/>
  <c r="E161" i="57"/>
  <c r="K161" i="57"/>
  <c r="G161" i="57"/>
  <c r="C161" i="57"/>
  <c r="M161" i="57" s="1"/>
  <c r="F161" i="57"/>
  <c r="I161" i="57"/>
  <c r="H161" i="57"/>
  <c r="D161" i="57"/>
  <c r="AN160" i="55" a="1"/>
  <c r="AN160" i="55"/>
  <c r="B162" i="57"/>
  <c r="AE144" i="69"/>
  <c r="R144" i="69"/>
  <c r="S144" i="69"/>
  <c r="Y144" i="69"/>
  <c r="C146" i="69"/>
  <c r="P146" i="69"/>
  <c r="D145" i="69"/>
  <c r="E145" i="69"/>
  <c r="F145" i="69"/>
  <c r="G145" i="69"/>
  <c r="H145" i="69"/>
  <c r="I145" i="69"/>
  <c r="J145" i="69"/>
  <c r="K145" i="69"/>
  <c r="M145" i="69"/>
  <c r="AR146" i="67" a="1"/>
  <c r="AR146" i="67"/>
  <c r="B147" i="69"/>
  <c r="L147" i="69"/>
  <c r="AP101" i="59" a="1"/>
  <c r="AP101" i="59"/>
  <c r="E102" i="50"/>
  <c r="E3" i="50"/>
  <c r="AG143" i="69"/>
  <c r="AP146" i="69"/>
  <c r="N146" i="69"/>
  <c r="U146" i="69"/>
  <c r="T102" i="50"/>
  <c r="O102" i="50"/>
  <c r="AF145" i="69"/>
  <c r="Q145" i="69"/>
  <c r="O162" i="57"/>
  <c r="AG162" i="57" s="1"/>
  <c r="P162" i="57"/>
  <c r="AB144" i="69"/>
  <c r="AG144" i="69"/>
  <c r="AO146" i="69"/>
  <c r="O147" i="69"/>
  <c r="AK102" i="50"/>
  <c r="AY145" i="69"/>
  <c r="L162" i="57"/>
  <c r="N162" i="57"/>
  <c r="AH145" i="69"/>
  <c r="I102" i="50"/>
  <c r="N102" i="50"/>
  <c r="F102" i="50"/>
  <c r="U102" i="50" s="1"/>
  <c r="J102" i="50"/>
  <c r="K102" i="50"/>
  <c r="H102" i="50"/>
  <c r="A102" i="50"/>
  <c r="Q102" i="50" s="1"/>
  <c r="P102" i="50" s="1"/>
  <c r="G102" i="50"/>
  <c r="B102" i="50"/>
  <c r="R102" i="50" s="1"/>
  <c r="S102" i="50" s="1"/>
  <c r="V102" i="50" s="1"/>
  <c r="M102" i="50"/>
  <c r="L102" i="50"/>
  <c r="J162" i="57"/>
  <c r="G162" i="57"/>
  <c r="D162" i="57"/>
  <c r="I162" i="57"/>
  <c r="E162" i="57"/>
  <c r="H162" i="57"/>
  <c r="C162" i="57"/>
  <c r="M162" i="57" s="1"/>
  <c r="AC162" i="57" s="1"/>
  <c r="K162" i="57"/>
  <c r="F162" i="57"/>
  <c r="AN161" i="55" a="1"/>
  <c r="AN161" i="55"/>
  <c r="B163" i="57"/>
  <c r="R145" i="69"/>
  <c r="S145" i="69"/>
  <c r="Y145" i="69"/>
  <c r="AE145" i="69"/>
  <c r="D146" i="69"/>
  <c r="E146" i="69"/>
  <c r="F146" i="69"/>
  <c r="G146" i="69"/>
  <c r="H146" i="69"/>
  <c r="I146" i="69"/>
  <c r="J146" i="69"/>
  <c r="K146" i="69"/>
  <c r="M146" i="69"/>
  <c r="C147" i="69"/>
  <c r="P147" i="69"/>
  <c r="AR147" i="67" a="1"/>
  <c r="AR147" i="67"/>
  <c r="B148" i="69"/>
  <c r="L148" i="69"/>
  <c r="AP102" i="59" a="1"/>
  <c r="AP102" i="59"/>
  <c r="E103" i="50"/>
  <c r="D3" i="11"/>
  <c r="AP147" i="69"/>
  <c r="N147" i="69"/>
  <c r="U147" i="69"/>
  <c r="T103" i="50"/>
  <c r="O103" i="50"/>
  <c r="AF146" i="69"/>
  <c r="Q146" i="69"/>
  <c r="O163" i="57"/>
  <c r="AG163" i="57" s="1"/>
  <c r="P163" i="57"/>
  <c r="AC144" i="69"/>
  <c r="AD144" i="69"/>
  <c r="AB145" i="69"/>
  <c r="AG145" i="69"/>
  <c r="AO147" i="69"/>
  <c r="O148" i="69"/>
  <c r="AK103" i="50"/>
  <c r="AY146" i="69"/>
  <c r="L163" i="57"/>
  <c r="N163" i="57"/>
  <c r="AH146" i="69"/>
  <c r="L103" i="50"/>
  <c r="N103" i="50"/>
  <c r="A103" i="50"/>
  <c r="Q103" i="50" s="1"/>
  <c r="P103" i="50" s="1"/>
  <c r="J103" i="50"/>
  <c r="M103" i="50"/>
  <c r="B103" i="50"/>
  <c r="R103" i="50" s="1"/>
  <c r="S103" i="50" s="1"/>
  <c r="AJ103" i="50" s="1"/>
  <c r="F103" i="50"/>
  <c r="U103" i="50" s="1"/>
  <c r="K103" i="50"/>
  <c r="G103" i="50"/>
  <c r="I103" i="50"/>
  <c r="H103" i="50"/>
  <c r="I163" i="57"/>
  <c r="F163" i="57"/>
  <c r="E163" i="57"/>
  <c r="D163" i="57"/>
  <c r="J163" i="57"/>
  <c r="H163" i="57"/>
  <c r="G163" i="57"/>
  <c r="C163" i="57"/>
  <c r="M163" i="57" s="1"/>
  <c r="AJ163" i="57" s="1"/>
  <c r="K163" i="57"/>
  <c r="AN162" i="55" a="1"/>
  <c r="AN162" i="55"/>
  <c r="B164" i="57"/>
  <c r="C148" i="69"/>
  <c r="P148" i="69"/>
  <c r="AR148" i="67" a="1"/>
  <c r="AR148" i="67"/>
  <c r="B149" i="69"/>
  <c r="L149" i="69"/>
  <c r="D147" i="69"/>
  <c r="E147" i="69"/>
  <c r="F147" i="69"/>
  <c r="G147" i="69"/>
  <c r="H147" i="69"/>
  <c r="I147" i="69"/>
  <c r="J147" i="69"/>
  <c r="K147" i="69"/>
  <c r="M147" i="69"/>
  <c r="AE146" i="69"/>
  <c r="R146" i="69"/>
  <c r="S146" i="69"/>
  <c r="Y146" i="69"/>
  <c r="AP103" i="59" a="1"/>
  <c r="AP103" i="59"/>
  <c r="E104" i="50"/>
  <c r="AP148" i="69"/>
  <c r="N148" i="69"/>
  <c r="U148" i="69"/>
  <c r="O104" i="50"/>
  <c r="T104" i="50"/>
  <c r="AF147" i="69"/>
  <c r="Q147" i="69"/>
  <c r="O164" i="57"/>
  <c r="AG164" i="57" s="1"/>
  <c r="P164" i="57"/>
  <c r="AC145" i="69"/>
  <c r="AD145" i="69"/>
  <c r="AB146" i="69"/>
  <c r="AG146" i="69"/>
  <c r="AO148" i="69"/>
  <c r="O149" i="69"/>
  <c r="AK104" i="50"/>
  <c r="AY147" i="69"/>
  <c r="L164" i="57"/>
  <c r="N164" i="57"/>
  <c r="AH147" i="69"/>
  <c r="G104" i="50"/>
  <c r="M104" i="50"/>
  <c r="B104" i="50"/>
  <c r="R104" i="50" s="1"/>
  <c r="S104" i="50" s="1"/>
  <c r="I104" i="50"/>
  <c r="N104" i="50"/>
  <c r="K104" i="50"/>
  <c r="L104" i="50"/>
  <c r="F104" i="50"/>
  <c r="H104" i="50"/>
  <c r="A104" i="50"/>
  <c r="Q104" i="50" s="1"/>
  <c r="P104" i="50" s="1"/>
  <c r="J104" i="50"/>
  <c r="K164" i="57"/>
  <c r="H164" i="57"/>
  <c r="F164" i="57"/>
  <c r="C164" i="57"/>
  <c r="M164" i="57" s="1"/>
  <c r="AJ164" i="57" s="1"/>
  <c r="I164" i="57"/>
  <c r="E164" i="57"/>
  <c r="G164" i="57"/>
  <c r="D164" i="57"/>
  <c r="J164" i="57"/>
  <c r="AN163" i="55" a="1"/>
  <c r="AN163" i="55"/>
  <c r="B165" i="57"/>
  <c r="AR149" i="67" a="1"/>
  <c r="AR149" i="67"/>
  <c r="B150" i="69"/>
  <c r="L150" i="69"/>
  <c r="D148" i="69"/>
  <c r="E148" i="69"/>
  <c r="F148" i="69"/>
  <c r="G148" i="69"/>
  <c r="H148" i="69"/>
  <c r="I148" i="69"/>
  <c r="J148" i="69"/>
  <c r="K148" i="69"/>
  <c r="M148" i="69"/>
  <c r="AE147" i="69"/>
  <c r="R147" i="69"/>
  <c r="S147" i="69"/>
  <c r="Y147" i="69"/>
  <c r="C149" i="69"/>
  <c r="P149" i="69"/>
  <c r="AP104" i="59" a="1"/>
  <c r="AP104" i="59"/>
  <c r="E105" i="50"/>
  <c r="AP149" i="69"/>
  <c r="N149" i="69"/>
  <c r="U149" i="69"/>
  <c r="O105" i="50"/>
  <c r="T105" i="50"/>
  <c r="AF148" i="69"/>
  <c r="Q148" i="69"/>
  <c r="O165" i="57"/>
  <c r="AG165" i="57" s="1"/>
  <c r="P165" i="57"/>
  <c r="AC146" i="69"/>
  <c r="AD146" i="69"/>
  <c r="AB147" i="69"/>
  <c r="AG147" i="69"/>
  <c r="O150" i="69"/>
  <c r="AO149" i="69"/>
  <c r="AK105" i="50"/>
  <c r="AY148" i="69"/>
  <c r="L165" i="57"/>
  <c r="N165" i="57"/>
  <c r="AH148" i="69"/>
  <c r="H105" i="50"/>
  <c r="I105" i="50"/>
  <c r="J105" i="50"/>
  <c r="B105" i="50"/>
  <c r="R105" i="50" s="1"/>
  <c r="S105" i="50" s="1"/>
  <c r="L105" i="50"/>
  <c r="M105" i="50"/>
  <c r="A105" i="50"/>
  <c r="Q105" i="50" s="1"/>
  <c r="P105" i="50" s="1"/>
  <c r="G105" i="50"/>
  <c r="F105" i="50"/>
  <c r="AM105" i="50" s="1"/>
  <c r="K105" i="50"/>
  <c r="N105" i="50"/>
  <c r="H165" i="57"/>
  <c r="E165" i="57"/>
  <c r="J165" i="57"/>
  <c r="F165" i="57"/>
  <c r="K165" i="57"/>
  <c r="G165" i="57"/>
  <c r="C165" i="57"/>
  <c r="M165" i="57" s="1"/>
  <c r="I165" i="57"/>
  <c r="D165" i="57"/>
  <c r="AN164" i="55" a="1"/>
  <c r="AN164" i="55"/>
  <c r="B166" i="57"/>
  <c r="AR150" i="67" a="1"/>
  <c r="AR150" i="67"/>
  <c r="B151" i="69"/>
  <c r="L151" i="69"/>
  <c r="AE148" i="69"/>
  <c r="R148" i="69"/>
  <c r="S148" i="69"/>
  <c r="Y148" i="69"/>
  <c r="D149" i="69"/>
  <c r="E149" i="69"/>
  <c r="F149" i="69"/>
  <c r="G149" i="69"/>
  <c r="H149" i="69"/>
  <c r="I149" i="69"/>
  <c r="J149" i="69"/>
  <c r="K149" i="69"/>
  <c r="M149" i="69"/>
  <c r="C150" i="69"/>
  <c r="P150" i="69"/>
  <c r="AP105" i="59" a="1"/>
  <c r="AP105" i="59"/>
  <c r="E106" i="50"/>
  <c r="AP150" i="69"/>
  <c r="N150" i="69"/>
  <c r="U150" i="69"/>
  <c r="T106" i="50"/>
  <c r="O106" i="50"/>
  <c r="AF149" i="69"/>
  <c r="Q149" i="69"/>
  <c r="O166" i="57"/>
  <c r="AG166" i="57" s="1"/>
  <c r="P166" i="57"/>
  <c r="AC147" i="69"/>
  <c r="AD147" i="69"/>
  <c r="AB148" i="69"/>
  <c r="AG148" i="69"/>
  <c r="AO150" i="69"/>
  <c r="O151" i="69"/>
  <c r="AK106" i="50"/>
  <c r="AY149" i="69"/>
  <c r="L166" i="57"/>
  <c r="N166" i="57"/>
  <c r="AH149" i="69"/>
  <c r="K106" i="50"/>
  <c r="A106" i="50"/>
  <c r="Q106" i="50" s="1"/>
  <c r="P106" i="50" s="1"/>
  <c r="M106" i="50"/>
  <c r="G106" i="50"/>
  <c r="F106" i="50"/>
  <c r="U106" i="50" s="1"/>
  <c r="N106" i="50"/>
  <c r="J106" i="50"/>
  <c r="L106" i="50"/>
  <c r="H106" i="50"/>
  <c r="B106" i="50"/>
  <c r="R106" i="50" s="1"/>
  <c r="S106" i="50" s="1"/>
  <c r="I106" i="50"/>
  <c r="J166" i="57"/>
  <c r="D166" i="57"/>
  <c r="F166" i="57"/>
  <c r="H166" i="57"/>
  <c r="G166" i="57"/>
  <c r="C166" i="57"/>
  <c r="M166" i="57" s="1"/>
  <c r="I166" i="57"/>
  <c r="E166" i="57"/>
  <c r="K166" i="57"/>
  <c r="AN165" i="55" a="1"/>
  <c r="AN165" i="55"/>
  <c r="B167" i="57"/>
  <c r="AR151" i="67" a="1"/>
  <c r="AR151" i="67"/>
  <c r="B152" i="69"/>
  <c r="L152" i="69"/>
  <c r="R149" i="69"/>
  <c r="S149" i="69"/>
  <c r="Y149" i="69"/>
  <c r="AE149" i="69"/>
  <c r="C151" i="69"/>
  <c r="P151" i="69"/>
  <c r="D150" i="69"/>
  <c r="E150" i="69"/>
  <c r="F150" i="69"/>
  <c r="G150" i="69"/>
  <c r="H150" i="69"/>
  <c r="I150" i="69"/>
  <c r="J150" i="69"/>
  <c r="K150" i="69"/>
  <c r="M150" i="69"/>
  <c r="AP106" i="59" a="1"/>
  <c r="AP106" i="59"/>
  <c r="E107" i="50"/>
  <c r="G4" i="22"/>
  <c r="L8" i="29"/>
  <c r="L5" i="29"/>
  <c r="L4" i="29"/>
  <c r="L3" i="29"/>
  <c r="AP151" i="69"/>
  <c r="N151" i="69"/>
  <c r="U151" i="69"/>
  <c r="T107" i="50"/>
  <c r="O107" i="50"/>
  <c r="AF150" i="69"/>
  <c r="Q150" i="69"/>
  <c r="O167" i="57"/>
  <c r="AG167" i="57" s="1"/>
  <c r="P167" i="57"/>
  <c r="AC148" i="69"/>
  <c r="AD148" i="69"/>
  <c r="AB149" i="69"/>
  <c r="AG149" i="69"/>
  <c r="AO151" i="69"/>
  <c r="O152" i="69"/>
  <c r="AK107" i="50"/>
  <c r="AY150" i="69"/>
  <c r="L167" i="57"/>
  <c r="N167" i="57"/>
  <c r="AH150" i="69"/>
  <c r="H107" i="50"/>
  <c r="A107" i="50"/>
  <c r="Q107" i="50" s="1"/>
  <c r="P107" i="50" s="1"/>
  <c r="B107" i="50"/>
  <c r="R107" i="50" s="1"/>
  <c r="S107" i="50" s="1"/>
  <c r="W107" i="50" s="1"/>
  <c r="X107" i="50" s="1"/>
  <c r="J107" i="50"/>
  <c r="G107" i="50"/>
  <c r="F107" i="50"/>
  <c r="K107" i="50"/>
  <c r="N107" i="50"/>
  <c r="I107" i="50"/>
  <c r="M107" i="50"/>
  <c r="L107" i="50"/>
  <c r="I167" i="57"/>
  <c r="F167" i="57"/>
  <c r="D167" i="57"/>
  <c r="C167" i="57"/>
  <c r="M167" i="57" s="1"/>
  <c r="Q167" i="57" s="1"/>
  <c r="T167" i="57" s="1"/>
  <c r="H167" i="57"/>
  <c r="K167" i="57"/>
  <c r="G167" i="57"/>
  <c r="E167" i="57"/>
  <c r="J167" i="57"/>
  <c r="AN166" i="55" a="1"/>
  <c r="AN166" i="55"/>
  <c r="B168" i="57"/>
  <c r="AR152" i="67" a="1"/>
  <c r="AR152" i="67"/>
  <c r="B153" i="69"/>
  <c r="L153" i="69"/>
  <c r="C152" i="69"/>
  <c r="P152" i="69"/>
  <c r="R150" i="69"/>
  <c r="S150" i="69"/>
  <c r="Y150" i="69"/>
  <c r="AE150" i="69"/>
  <c r="D151" i="69"/>
  <c r="E151" i="69"/>
  <c r="F151" i="69"/>
  <c r="G151" i="69"/>
  <c r="H151" i="69"/>
  <c r="I151" i="69"/>
  <c r="J151" i="69"/>
  <c r="K151" i="69"/>
  <c r="M151" i="69"/>
  <c r="AW79" i="22"/>
  <c r="AK4" i="22"/>
  <c r="C39" i="36" s="1"/>
  <c r="C78" i="36" s="1"/>
  <c r="AP107" i="59" a="1"/>
  <c r="AP107" i="59"/>
  <c r="E108" i="50"/>
  <c r="AP152" i="69"/>
  <c r="N152" i="69"/>
  <c r="U152" i="69"/>
  <c r="T108" i="50"/>
  <c r="O108" i="50"/>
  <c r="AF151" i="69"/>
  <c r="Q151" i="69"/>
  <c r="O168" i="57"/>
  <c r="P168" i="57"/>
  <c r="AC149" i="69"/>
  <c r="AD149" i="69"/>
  <c r="AB150" i="69"/>
  <c r="AG150" i="69"/>
  <c r="AO152" i="69"/>
  <c r="O153" i="69"/>
  <c r="AK108" i="50"/>
  <c r="AY151" i="69"/>
  <c r="L168" i="57"/>
  <c r="N168" i="57"/>
  <c r="AH151" i="69"/>
  <c r="K108" i="50"/>
  <c r="M108" i="50"/>
  <c r="I108" i="50"/>
  <c r="G108" i="50"/>
  <c r="B108" i="50"/>
  <c r="R108" i="50" s="1"/>
  <c r="S108" i="50" s="1"/>
  <c r="W108" i="50" s="1"/>
  <c r="X108" i="50" s="1"/>
  <c r="L108" i="50"/>
  <c r="F108" i="50"/>
  <c r="H108" i="50"/>
  <c r="J108" i="50"/>
  <c r="A108" i="50"/>
  <c r="Q108" i="50" s="1"/>
  <c r="P108" i="50" s="1"/>
  <c r="N108" i="50"/>
  <c r="H168" i="57"/>
  <c r="F168" i="57"/>
  <c r="D168" i="57"/>
  <c r="C168" i="57"/>
  <c r="M168" i="57" s="1"/>
  <c r="K168" i="57"/>
  <c r="J168" i="57"/>
  <c r="E168" i="57"/>
  <c r="G168" i="57"/>
  <c r="I168" i="57"/>
  <c r="AN167" i="55" a="1"/>
  <c r="AN167" i="55"/>
  <c r="B169" i="57"/>
  <c r="C153" i="69"/>
  <c r="P153" i="69"/>
  <c r="AE151" i="69"/>
  <c r="R151" i="69"/>
  <c r="S151" i="69"/>
  <c r="Y151" i="69"/>
  <c r="D152" i="69"/>
  <c r="E152" i="69"/>
  <c r="F152" i="69"/>
  <c r="G152" i="69"/>
  <c r="H152" i="69"/>
  <c r="I152" i="69"/>
  <c r="J152" i="69"/>
  <c r="K152" i="69"/>
  <c r="M152" i="69"/>
  <c r="AR153" i="67" a="1"/>
  <c r="AR153" i="67"/>
  <c r="B154" i="69"/>
  <c r="L154" i="69"/>
  <c r="AP108" i="59" a="1"/>
  <c r="AP108" i="59"/>
  <c r="E109" i="50"/>
  <c r="AP153" i="69"/>
  <c r="N153" i="69"/>
  <c r="U153" i="69"/>
  <c r="T109" i="50"/>
  <c r="O109" i="50"/>
  <c r="AF152" i="69"/>
  <c r="Q152" i="69"/>
  <c r="O169" i="57"/>
  <c r="AG169" i="57" s="1"/>
  <c r="P169" i="57"/>
  <c r="AC150" i="69"/>
  <c r="AD150" i="69"/>
  <c r="AB151" i="69"/>
  <c r="AG151" i="69"/>
  <c r="AO153" i="69"/>
  <c r="O154" i="69"/>
  <c r="AK109" i="50"/>
  <c r="AY152" i="69"/>
  <c r="L169" i="57"/>
  <c r="N169" i="57"/>
  <c r="AH152" i="69"/>
  <c r="N109" i="50"/>
  <c r="M109" i="50"/>
  <c r="F109" i="50"/>
  <c r="G109" i="50"/>
  <c r="H109" i="50"/>
  <c r="L109" i="50"/>
  <c r="B109" i="50"/>
  <c r="R109" i="50" s="1"/>
  <c r="S109" i="50" s="1"/>
  <c r="J109" i="50"/>
  <c r="I109" i="50"/>
  <c r="A109" i="50"/>
  <c r="Q109" i="50" s="1"/>
  <c r="P109" i="50" s="1"/>
  <c r="K109" i="50"/>
  <c r="J169" i="57"/>
  <c r="E169" i="57"/>
  <c r="C169" i="57"/>
  <c r="M169" i="57" s="1"/>
  <c r="F169" i="57"/>
  <c r="H169" i="57"/>
  <c r="I169" i="57"/>
  <c r="D169" i="57"/>
  <c r="K169" i="57"/>
  <c r="G169" i="57"/>
  <c r="AN168" i="55" a="1"/>
  <c r="AN168" i="55"/>
  <c r="B170" i="57"/>
  <c r="AR154" i="67" a="1"/>
  <c r="AR154" i="67"/>
  <c r="B155" i="69"/>
  <c r="L155" i="69"/>
  <c r="AE152" i="69"/>
  <c r="R152" i="69"/>
  <c r="S152" i="69"/>
  <c r="Y152" i="69"/>
  <c r="C154" i="69"/>
  <c r="P154" i="69"/>
  <c r="D153" i="69"/>
  <c r="E153" i="69"/>
  <c r="F153" i="69"/>
  <c r="G153" i="69"/>
  <c r="H153" i="69"/>
  <c r="I153" i="69"/>
  <c r="J153" i="69"/>
  <c r="K153" i="69"/>
  <c r="M153" i="69"/>
  <c r="AP109" i="59" a="1"/>
  <c r="AP109" i="59"/>
  <c r="E110" i="50"/>
  <c r="AP154" i="69"/>
  <c r="N154" i="69"/>
  <c r="U154" i="69"/>
  <c r="T110" i="50"/>
  <c r="O110" i="50"/>
  <c r="AF153" i="69"/>
  <c r="Q153" i="69"/>
  <c r="O170" i="57"/>
  <c r="P170" i="57"/>
  <c r="AC151" i="69"/>
  <c r="AD151" i="69"/>
  <c r="AB152" i="69"/>
  <c r="AG152" i="69"/>
  <c r="AO154" i="69"/>
  <c r="O155" i="69"/>
  <c r="AK110" i="50"/>
  <c r="AY153" i="69"/>
  <c r="L170" i="57"/>
  <c r="N170" i="57"/>
  <c r="AH153" i="69"/>
  <c r="A110" i="50"/>
  <c r="Q110" i="50" s="1"/>
  <c r="P110" i="50" s="1"/>
  <c r="N110" i="50"/>
  <c r="J110" i="50"/>
  <c r="K110" i="50"/>
  <c r="F110" i="50"/>
  <c r="U110" i="50" s="1"/>
  <c r="I110" i="50"/>
  <c r="H110" i="50"/>
  <c r="G110" i="50"/>
  <c r="M110" i="50"/>
  <c r="L110" i="50"/>
  <c r="B110" i="50"/>
  <c r="R110" i="50" s="1"/>
  <c r="S110" i="50" s="1"/>
  <c r="C110" i="50" s="1"/>
  <c r="J170" i="57"/>
  <c r="G170" i="57"/>
  <c r="D170" i="57"/>
  <c r="H170" i="57"/>
  <c r="C170" i="57"/>
  <c r="M170" i="57" s="1"/>
  <c r="Q170" i="57" s="1"/>
  <c r="T170" i="57" s="1"/>
  <c r="I170" i="57"/>
  <c r="F170" i="57"/>
  <c r="E170" i="57"/>
  <c r="K170" i="57"/>
  <c r="AN169" i="55" a="1"/>
  <c r="AN169" i="55"/>
  <c r="B171" i="57"/>
  <c r="C155" i="69"/>
  <c r="P155" i="69"/>
  <c r="D154" i="69"/>
  <c r="E154" i="69"/>
  <c r="F154" i="69"/>
  <c r="G154" i="69"/>
  <c r="H154" i="69"/>
  <c r="I154" i="69"/>
  <c r="J154" i="69"/>
  <c r="K154" i="69"/>
  <c r="M154" i="69"/>
  <c r="AE153" i="69"/>
  <c r="R153" i="69"/>
  <c r="S153" i="69"/>
  <c r="Y153" i="69"/>
  <c r="AR155" i="67" a="1"/>
  <c r="AR155" i="67"/>
  <c r="B156" i="69"/>
  <c r="L156" i="69"/>
  <c r="AP110" i="59" a="1"/>
  <c r="AP110" i="59"/>
  <c r="E111" i="50"/>
  <c r="AP155" i="69"/>
  <c r="N155" i="69"/>
  <c r="U155" i="69"/>
  <c r="T111" i="50"/>
  <c r="O111" i="50"/>
  <c r="AF154" i="69"/>
  <c r="Q154" i="69"/>
  <c r="O171" i="57"/>
  <c r="AG171" i="57" s="1"/>
  <c r="P171" i="57"/>
  <c r="AC152" i="69"/>
  <c r="AD152" i="69"/>
  <c r="AB153" i="69"/>
  <c r="AG153" i="69"/>
  <c r="O156" i="69"/>
  <c r="AO155" i="69"/>
  <c r="AK111" i="50"/>
  <c r="AY154" i="69"/>
  <c r="L171" i="57"/>
  <c r="N171" i="57"/>
  <c r="AH154" i="69"/>
  <c r="A111" i="50"/>
  <c r="Q111" i="50" s="1"/>
  <c r="P111" i="50" s="1"/>
  <c r="M111" i="50"/>
  <c r="J111" i="50"/>
  <c r="L111" i="50"/>
  <c r="N111" i="50"/>
  <c r="F111" i="50"/>
  <c r="AM111" i="50" s="1"/>
  <c r="G111" i="50"/>
  <c r="B111" i="50"/>
  <c r="R111" i="50" s="1"/>
  <c r="S111" i="50" s="1"/>
  <c r="K111" i="50"/>
  <c r="I111" i="50"/>
  <c r="H111" i="50"/>
  <c r="H171" i="57"/>
  <c r="D171" i="57"/>
  <c r="J171" i="57"/>
  <c r="K171" i="57"/>
  <c r="G171" i="57"/>
  <c r="C171" i="57"/>
  <c r="M171" i="57" s="1"/>
  <c r="I171" i="57"/>
  <c r="F171" i="57"/>
  <c r="E171" i="57"/>
  <c r="AN170" i="55" a="1"/>
  <c r="AN170" i="55"/>
  <c r="B172" i="57"/>
  <c r="AR156" i="67" a="1"/>
  <c r="AR156" i="67"/>
  <c r="B157" i="69"/>
  <c r="L157" i="69"/>
  <c r="D155" i="69"/>
  <c r="E155" i="69"/>
  <c r="F155" i="69"/>
  <c r="G155" i="69"/>
  <c r="H155" i="69"/>
  <c r="I155" i="69"/>
  <c r="J155" i="69"/>
  <c r="K155" i="69"/>
  <c r="M155" i="69"/>
  <c r="C156" i="69"/>
  <c r="P156" i="69"/>
  <c r="R154" i="69"/>
  <c r="S154" i="69"/>
  <c r="Y154" i="69"/>
  <c r="AE154" i="69"/>
  <c r="AP111" i="59" a="1"/>
  <c r="AP111" i="59"/>
  <c r="E112" i="50"/>
  <c r="AP156" i="69"/>
  <c r="N156" i="69"/>
  <c r="U156" i="69"/>
  <c r="T112" i="50"/>
  <c r="O112" i="50"/>
  <c r="AF155" i="69"/>
  <c r="Q155" i="69"/>
  <c r="O172" i="57"/>
  <c r="AG172" i="57" s="1"/>
  <c r="P172" i="57"/>
  <c r="AC153" i="69"/>
  <c r="AD153" i="69"/>
  <c r="AB154" i="69"/>
  <c r="AG154" i="69"/>
  <c r="O157" i="69"/>
  <c r="AO156" i="69"/>
  <c r="AK112" i="50"/>
  <c r="AY155" i="69"/>
  <c r="L172" i="57"/>
  <c r="N172" i="57"/>
  <c r="AH155" i="69"/>
  <c r="G112" i="50"/>
  <c r="I112" i="50"/>
  <c r="M112" i="50"/>
  <c r="L112" i="50"/>
  <c r="J112" i="50"/>
  <c r="H112" i="50"/>
  <c r="A112" i="50"/>
  <c r="Q112" i="50" s="1"/>
  <c r="P112" i="50" s="1"/>
  <c r="B112" i="50"/>
  <c r="R112" i="50" s="1"/>
  <c r="S112" i="50" s="1"/>
  <c r="AJ112" i="50" s="1"/>
  <c r="N112" i="50"/>
  <c r="F112" i="50"/>
  <c r="AM112" i="50" s="1"/>
  <c r="K112" i="50"/>
  <c r="F172" i="57"/>
  <c r="K172" i="57"/>
  <c r="J172" i="57"/>
  <c r="E172" i="57"/>
  <c r="G172" i="57"/>
  <c r="C172" i="57"/>
  <c r="M172" i="57" s="1"/>
  <c r="AQ172" i="57" s="1"/>
  <c r="I172" i="57"/>
  <c r="D172" i="57"/>
  <c r="H172" i="57"/>
  <c r="AN171" i="55" a="1"/>
  <c r="AN171" i="55"/>
  <c r="B173" i="57"/>
  <c r="AR157" i="67" a="1"/>
  <c r="AR157" i="67"/>
  <c r="B158" i="69"/>
  <c r="L158" i="69"/>
  <c r="AE155" i="69"/>
  <c r="R155" i="69"/>
  <c r="S155" i="69"/>
  <c r="Y155" i="69"/>
  <c r="D156" i="69"/>
  <c r="E156" i="69"/>
  <c r="F156" i="69"/>
  <c r="G156" i="69"/>
  <c r="H156" i="69"/>
  <c r="I156" i="69"/>
  <c r="J156" i="69"/>
  <c r="K156" i="69"/>
  <c r="M156" i="69"/>
  <c r="C157" i="69"/>
  <c r="P157" i="69"/>
  <c r="AP112" i="59" a="1"/>
  <c r="AP112" i="59"/>
  <c r="E113" i="50"/>
  <c r="AP157" i="69"/>
  <c r="N157" i="69"/>
  <c r="U157" i="69"/>
  <c r="O113" i="50"/>
  <c r="T113" i="50"/>
  <c r="AF156" i="69"/>
  <c r="Q156" i="69"/>
  <c r="O173" i="57"/>
  <c r="AG173" i="57" s="1"/>
  <c r="P173" i="57"/>
  <c r="AC154" i="69"/>
  <c r="AD154" i="69"/>
  <c r="AB155" i="69"/>
  <c r="AG155" i="69"/>
  <c r="O158" i="69"/>
  <c r="AO157" i="69"/>
  <c r="AK113" i="50"/>
  <c r="AY156" i="69"/>
  <c r="L173" i="57"/>
  <c r="N173" i="57"/>
  <c r="AH156" i="69"/>
  <c r="I113" i="50"/>
  <c r="M113" i="50"/>
  <c r="L113" i="50"/>
  <c r="J113" i="50"/>
  <c r="H113" i="50"/>
  <c r="B113" i="50"/>
  <c r="R113" i="50" s="1"/>
  <c r="S113" i="50" s="1"/>
  <c r="K113" i="50"/>
  <c r="F113" i="50"/>
  <c r="AM113" i="50" s="1"/>
  <c r="G113" i="50"/>
  <c r="N113" i="50"/>
  <c r="A113" i="50"/>
  <c r="Q113" i="50" s="1"/>
  <c r="P113" i="50" s="1"/>
  <c r="E173" i="57"/>
  <c r="J173" i="57"/>
  <c r="F173" i="57"/>
  <c r="K173" i="57"/>
  <c r="G173" i="57"/>
  <c r="C173" i="57"/>
  <c r="M173" i="57" s="1"/>
  <c r="I173" i="57"/>
  <c r="H173" i="57"/>
  <c r="D173" i="57"/>
  <c r="AN172" i="55" a="1"/>
  <c r="AN172" i="55"/>
  <c r="B174" i="57"/>
  <c r="AR158" i="67" a="1"/>
  <c r="AR158" i="67"/>
  <c r="B159" i="69"/>
  <c r="L159" i="69"/>
  <c r="R156" i="69"/>
  <c r="S156" i="69"/>
  <c r="Y156" i="69"/>
  <c r="AE156" i="69"/>
  <c r="C158" i="69"/>
  <c r="P158" i="69"/>
  <c r="D157" i="69"/>
  <c r="E157" i="69"/>
  <c r="F157" i="69"/>
  <c r="G157" i="69"/>
  <c r="H157" i="69"/>
  <c r="I157" i="69"/>
  <c r="J157" i="69"/>
  <c r="K157" i="69"/>
  <c r="M157" i="69"/>
  <c r="AP113" i="59" a="1"/>
  <c r="AP113" i="59"/>
  <c r="E114" i="50"/>
  <c r="AP158" i="69"/>
  <c r="N158" i="69"/>
  <c r="U158" i="69"/>
  <c r="T114" i="50"/>
  <c r="O114" i="50"/>
  <c r="AF157" i="69"/>
  <c r="Q157" i="69"/>
  <c r="O174" i="57"/>
  <c r="AG174" i="57" s="1"/>
  <c r="P174" i="57"/>
  <c r="AC155" i="69"/>
  <c r="AD155" i="69"/>
  <c r="AB156" i="69"/>
  <c r="AG156" i="69"/>
  <c r="O159" i="69"/>
  <c r="AO158" i="69"/>
  <c r="AK114" i="50"/>
  <c r="AY157" i="69"/>
  <c r="L174" i="57"/>
  <c r="N174" i="57"/>
  <c r="AH157" i="69"/>
  <c r="G114" i="50"/>
  <c r="K114" i="50"/>
  <c r="M114" i="50"/>
  <c r="I114" i="50"/>
  <c r="J114" i="50"/>
  <c r="L114" i="50"/>
  <c r="A114" i="50"/>
  <c r="Q114" i="50" s="1"/>
  <c r="P114" i="50" s="1"/>
  <c r="F114" i="50"/>
  <c r="N114" i="50"/>
  <c r="H114" i="50"/>
  <c r="B114" i="50"/>
  <c r="R114" i="50" s="1"/>
  <c r="S114" i="50" s="1"/>
  <c r="J174" i="57"/>
  <c r="G174" i="57"/>
  <c r="D174" i="57"/>
  <c r="K174" i="57"/>
  <c r="F174" i="57"/>
  <c r="H174" i="57"/>
  <c r="I174" i="57"/>
  <c r="E174" i="57"/>
  <c r="C174" i="57"/>
  <c r="M174" i="57" s="1"/>
  <c r="AN173" i="55" a="1"/>
  <c r="AN173" i="55"/>
  <c r="B175" i="57"/>
  <c r="AR159" i="67" a="1"/>
  <c r="AR159" i="67"/>
  <c r="B160" i="69"/>
  <c r="L160" i="69"/>
  <c r="C159" i="69"/>
  <c r="P159" i="69"/>
  <c r="R157" i="69"/>
  <c r="S157" i="69"/>
  <c r="Y157" i="69"/>
  <c r="AE157" i="69"/>
  <c r="D158" i="69"/>
  <c r="E158" i="69"/>
  <c r="F158" i="69"/>
  <c r="G158" i="69"/>
  <c r="H158" i="69"/>
  <c r="I158" i="69"/>
  <c r="J158" i="69"/>
  <c r="K158" i="69"/>
  <c r="M158" i="69"/>
  <c r="AP114" i="59" a="1"/>
  <c r="AP114" i="59"/>
  <c r="E115" i="50"/>
  <c r="AP159" i="69"/>
  <c r="N159" i="69"/>
  <c r="U159" i="69"/>
  <c r="T115" i="50"/>
  <c r="O115" i="50"/>
  <c r="AF158" i="69"/>
  <c r="Q158" i="69"/>
  <c r="O175" i="57"/>
  <c r="AG175" i="57" s="1"/>
  <c r="P175" i="57"/>
  <c r="AC156" i="69"/>
  <c r="AD156" i="69"/>
  <c r="AB157" i="69"/>
  <c r="AG157" i="69"/>
  <c r="AO159" i="69"/>
  <c r="O160" i="69"/>
  <c r="AK115" i="50"/>
  <c r="AY158" i="69"/>
  <c r="L175" i="57"/>
  <c r="N175" i="57"/>
  <c r="AH158" i="69"/>
  <c r="B115" i="50"/>
  <c r="R115" i="50" s="1"/>
  <c r="S115" i="50" s="1"/>
  <c r="AJ115" i="50" s="1"/>
  <c r="K115" i="50"/>
  <c r="A115" i="50"/>
  <c r="Q115" i="50" s="1"/>
  <c r="P115" i="50" s="1"/>
  <c r="G115" i="50"/>
  <c r="M115" i="50"/>
  <c r="N115" i="50"/>
  <c r="H115" i="50"/>
  <c r="F115" i="50"/>
  <c r="J115" i="50"/>
  <c r="I115" i="50"/>
  <c r="L115" i="50"/>
  <c r="I175" i="57"/>
  <c r="F175" i="57"/>
  <c r="D175" i="57"/>
  <c r="K175" i="57"/>
  <c r="G175" i="57"/>
  <c r="C175" i="57"/>
  <c r="M175" i="57" s="1"/>
  <c r="J175" i="57"/>
  <c r="H175" i="57"/>
  <c r="E175" i="57"/>
  <c r="AN174" i="55" a="1"/>
  <c r="AN174" i="55"/>
  <c r="B176" i="57"/>
  <c r="AR160" i="67" a="1"/>
  <c r="AR160" i="67"/>
  <c r="B161" i="69"/>
  <c r="L161" i="69"/>
  <c r="R158" i="69"/>
  <c r="S158" i="69"/>
  <c r="Y158" i="69"/>
  <c r="AE158" i="69"/>
  <c r="D159" i="69"/>
  <c r="E159" i="69"/>
  <c r="F159" i="69"/>
  <c r="G159" i="69"/>
  <c r="H159" i="69"/>
  <c r="I159" i="69"/>
  <c r="J159" i="69"/>
  <c r="K159" i="69"/>
  <c r="M159" i="69"/>
  <c r="C160" i="69"/>
  <c r="P160" i="69"/>
  <c r="AP115" i="59" a="1"/>
  <c r="AP115" i="59"/>
  <c r="E116" i="50"/>
  <c r="L80" i="29"/>
  <c r="AP160" i="69"/>
  <c r="N160" i="69"/>
  <c r="U160" i="69"/>
  <c r="T116" i="50"/>
  <c r="O116" i="50"/>
  <c r="AF159" i="69"/>
  <c r="Q159" i="69"/>
  <c r="O176" i="57"/>
  <c r="AG176" i="57" s="1"/>
  <c r="P176" i="57"/>
  <c r="AC157" i="69"/>
  <c r="AD157" i="69"/>
  <c r="AB158" i="69"/>
  <c r="AG158" i="69"/>
  <c r="O161" i="69"/>
  <c r="AO160" i="69"/>
  <c r="AK116" i="50"/>
  <c r="AY159" i="69"/>
  <c r="L176" i="57"/>
  <c r="N176" i="57"/>
  <c r="AH159" i="69"/>
  <c r="F116" i="50"/>
  <c r="I116" i="50"/>
  <c r="K116" i="50"/>
  <c r="M116" i="50"/>
  <c r="B116" i="50"/>
  <c r="R116" i="50" s="1"/>
  <c r="S116" i="50" s="1"/>
  <c r="N116" i="50"/>
  <c r="G116" i="50"/>
  <c r="A116" i="50"/>
  <c r="Q116" i="50" s="1"/>
  <c r="P116" i="50" s="1"/>
  <c r="L116" i="50"/>
  <c r="H116" i="50"/>
  <c r="J116" i="50"/>
  <c r="D176" i="57"/>
  <c r="C176" i="57"/>
  <c r="M176" i="57" s="1"/>
  <c r="AJ176" i="57" s="1"/>
  <c r="K176" i="57"/>
  <c r="J176" i="57"/>
  <c r="H176" i="57"/>
  <c r="F176" i="57"/>
  <c r="I176" i="57"/>
  <c r="E176" i="57"/>
  <c r="G176" i="57"/>
  <c r="AN175" i="55" a="1"/>
  <c r="AN175" i="55"/>
  <c r="B177" i="57"/>
  <c r="AR161" i="67" a="1"/>
  <c r="AR161" i="67"/>
  <c r="B162" i="69"/>
  <c r="L162" i="69"/>
  <c r="D160" i="69"/>
  <c r="E160" i="69"/>
  <c r="F160" i="69"/>
  <c r="G160" i="69"/>
  <c r="H160" i="69"/>
  <c r="I160" i="69"/>
  <c r="J160" i="69"/>
  <c r="K160" i="69"/>
  <c r="M160" i="69"/>
  <c r="C161" i="69"/>
  <c r="P161" i="69"/>
  <c r="AE159" i="69"/>
  <c r="R159" i="69"/>
  <c r="S159" i="69"/>
  <c r="Y159" i="69"/>
  <c r="AP116" i="59" a="1"/>
  <c r="AP116" i="59"/>
  <c r="E117" i="50"/>
  <c r="AP161" i="69"/>
  <c r="N161" i="69"/>
  <c r="U161" i="69"/>
  <c r="T117" i="50"/>
  <c r="O117" i="50"/>
  <c r="AF160" i="69"/>
  <c r="Q160" i="69"/>
  <c r="O177" i="57"/>
  <c r="P177" i="57"/>
  <c r="AC158" i="69"/>
  <c r="AD158" i="69"/>
  <c r="AB159" i="69"/>
  <c r="AG159" i="69"/>
  <c r="AO161" i="69"/>
  <c r="O162" i="69"/>
  <c r="AK117" i="50"/>
  <c r="AY160" i="69"/>
  <c r="L177" i="57"/>
  <c r="N177" i="57"/>
  <c r="AH160" i="69"/>
  <c r="J117" i="50"/>
  <c r="G117" i="50"/>
  <c r="N117" i="50"/>
  <c r="M117" i="50"/>
  <c r="B117" i="50"/>
  <c r="R117" i="50" s="1"/>
  <c r="S117" i="50" s="1"/>
  <c r="H117" i="50"/>
  <c r="F117" i="50"/>
  <c r="I117" i="50"/>
  <c r="L117" i="50"/>
  <c r="K117" i="50"/>
  <c r="A117" i="50"/>
  <c r="Q117" i="50" s="1"/>
  <c r="P117" i="50" s="1"/>
  <c r="J177" i="57"/>
  <c r="H177" i="57"/>
  <c r="E177" i="57"/>
  <c r="K177" i="57"/>
  <c r="G177" i="57"/>
  <c r="C177" i="57"/>
  <c r="M177" i="57" s="1"/>
  <c r="F177" i="57"/>
  <c r="I177" i="57"/>
  <c r="D177" i="57"/>
  <c r="AN176" i="55" a="1"/>
  <c r="AN176" i="55"/>
  <c r="B178" i="57"/>
  <c r="AR162" i="67" a="1"/>
  <c r="AR162" i="67"/>
  <c r="B163" i="69"/>
  <c r="L163" i="69"/>
  <c r="AE160" i="69"/>
  <c r="R160" i="69"/>
  <c r="S160" i="69"/>
  <c r="Y160" i="69"/>
  <c r="D161" i="69"/>
  <c r="E161" i="69"/>
  <c r="F161" i="69"/>
  <c r="G161" i="69"/>
  <c r="H161" i="69"/>
  <c r="I161" i="69"/>
  <c r="J161" i="69"/>
  <c r="K161" i="69"/>
  <c r="M161" i="69"/>
  <c r="C162" i="69"/>
  <c r="P162" i="69"/>
  <c r="AP117" i="59" a="1"/>
  <c r="AP117" i="59"/>
  <c r="E118" i="50"/>
  <c r="AP162" i="69"/>
  <c r="N162" i="69"/>
  <c r="U162" i="69"/>
  <c r="T118" i="50"/>
  <c r="O118" i="50"/>
  <c r="AF161" i="69"/>
  <c r="Q161" i="69"/>
  <c r="O178" i="57"/>
  <c r="AG178" i="57" s="1"/>
  <c r="P178" i="57"/>
  <c r="AC159" i="69"/>
  <c r="AD159" i="69"/>
  <c r="AB160" i="69"/>
  <c r="AG160" i="69"/>
  <c r="AO162" i="69"/>
  <c r="O163" i="69"/>
  <c r="AK118" i="50"/>
  <c r="AY161" i="69"/>
  <c r="L178" i="57"/>
  <c r="N178" i="57"/>
  <c r="AH161" i="69"/>
  <c r="I118" i="50"/>
  <c r="M118" i="50"/>
  <c r="L118" i="50"/>
  <c r="H118" i="50"/>
  <c r="J118" i="50"/>
  <c r="A118" i="50"/>
  <c r="Q118" i="50" s="1"/>
  <c r="P118" i="50" s="1"/>
  <c r="B118" i="50"/>
  <c r="R118" i="50" s="1"/>
  <c r="S118" i="50" s="1"/>
  <c r="N118" i="50"/>
  <c r="K118" i="50"/>
  <c r="G118" i="50"/>
  <c r="F118" i="50"/>
  <c r="U118" i="50" s="1"/>
  <c r="D178" i="57"/>
  <c r="J178" i="57"/>
  <c r="K178" i="57"/>
  <c r="F178" i="57"/>
  <c r="I178" i="57"/>
  <c r="E178" i="57"/>
  <c r="H178" i="57"/>
  <c r="C178" i="57"/>
  <c r="M178" i="57" s="1"/>
  <c r="AD178" i="57" s="1"/>
  <c r="G178" i="57"/>
  <c r="AN177" i="55" a="1"/>
  <c r="AN177" i="55"/>
  <c r="B179" i="57"/>
  <c r="R161" i="69"/>
  <c r="S161" i="69"/>
  <c r="Y161" i="69"/>
  <c r="AE161" i="69"/>
  <c r="C163" i="69"/>
  <c r="P163" i="69"/>
  <c r="D162" i="69"/>
  <c r="E162" i="69"/>
  <c r="F162" i="69"/>
  <c r="G162" i="69"/>
  <c r="H162" i="69"/>
  <c r="I162" i="69"/>
  <c r="J162" i="69"/>
  <c r="K162" i="69"/>
  <c r="M162" i="69"/>
  <c r="AR163" i="67" a="1"/>
  <c r="AR163" i="67"/>
  <c r="B164" i="69"/>
  <c r="L164" i="69"/>
  <c r="AP118" i="59" a="1"/>
  <c r="AP118" i="59"/>
  <c r="E119" i="50"/>
  <c r="AP163" i="69"/>
  <c r="N163" i="69"/>
  <c r="U163" i="69"/>
  <c r="T119" i="50"/>
  <c r="O119" i="50"/>
  <c r="AF162" i="69"/>
  <c r="Q162" i="69"/>
  <c r="O179" i="57"/>
  <c r="AG179" i="57" s="1"/>
  <c r="P179" i="57"/>
  <c r="AC160" i="69"/>
  <c r="AD160" i="69"/>
  <c r="AB161" i="69"/>
  <c r="AG161" i="69"/>
  <c r="AO163" i="69"/>
  <c r="O164" i="69"/>
  <c r="AK119" i="50"/>
  <c r="AY162" i="69"/>
  <c r="L179" i="57"/>
  <c r="N179" i="57"/>
  <c r="AH162" i="69"/>
  <c r="J119" i="50"/>
  <c r="F119" i="50"/>
  <c r="U119" i="50" s="1"/>
  <c r="G119" i="50"/>
  <c r="M119" i="50"/>
  <c r="A119" i="50"/>
  <c r="Q119" i="50" s="1"/>
  <c r="P119" i="50" s="1"/>
  <c r="N119" i="50"/>
  <c r="B119" i="50"/>
  <c r="R119" i="50" s="1"/>
  <c r="S119" i="50" s="1"/>
  <c r="AJ119" i="50" s="1"/>
  <c r="L119" i="50"/>
  <c r="I119" i="50"/>
  <c r="K119" i="50"/>
  <c r="H119" i="50"/>
  <c r="J179" i="57"/>
  <c r="I179" i="57"/>
  <c r="F179" i="57"/>
  <c r="D179" i="57"/>
  <c r="E179" i="57"/>
  <c r="H179" i="57"/>
  <c r="G179" i="57"/>
  <c r="K179" i="57"/>
  <c r="C179" i="57"/>
  <c r="M179" i="57" s="1"/>
  <c r="AN178" i="55" a="1"/>
  <c r="AN178" i="55"/>
  <c r="B180" i="57"/>
  <c r="R162" i="69"/>
  <c r="S162" i="69"/>
  <c r="Y162" i="69"/>
  <c r="AE162" i="69"/>
  <c r="D163" i="69"/>
  <c r="E163" i="69"/>
  <c r="F163" i="69"/>
  <c r="G163" i="69"/>
  <c r="H163" i="69"/>
  <c r="I163" i="69"/>
  <c r="J163" i="69"/>
  <c r="K163" i="69"/>
  <c r="M163" i="69"/>
  <c r="C164" i="69"/>
  <c r="P164" i="69"/>
  <c r="AR164" i="67" a="1"/>
  <c r="AR164" i="67"/>
  <c r="B165" i="69"/>
  <c r="L165" i="69"/>
  <c r="AP119" i="59" a="1"/>
  <c r="AP119" i="59"/>
  <c r="E120" i="50"/>
  <c r="L12" i="50"/>
  <c r="AP164" i="69"/>
  <c r="N164" i="69"/>
  <c r="U164" i="69"/>
  <c r="T120" i="50"/>
  <c r="O120" i="50"/>
  <c r="AF163" i="69"/>
  <c r="Q163" i="69"/>
  <c r="O180" i="57"/>
  <c r="AG180" i="57" s="1"/>
  <c r="P180" i="57"/>
  <c r="AC161" i="69"/>
  <c r="AD161" i="69"/>
  <c r="AB162" i="69"/>
  <c r="AG162" i="69"/>
  <c r="AO164" i="69"/>
  <c r="O165" i="69"/>
  <c r="AK120" i="50"/>
  <c r="M12" i="50"/>
  <c r="AY163" i="69"/>
  <c r="L180" i="57"/>
  <c r="N180" i="57"/>
  <c r="AH163" i="69"/>
  <c r="I120" i="50"/>
  <c r="M120" i="50"/>
  <c r="G120" i="50"/>
  <c r="H120" i="50"/>
  <c r="J120" i="50"/>
  <c r="A120" i="50"/>
  <c r="Q120" i="50" s="1"/>
  <c r="P120" i="50" s="1"/>
  <c r="K120" i="50"/>
  <c r="N120" i="50"/>
  <c r="B120" i="50"/>
  <c r="R120" i="50" s="1"/>
  <c r="S120" i="50" s="1"/>
  <c r="V120" i="50" s="1"/>
  <c r="L120" i="50"/>
  <c r="F120" i="50"/>
  <c r="U120" i="50" s="1"/>
  <c r="F180" i="57"/>
  <c r="C180" i="57"/>
  <c r="M180" i="57" s="1"/>
  <c r="K180" i="57"/>
  <c r="H180" i="57"/>
  <c r="G180" i="57"/>
  <c r="D180" i="57"/>
  <c r="J180" i="57"/>
  <c r="I180" i="57"/>
  <c r="E180" i="57"/>
  <c r="AN179" i="55" a="1"/>
  <c r="AN179" i="55"/>
  <c r="B181" i="57"/>
  <c r="D164" i="69"/>
  <c r="E164" i="69"/>
  <c r="F164" i="69"/>
  <c r="G164" i="69"/>
  <c r="H164" i="69"/>
  <c r="I164" i="69"/>
  <c r="J164" i="69"/>
  <c r="K164" i="69"/>
  <c r="M164" i="69"/>
  <c r="AE163" i="69"/>
  <c r="R163" i="69"/>
  <c r="S163" i="69"/>
  <c r="C165" i="69"/>
  <c r="P165" i="69"/>
  <c r="AR165" i="67" a="1"/>
  <c r="AR165" i="67"/>
  <c r="B166" i="69"/>
  <c r="L166" i="69"/>
  <c r="J11" i="59"/>
  <c r="AP120" i="59" a="1"/>
  <c r="AP120" i="59"/>
  <c r="E121" i="50"/>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c r="AY259" i="59" a="1"/>
  <c r="AY259" i="59" s="1"/>
  <c r="X11" i="59"/>
  <c r="Y163" i="69"/>
  <c r="AB163" i="69"/>
  <c r="AC163" i="69"/>
  <c r="AD163" i="69"/>
  <c r="AP165" i="69"/>
  <c r="N165" i="69"/>
  <c r="U165" i="69"/>
  <c r="O121" i="50"/>
  <c r="T121" i="50"/>
  <c r="AQ11" i="59" a="1"/>
  <c r="AQ11" i="59"/>
  <c r="Y11" i="59"/>
  <c r="AH11" i="59"/>
  <c r="AF164" i="69"/>
  <c r="Q164" i="69"/>
  <c r="O181" i="57"/>
  <c r="P181" i="57"/>
  <c r="AC162" i="69"/>
  <c r="AD162" i="69"/>
  <c r="O166" i="69"/>
  <c r="AO165" i="69"/>
  <c r="AK121" i="50"/>
  <c r="V14" i="22"/>
  <c r="AY164" i="69"/>
  <c r="L181" i="57"/>
  <c r="N181" i="57"/>
  <c r="AH164" i="69"/>
  <c r="I12" i="50"/>
  <c r="K121" i="50"/>
  <c r="M121" i="50"/>
  <c r="H121" i="50"/>
  <c r="J121" i="50"/>
  <c r="L121" i="50"/>
  <c r="A121" i="50"/>
  <c r="Q121" i="50" s="1"/>
  <c r="P121" i="50" s="1"/>
  <c r="G121" i="50"/>
  <c r="N121" i="50"/>
  <c r="B121" i="50"/>
  <c r="R121" i="50" s="1"/>
  <c r="S121" i="50" s="1"/>
  <c r="F121" i="50"/>
  <c r="I121" i="50"/>
  <c r="V70" i="22"/>
  <c r="J181" i="57"/>
  <c r="E181" i="57"/>
  <c r="I181" i="57"/>
  <c r="D181" i="57"/>
  <c r="F181" i="57"/>
  <c r="K181" i="57"/>
  <c r="G181" i="57"/>
  <c r="C181" i="57"/>
  <c r="M181" i="57" s="1"/>
  <c r="H181" i="57"/>
  <c r="AN180" i="55" a="1"/>
  <c r="AN180" i="55"/>
  <c r="B182" i="57"/>
  <c r="D165" i="69"/>
  <c r="E165" i="69"/>
  <c r="F165" i="69"/>
  <c r="G165" i="69"/>
  <c r="H165" i="69"/>
  <c r="I165" i="69"/>
  <c r="J165" i="69"/>
  <c r="K165" i="69"/>
  <c r="M165" i="69"/>
  <c r="C166" i="69"/>
  <c r="P166" i="69"/>
  <c r="AR166" i="67" a="1"/>
  <c r="AR166" i="67"/>
  <c r="B167" i="69"/>
  <c r="L167" i="69"/>
  <c r="R164" i="69"/>
  <c r="S164" i="69"/>
  <c r="Y164" i="69"/>
  <c r="AE164" i="69"/>
  <c r="AP121" i="59" a="1"/>
  <c r="AP121" i="59"/>
  <c r="E122" i="50"/>
  <c r="V128" i="22"/>
  <c r="AW5" i="22"/>
  <c r="X259" i="59" a="1"/>
  <c r="X259" i="59" s="1"/>
  <c r="V76" i="22"/>
  <c r="Q11" i="59"/>
  <c r="T11" i="59"/>
  <c r="Y259" i="59" a="1"/>
  <c r="Y259" i="59" s="1"/>
  <c r="AG163" i="69"/>
  <c r="AP166" i="69"/>
  <c r="N166" i="69"/>
  <c r="U166" i="69"/>
  <c r="V78" i="22"/>
  <c r="D63" i="107"/>
  <c r="J63" i="107"/>
  <c r="L63" i="107" s="1"/>
  <c r="D24" i="107"/>
  <c r="J24" i="107"/>
  <c r="L24" i="107" s="1"/>
  <c r="D88" i="107"/>
  <c r="J88" i="107"/>
  <c r="L88" i="107" s="1"/>
  <c r="D49" i="107"/>
  <c r="J49" i="107"/>
  <c r="L49" i="107" s="1"/>
  <c r="D29" i="107"/>
  <c r="J29" i="107"/>
  <c r="L29" i="107" s="1"/>
  <c r="D50" i="107"/>
  <c r="J50" i="107"/>
  <c r="L50" i="107" s="1"/>
  <c r="D11" i="107"/>
  <c r="J11" i="107"/>
  <c r="L11" i="107" s="1"/>
  <c r="D75" i="107"/>
  <c r="J75" i="107"/>
  <c r="L75" i="107" s="1"/>
  <c r="D69" i="107"/>
  <c r="J69" i="107"/>
  <c r="L69" i="107" s="1"/>
  <c r="D20" i="107"/>
  <c r="J20" i="107"/>
  <c r="L20" i="107" s="1"/>
  <c r="D84" i="107"/>
  <c r="J84" i="107"/>
  <c r="L84" i="107" s="1"/>
  <c r="D101" i="107"/>
  <c r="J101" i="107"/>
  <c r="L101" i="107" s="1"/>
  <c r="D71" i="107"/>
  <c r="J71" i="107"/>
  <c r="L71" i="107" s="1"/>
  <c r="D32" i="107"/>
  <c r="J32" i="107"/>
  <c r="L32" i="107" s="1"/>
  <c r="D96" i="107"/>
  <c r="J96" i="107"/>
  <c r="L96" i="107" s="1"/>
  <c r="D57" i="107"/>
  <c r="J57" i="107"/>
  <c r="L57" i="107" s="1"/>
  <c r="D85" i="107"/>
  <c r="J85" i="107"/>
  <c r="L85" i="107" s="1"/>
  <c r="D58" i="107"/>
  <c r="J58" i="107"/>
  <c r="L58" i="107" s="1"/>
  <c r="D19" i="107"/>
  <c r="J19" i="107"/>
  <c r="L19" i="107" s="1"/>
  <c r="D83" i="107"/>
  <c r="J83" i="107"/>
  <c r="L83" i="107" s="1"/>
  <c r="D93" i="107"/>
  <c r="J93" i="107"/>
  <c r="L93" i="107" s="1"/>
  <c r="D28" i="107"/>
  <c r="J28" i="107"/>
  <c r="L28" i="107" s="1"/>
  <c r="D92" i="107"/>
  <c r="J92" i="107"/>
  <c r="L92" i="107" s="1"/>
  <c r="D22" i="107"/>
  <c r="J22" i="107"/>
  <c r="L22" i="107" s="1"/>
  <c r="D15" i="107"/>
  <c r="J15" i="107"/>
  <c r="L15" i="107" s="1"/>
  <c r="D79" i="107"/>
  <c r="J79" i="107"/>
  <c r="L79" i="107" s="1"/>
  <c r="D40" i="107"/>
  <c r="J40" i="107"/>
  <c r="L40" i="107" s="1"/>
  <c r="D104" i="107"/>
  <c r="J104" i="107"/>
  <c r="L104" i="107" s="1"/>
  <c r="D65" i="107"/>
  <c r="J65" i="107"/>
  <c r="L65" i="107" s="1"/>
  <c r="D70" i="107"/>
  <c r="J70" i="107"/>
  <c r="L70" i="107" s="1"/>
  <c r="D66" i="107"/>
  <c r="J66" i="107"/>
  <c r="L66" i="107" s="1"/>
  <c r="D27" i="107"/>
  <c r="J27" i="107"/>
  <c r="L27" i="107" s="1"/>
  <c r="D91" i="107"/>
  <c r="J91" i="107"/>
  <c r="L91" i="107" s="1"/>
  <c r="D14" i="107"/>
  <c r="J14" i="107"/>
  <c r="L14" i="107" s="1"/>
  <c r="D36" i="107"/>
  <c r="J36" i="107"/>
  <c r="L36" i="107" s="1"/>
  <c r="D100" i="107"/>
  <c r="J100" i="107"/>
  <c r="L100" i="107" s="1"/>
  <c r="D30" i="107"/>
  <c r="J30" i="107"/>
  <c r="L30" i="107" s="1"/>
  <c r="D23" i="107"/>
  <c r="J23" i="107"/>
  <c r="L23" i="107" s="1"/>
  <c r="D87" i="107"/>
  <c r="J87" i="107"/>
  <c r="L87" i="107" s="1"/>
  <c r="D48" i="107"/>
  <c r="J48" i="107"/>
  <c r="L48" i="107" s="1"/>
  <c r="D9" i="107"/>
  <c r="J9" i="107"/>
  <c r="L9" i="107" s="1"/>
  <c r="D73" i="107"/>
  <c r="J73" i="107"/>
  <c r="L73" i="107" s="1"/>
  <c r="D10" i="107"/>
  <c r="J10" i="107"/>
  <c r="L10" i="107" s="1"/>
  <c r="D74" i="107"/>
  <c r="J74" i="107"/>
  <c r="L74" i="107" s="1"/>
  <c r="D35" i="107"/>
  <c r="J35" i="107"/>
  <c r="L35" i="107" s="1"/>
  <c r="D99" i="107"/>
  <c r="J99" i="107"/>
  <c r="L99" i="107" s="1"/>
  <c r="D38" i="107"/>
  <c r="J38" i="107"/>
  <c r="L38" i="107" s="1"/>
  <c r="D44" i="107"/>
  <c r="J44" i="107"/>
  <c r="L44" i="107" s="1"/>
  <c r="D7" i="107"/>
  <c r="D46" i="107"/>
  <c r="J46" i="107"/>
  <c r="L46" i="107" s="1"/>
  <c r="D31" i="107"/>
  <c r="J31" i="107"/>
  <c r="L31" i="107" s="1"/>
  <c r="D95" i="107"/>
  <c r="J95" i="107"/>
  <c r="L95" i="107" s="1"/>
  <c r="D56" i="107"/>
  <c r="J56" i="107"/>
  <c r="L56" i="107" s="1"/>
  <c r="D17" i="107"/>
  <c r="J17" i="107"/>
  <c r="L17" i="107" s="1"/>
  <c r="D81" i="107"/>
  <c r="J81" i="107"/>
  <c r="L81" i="107" s="1"/>
  <c r="D18" i="107"/>
  <c r="J18" i="107"/>
  <c r="L18" i="107" s="1"/>
  <c r="D82" i="107"/>
  <c r="J82" i="107"/>
  <c r="L82" i="107" s="1"/>
  <c r="D43" i="107"/>
  <c r="J43" i="107"/>
  <c r="L43" i="107" s="1"/>
  <c r="D107" i="107"/>
  <c r="J107" i="107"/>
  <c r="L107" i="107" s="1"/>
  <c r="D54" i="107"/>
  <c r="J54" i="107"/>
  <c r="L54" i="107" s="1"/>
  <c r="D52" i="107"/>
  <c r="J52" i="107"/>
  <c r="L52" i="107" s="1"/>
  <c r="D21" i="107"/>
  <c r="J21" i="107"/>
  <c r="L21" i="107" s="1"/>
  <c r="D62" i="107"/>
  <c r="J62" i="107"/>
  <c r="L62" i="107" s="1"/>
  <c r="D39" i="107"/>
  <c r="J39" i="107"/>
  <c r="L39" i="107" s="1"/>
  <c r="D103" i="107"/>
  <c r="J103" i="107"/>
  <c r="L103" i="107" s="1"/>
  <c r="D64" i="107"/>
  <c r="J64" i="107"/>
  <c r="L64" i="107" s="1"/>
  <c r="D25" i="107"/>
  <c r="J25" i="107"/>
  <c r="L25" i="107" s="1"/>
  <c r="D89" i="107"/>
  <c r="J89" i="107"/>
  <c r="L89" i="107" s="1"/>
  <c r="D26" i="107"/>
  <c r="J26" i="107"/>
  <c r="L26" i="107" s="1"/>
  <c r="D90" i="107"/>
  <c r="J90" i="107"/>
  <c r="L90" i="107" s="1"/>
  <c r="D51" i="107"/>
  <c r="J51" i="107"/>
  <c r="L51" i="107" s="1"/>
  <c r="D13" i="107"/>
  <c r="J13" i="107"/>
  <c r="L13" i="107" s="1"/>
  <c r="D78" i="107"/>
  <c r="J78" i="107"/>
  <c r="L78" i="107" s="1"/>
  <c r="D60" i="107"/>
  <c r="J60" i="107"/>
  <c r="L60" i="107" s="1"/>
  <c r="D37" i="107"/>
  <c r="J37" i="107"/>
  <c r="L37" i="107" s="1"/>
  <c r="D86" i="107"/>
  <c r="J86" i="107"/>
  <c r="L86" i="107" s="1"/>
  <c r="D47" i="107"/>
  <c r="J47" i="107"/>
  <c r="L47" i="107" s="1"/>
  <c r="D8" i="107"/>
  <c r="J8" i="107"/>
  <c r="L8" i="107" s="1"/>
  <c r="D72" i="107"/>
  <c r="J72" i="107"/>
  <c r="L72" i="107" s="1"/>
  <c r="D33" i="107"/>
  <c r="J33" i="107"/>
  <c r="L33" i="107" s="1"/>
  <c r="D97" i="107"/>
  <c r="J97" i="107"/>
  <c r="L97" i="107" s="1"/>
  <c r="D34" i="107"/>
  <c r="J34" i="107"/>
  <c r="L34" i="107" s="1"/>
  <c r="D98" i="107"/>
  <c r="J98" i="107"/>
  <c r="L98" i="107" s="1"/>
  <c r="D59" i="107"/>
  <c r="J59" i="107"/>
  <c r="L59" i="107" s="1"/>
  <c r="D45" i="107"/>
  <c r="J45" i="107"/>
  <c r="L45" i="107" s="1"/>
  <c r="D94" i="107"/>
  <c r="J94" i="107"/>
  <c r="L94" i="107" s="1"/>
  <c r="D68" i="107"/>
  <c r="J68" i="107"/>
  <c r="L68" i="107" s="1"/>
  <c r="D53" i="107"/>
  <c r="J53" i="107"/>
  <c r="L53" i="107" s="1"/>
  <c r="D102" i="107"/>
  <c r="J102" i="107"/>
  <c r="L102" i="107" s="1"/>
  <c r="D55" i="107"/>
  <c r="J55" i="107"/>
  <c r="L55" i="107" s="1"/>
  <c r="D16" i="107"/>
  <c r="J16" i="107"/>
  <c r="L16" i="107" s="1"/>
  <c r="D80" i="107"/>
  <c r="J80" i="107"/>
  <c r="L80" i="107" s="1"/>
  <c r="D41" i="107"/>
  <c r="J41" i="107"/>
  <c r="L41" i="107" s="1"/>
  <c r="D105" i="107"/>
  <c r="J105" i="107"/>
  <c r="L105" i="107" s="1"/>
  <c r="D42" i="107"/>
  <c r="J42" i="107"/>
  <c r="L42" i="107" s="1"/>
  <c r="D106" i="107"/>
  <c r="J106" i="107"/>
  <c r="L106" i="107" s="1"/>
  <c r="D67" i="107"/>
  <c r="J67" i="107"/>
  <c r="L67" i="107" s="1"/>
  <c r="D61" i="107"/>
  <c r="J61" i="107"/>
  <c r="L61" i="107" s="1"/>
  <c r="D12" i="107"/>
  <c r="J12" i="107"/>
  <c r="L12" i="107" s="1"/>
  <c r="D76" i="107"/>
  <c r="J76" i="107"/>
  <c r="L76" i="107" s="1"/>
  <c r="D77" i="107"/>
  <c r="J77" i="107"/>
  <c r="L77" i="107" s="1"/>
  <c r="T20" i="22"/>
  <c r="C7" i="107"/>
  <c r="T14" i="22"/>
  <c r="T15" i="22"/>
  <c r="V102" i="22"/>
  <c r="V95" i="22"/>
  <c r="T122" i="50"/>
  <c r="O122" i="50"/>
  <c r="V135" i="22"/>
  <c r="V30" i="22"/>
  <c r="AF165" i="69"/>
  <c r="Q165" i="69"/>
  <c r="O182" i="57"/>
  <c r="AG182" i="57" s="1"/>
  <c r="P182" i="57"/>
  <c r="V92" i="22"/>
  <c r="V59" i="22"/>
  <c r="T12" i="50"/>
  <c r="V10" i="22"/>
  <c r="V28" i="22"/>
  <c r="AB164" i="69"/>
  <c r="AG164" i="69"/>
  <c r="O167" i="69"/>
  <c r="AO166" i="69"/>
  <c r="AK122" i="50"/>
  <c r="V63" i="22"/>
  <c r="V6" i="22"/>
  <c r="V9" i="22"/>
  <c r="V35" i="22"/>
  <c r="V18" i="22"/>
  <c r="V33" i="22"/>
  <c r="V37" i="22"/>
  <c r="V32" i="22"/>
  <c r="V34" i="22"/>
  <c r="V71" i="22"/>
  <c r="V68" i="22"/>
  <c r="V20" i="22"/>
  <c r="V67" i="22"/>
  <c r="V4" i="22"/>
  <c r="V61" i="22"/>
  <c r="AY165" i="69"/>
  <c r="L182" i="57"/>
  <c r="N182" i="57"/>
  <c r="AH165" i="69"/>
  <c r="V133" i="22"/>
  <c r="V17" i="22"/>
  <c r="H122" i="50"/>
  <c r="A122" i="50"/>
  <c r="Q122" i="50" s="1"/>
  <c r="P122" i="50" s="1"/>
  <c r="M122" i="50"/>
  <c r="K122" i="50"/>
  <c r="G122" i="50"/>
  <c r="F122" i="50"/>
  <c r="U122" i="50" s="1"/>
  <c r="N122" i="50"/>
  <c r="B122" i="50"/>
  <c r="R122" i="50" s="1"/>
  <c r="S122" i="50" s="1"/>
  <c r="J122" i="50"/>
  <c r="I122" i="50"/>
  <c r="L122" i="50"/>
  <c r="V31" i="22"/>
  <c r="V88" i="22"/>
  <c r="J182" i="57"/>
  <c r="G182" i="57"/>
  <c r="D182" i="57"/>
  <c r="K182" i="57"/>
  <c r="F182" i="57"/>
  <c r="H182" i="57"/>
  <c r="I182" i="57"/>
  <c r="E182" i="57"/>
  <c r="C182" i="57"/>
  <c r="M182" i="57" s="1"/>
  <c r="AN181" i="55" a="1"/>
  <c r="AN181" i="55"/>
  <c r="B183" i="57"/>
  <c r="AL33" i="22"/>
  <c r="V121" i="22"/>
  <c r="V7" i="22"/>
  <c r="D166" i="69"/>
  <c r="E166" i="69"/>
  <c r="F166" i="69"/>
  <c r="G166" i="69"/>
  <c r="H166" i="69"/>
  <c r="I166" i="69"/>
  <c r="J166" i="69"/>
  <c r="K166" i="69"/>
  <c r="M166" i="69"/>
  <c r="C167" i="69"/>
  <c r="P167" i="69"/>
  <c r="AR167" i="67" a="1"/>
  <c r="AR167" i="67"/>
  <c r="B168" i="69"/>
  <c r="L168" i="69"/>
  <c r="AE165" i="69"/>
  <c r="R165" i="69"/>
  <c r="S165" i="69"/>
  <c r="Y165" i="69"/>
  <c r="V15" i="22"/>
  <c r="V29" i="22"/>
  <c r="V8" i="22"/>
  <c r="V13" i="22"/>
  <c r="V19" i="22"/>
  <c r="V22" i="22"/>
  <c r="AL29" i="22"/>
  <c r="AP122" i="59" a="1"/>
  <c r="AP122" i="59"/>
  <c r="E123" i="50"/>
  <c r="AQ12" i="59" a="1"/>
  <c r="AQ12" i="59"/>
  <c r="AA11" i="59"/>
  <c r="AA259" i="59"/>
  <c r="T76" i="22"/>
  <c r="AL34" i="22"/>
  <c r="D73" i="36"/>
  <c r="T102" i="22"/>
  <c r="AL28" i="22"/>
  <c r="T4" i="22"/>
  <c r="AL21" i="22"/>
  <c r="D59" i="36"/>
  <c r="AP167" i="69"/>
  <c r="N167" i="69"/>
  <c r="U167" i="69"/>
  <c r="J7" i="107"/>
  <c r="L7" i="107" s="1"/>
  <c r="T123" i="50"/>
  <c r="O123" i="50"/>
  <c r="D71" i="36"/>
  <c r="AF166" i="69"/>
  <c r="Q166" i="69"/>
  <c r="O183" i="57"/>
  <c r="AG183" i="57" s="1"/>
  <c r="P183" i="57"/>
  <c r="AC164" i="69"/>
  <c r="AD164" i="69"/>
  <c r="AB165" i="69"/>
  <c r="AG165" i="69"/>
  <c r="O168" i="69"/>
  <c r="AO167" i="69"/>
  <c r="AK123" i="50"/>
  <c r="N12" i="50"/>
  <c r="AY166" i="69"/>
  <c r="L183" i="57"/>
  <c r="N183" i="57"/>
  <c r="AH166" i="69"/>
  <c r="B123" i="50"/>
  <c r="R123" i="50" s="1"/>
  <c r="S123" i="50" s="1"/>
  <c r="G123" i="50"/>
  <c r="A123" i="50"/>
  <c r="Q123" i="50" s="1"/>
  <c r="P123" i="50" s="1"/>
  <c r="N123" i="50"/>
  <c r="H123" i="50"/>
  <c r="K123" i="50"/>
  <c r="M123" i="50"/>
  <c r="I123" i="50"/>
  <c r="J123" i="50"/>
  <c r="F123" i="50"/>
  <c r="L123" i="50"/>
  <c r="I183" i="57"/>
  <c r="F183" i="57"/>
  <c r="D183" i="57"/>
  <c r="K183" i="57"/>
  <c r="G183" i="57"/>
  <c r="E183" i="57"/>
  <c r="H183" i="57"/>
  <c r="C183" i="57"/>
  <c r="M183" i="57" s="1"/>
  <c r="AC183" i="57" s="1"/>
  <c r="J183" i="57"/>
  <c r="AN182" i="55" a="1"/>
  <c r="AN182" i="55"/>
  <c r="B184" i="57"/>
  <c r="C168" i="69"/>
  <c r="P168" i="69"/>
  <c r="AR168" i="67" a="1"/>
  <c r="AR168" i="67"/>
  <c r="B169" i="69"/>
  <c r="L169" i="69"/>
  <c r="D167" i="69"/>
  <c r="E167" i="69"/>
  <c r="F167" i="69"/>
  <c r="G167" i="69"/>
  <c r="H167" i="69"/>
  <c r="I167" i="69"/>
  <c r="J167" i="69"/>
  <c r="K167" i="69"/>
  <c r="M167" i="69"/>
  <c r="AE166" i="69"/>
  <c r="R166" i="69"/>
  <c r="S166" i="69"/>
  <c r="Y166" i="69"/>
  <c r="AL24" i="22"/>
  <c r="AL23" i="22"/>
  <c r="AL27" i="22"/>
  <c r="AL22" i="22"/>
  <c r="AL26" i="22"/>
  <c r="AL25" i="22"/>
  <c r="AP123" i="59" a="1"/>
  <c r="AP123" i="59"/>
  <c r="E124" i="50"/>
  <c r="AQ13" i="59" a="1"/>
  <c r="AQ13" i="59"/>
  <c r="AU11" i="59"/>
  <c r="AU259" i="59"/>
  <c r="AP168" i="69"/>
  <c r="N168" i="69"/>
  <c r="U168" i="69"/>
  <c r="T124" i="50"/>
  <c r="O124" i="50"/>
  <c r="AF167" i="69"/>
  <c r="Q167" i="69"/>
  <c r="O184" i="57"/>
  <c r="AG184" i="57" s="1"/>
  <c r="P184" i="57"/>
  <c r="AC165" i="69"/>
  <c r="AD165" i="69"/>
  <c r="AK12" i="50"/>
  <c r="AM12" i="50"/>
  <c r="AB166" i="69"/>
  <c r="AG166" i="69"/>
  <c r="O169" i="69"/>
  <c r="AO168" i="69"/>
  <c r="AK124" i="50"/>
  <c r="AY167" i="69"/>
  <c r="L184" i="57"/>
  <c r="N184" i="57"/>
  <c r="AH167" i="69"/>
  <c r="F124" i="50"/>
  <c r="N124" i="50"/>
  <c r="A124" i="50"/>
  <c r="Q124" i="50" s="1"/>
  <c r="P124" i="50" s="1"/>
  <c r="I124" i="50"/>
  <c r="K124" i="50"/>
  <c r="H124" i="50"/>
  <c r="M124" i="50"/>
  <c r="L124" i="50"/>
  <c r="J124" i="50"/>
  <c r="B124" i="50"/>
  <c r="R124" i="50" s="1"/>
  <c r="S124" i="50" s="1"/>
  <c r="AJ124" i="50" s="1"/>
  <c r="G124" i="50"/>
  <c r="K184" i="57"/>
  <c r="J184" i="57"/>
  <c r="H184" i="57"/>
  <c r="F184" i="57"/>
  <c r="C184" i="57"/>
  <c r="M184" i="57" s="1"/>
  <c r="AK184" i="57" s="1"/>
  <c r="D184" i="57"/>
  <c r="E184" i="57"/>
  <c r="G184" i="57"/>
  <c r="I184" i="57"/>
  <c r="AN183" i="55" a="1"/>
  <c r="AN183" i="55"/>
  <c r="B185" i="57"/>
  <c r="AE167" i="69"/>
  <c r="R167" i="69"/>
  <c r="S167" i="69"/>
  <c r="Y167" i="69"/>
  <c r="C169" i="69"/>
  <c r="P169" i="69"/>
  <c r="AR169" i="67" a="1"/>
  <c r="AR169" i="67"/>
  <c r="B170" i="69"/>
  <c r="L170" i="69"/>
  <c r="D168" i="69"/>
  <c r="E168" i="69"/>
  <c r="F168" i="69"/>
  <c r="G168" i="69"/>
  <c r="H168" i="69"/>
  <c r="I168" i="69"/>
  <c r="J168" i="69"/>
  <c r="K168" i="69"/>
  <c r="M168" i="69"/>
  <c r="AP124" i="59" a="1"/>
  <c r="AP124" i="59"/>
  <c r="E125" i="50"/>
  <c r="AQ14" i="59" a="1"/>
  <c r="AQ14" i="59"/>
  <c r="M11" i="46"/>
  <c r="I11" i="46"/>
  <c r="R11" i="46"/>
  <c r="AP169" i="69"/>
  <c r="N169" i="69"/>
  <c r="U169" i="69"/>
  <c r="AQ12" i="50"/>
  <c r="T125" i="50"/>
  <c r="O125" i="50"/>
  <c r="AF168" i="69"/>
  <c r="Q168" i="69"/>
  <c r="O185" i="57"/>
  <c r="AG185" i="57" s="1"/>
  <c r="P185" i="57"/>
  <c r="AC166" i="69"/>
  <c r="AD166" i="69"/>
  <c r="AB167" i="69"/>
  <c r="AG167" i="69"/>
  <c r="AO169" i="69"/>
  <c r="O170" i="69"/>
  <c r="AK125" i="50"/>
  <c r="AM13" i="50"/>
  <c r="AY168" i="69"/>
  <c r="L185" i="57"/>
  <c r="N185" i="57"/>
  <c r="AH168" i="69"/>
  <c r="H125" i="50"/>
  <c r="F125" i="50"/>
  <c r="G125" i="50"/>
  <c r="M125" i="50"/>
  <c r="B125" i="50"/>
  <c r="R125" i="50" s="1"/>
  <c r="S125" i="50" s="1"/>
  <c r="L125" i="50"/>
  <c r="K125" i="50"/>
  <c r="J125" i="50"/>
  <c r="N125" i="50"/>
  <c r="I125" i="50"/>
  <c r="A125" i="50"/>
  <c r="Q125" i="50" s="1"/>
  <c r="P125" i="50" s="1"/>
  <c r="E185" i="57"/>
  <c r="H185" i="57"/>
  <c r="J185" i="57"/>
  <c r="K185" i="57"/>
  <c r="G185" i="57"/>
  <c r="C185" i="57"/>
  <c r="M185" i="57" s="1"/>
  <c r="R185" i="57" s="1"/>
  <c r="F185" i="57"/>
  <c r="I185" i="57"/>
  <c r="D185" i="57"/>
  <c r="L133" i="22"/>
  <c r="AN184" i="55" a="1"/>
  <c r="AN184" i="55"/>
  <c r="B186" i="57"/>
  <c r="C170" i="69"/>
  <c r="P170" i="69"/>
  <c r="AR170" i="67" a="1"/>
  <c r="AR170" i="67"/>
  <c r="B171" i="69"/>
  <c r="L171" i="69"/>
  <c r="D169" i="69"/>
  <c r="E169" i="69"/>
  <c r="F169" i="69"/>
  <c r="G169" i="69"/>
  <c r="H169" i="69"/>
  <c r="I169" i="69"/>
  <c r="J169" i="69"/>
  <c r="K169" i="69"/>
  <c r="M169" i="69"/>
  <c r="AE168" i="69"/>
  <c r="R168" i="69"/>
  <c r="S168" i="69"/>
  <c r="Y168" i="69"/>
  <c r="AP125" i="59" a="1"/>
  <c r="AP125" i="59"/>
  <c r="E126" i="50"/>
  <c r="AQ15" i="59" a="1"/>
  <c r="AQ15" i="59"/>
  <c r="AP170" i="69"/>
  <c r="N170" i="69"/>
  <c r="U170" i="69"/>
  <c r="T126" i="50"/>
  <c r="O126" i="50"/>
  <c r="AF169" i="69"/>
  <c r="Q169" i="69"/>
  <c r="O186" i="57"/>
  <c r="AG186" i="57" s="1"/>
  <c r="P186" i="57"/>
  <c r="AC167" i="69"/>
  <c r="AD167" i="69"/>
  <c r="AB168" i="69"/>
  <c r="AG168" i="69"/>
  <c r="AO170" i="69"/>
  <c r="O171" i="69"/>
  <c r="AK126" i="50"/>
  <c r="AY169" i="69"/>
  <c r="L186" i="57"/>
  <c r="N186" i="57"/>
  <c r="AH169" i="69"/>
  <c r="F126" i="50"/>
  <c r="U126" i="50" s="1"/>
  <c r="N126" i="50"/>
  <c r="M126" i="50"/>
  <c r="L126" i="50"/>
  <c r="G126" i="50"/>
  <c r="A126" i="50"/>
  <c r="Q126" i="50" s="1"/>
  <c r="P126" i="50" s="1"/>
  <c r="I126" i="50"/>
  <c r="K126" i="50"/>
  <c r="B126" i="50"/>
  <c r="R126" i="50" s="1"/>
  <c r="S126" i="50" s="1"/>
  <c r="J126" i="50"/>
  <c r="H126" i="50"/>
  <c r="J186" i="57"/>
  <c r="D186" i="57"/>
  <c r="C186" i="57"/>
  <c r="M186" i="57" s="1"/>
  <c r="R186" i="57" s="1"/>
  <c r="K186" i="57"/>
  <c r="F186" i="57"/>
  <c r="I186" i="57"/>
  <c r="E186" i="57"/>
  <c r="H186" i="57"/>
  <c r="G186" i="57"/>
  <c r="AN185" i="55" a="1"/>
  <c r="AN185" i="55"/>
  <c r="B187" i="57"/>
  <c r="AE169" i="69"/>
  <c r="R169" i="69"/>
  <c r="S169" i="69"/>
  <c r="Y169" i="69"/>
  <c r="C171" i="69"/>
  <c r="P171" i="69"/>
  <c r="AR171" i="67" a="1"/>
  <c r="AR171" i="67"/>
  <c r="B172" i="69"/>
  <c r="L172" i="69"/>
  <c r="D170" i="69"/>
  <c r="E170" i="69"/>
  <c r="F170" i="69"/>
  <c r="G170" i="69"/>
  <c r="H170" i="69"/>
  <c r="I170" i="69"/>
  <c r="J170" i="69"/>
  <c r="K170" i="69"/>
  <c r="M170" i="69"/>
  <c r="AP126" i="59" a="1"/>
  <c r="AP126" i="59"/>
  <c r="E127" i="50"/>
  <c r="AQ16" i="59" a="1"/>
  <c r="AQ16" i="59"/>
  <c r="AP171" i="69"/>
  <c r="N171" i="69"/>
  <c r="U171" i="69"/>
  <c r="L55" i="22"/>
  <c r="L134" i="22"/>
  <c r="T127" i="50"/>
  <c r="O127" i="50"/>
  <c r="L80" i="22"/>
  <c r="L132" i="22"/>
  <c r="L118" i="22"/>
  <c r="AF170" i="69"/>
  <c r="Q170" i="69"/>
  <c r="O187" i="57"/>
  <c r="AG187" i="57" s="1"/>
  <c r="P187" i="57"/>
  <c r="AC168" i="69"/>
  <c r="AD168" i="69"/>
  <c r="AB169" i="69"/>
  <c r="AG169" i="69"/>
  <c r="O172" i="69"/>
  <c r="AO171" i="69"/>
  <c r="AK127" i="50"/>
  <c r="L104" i="22"/>
  <c r="AY170" i="69"/>
  <c r="L187" i="57"/>
  <c r="N187" i="57"/>
  <c r="AH170" i="69"/>
  <c r="J127" i="50"/>
  <c r="F127" i="50"/>
  <c r="U127" i="50" s="1"/>
  <c r="G127" i="50"/>
  <c r="M127" i="50"/>
  <c r="A127" i="50"/>
  <c r="Q127" i="50" s="1"/>
  <c r="P127" i="50" s="1"/>
  <c r="N127" i="50"/>
  <c r="H127" i="50"/>
  <c r="B127" i="50"/>
  <c r="R127" i="50" s="1"/>
  <c r="S127" i="50" s="1"/>
  <c r="C127" i="50" s="1"/>
  <c r="I127" i="50"/>
  <c r="L127" i="50"/>
  <c r="K127" i="50"/>
  <c r="J187" i="57"/>
  <c r="I187" i="57"/>
  <c r="F187" i="57"/>
  <c r="E187" i="57"/>
  <c r="D187" i="57"/>
  <c r="K187" i="57"/>
  <c r="C187" i="57"/>
  <c r="M187" i="57" s="1"/>
  <c r="Q187" i="57" s="1"/>
  <c r="T187" i="57" s="1"/>
  <c r="G187" i="57"/>
  <c r="H187" i="57"/>
  <c r="AN186" i="55" a="1"/>
  <c r="AN186" i="55"/>
  <c r="B188" i="57"/>
  <c r="R170" i="69"/>
  <c r="S170" i="69"/>
  <c r="Y170" i="69"/>
  <c r="AE170" i="69"/>
  <c r="C172" i="69"/>
  <c r="P172" i="69"/>
  <c r="AR172" i="67" a="1"/>
  <c r="AR172" i="67"/>
  <c r="B173" i="69"/>
  <c r="L173" i="69"/>
  <c r="D171" i="69"/>
  <c r="E171" i="69"/>
  <c r="F171" i="69"/>
  <c r="G171" i="69"/>
  <c r="H171" i="69"/>
  <c r="I171" i="69"/>
  <c r="J171" i="69"/>
  <c r="K171" i="69"/>
  <c r="M171" i="69"/>
  <c r="AP127" i="59" a="1"/>
  <c r="AP127" i="59"/>
  <c r="E128" i="50"/>
  <c r="AQ17" i="59" a="1"/>
  <c r="AQ17" i="59"/>
  <c r="AP172" i="69"/>
  <c r="N172" i="69"/>
  <c r="U172" i="69"/>
  <c r="T128" i="50"/>
  <c r="O128" i="50"/>
  <c r="AF171" i="69"/>
  <c r="Q171" i="69"/>
  <c r="O188" i="57"/>
  <c r="AG188" i="57" s="1"/>
  <c r="P188" i="57"/>
  <c r="AC169" i="69"/>
  <c r="AD169" i="69"/>
  <c r="AB170" i="69"/>
  <c r="AG170" i="69"/>
  <c r="O173" i="69"/>
  <c r="AO172" i="69"/>
  <c r="AK128" i="50"/>
  <c r="AY171" i="69"/>
  <c r="L188" i="57"/>
  <c r="N188" i="57"/>
  <c r="AH171" i="69"/>
  <c r="N128" i="50"/>
  <c r="J128" i="50"/>
  <c r="F128" i="50"/>
  <c r="I128" i="50"/>
  <c r="H128" i="50"/>
  <c r="M128" i="50"/>
  <c r="K128" i="50"/>
  <c r="B128" i="50"/>
  <c r="R128" i="50" s="1"/>
  <c r="S128" i="50" s="1"/>
  <c r="W128" i="50" s="1"/>
  <c r="X128" i="50" s="1"/>
  <c r="L128" i="50"/>
  <c r="G128" i="50"/>
  <c r="A128" i="50"/>
  <c r="Q128" i="50" s="1"/>
  <c r="P128" i="50" s="1"/>
  <c r="K188" i="57"/>
  <c r="H188" i="57"/>
  <c r="F188" i="57"/>
  <c r="C188" i="57"/>
  <c r="M188" i="57" s="1"/>
  <c r="E188" i="57"/>
  <c r="D188" i="57"/>
  <c r="G188" i="57"/>
  <c r="J188" i="57"/>
  <c r="I188" i="57"/>
  <c r="AN187" i="55" a="1"/>
  <c r="AN187" i="55"/>
  <c r="B189" i="57"/>
  <c r="C173" i="69"/>
  <c r="P173" i="69"/>
  <c r="AR173" i="67" a="1"/>
  <c r="AR173" i="67"/>
  <c r="B174" i="69"/>
  <c r="L174" i="69"/>
  <c r="R171" i="69"/>
  <c r="S171" i="69"/>
  <c r="Y171" i="69"/>
  <c r="AE171" i="69"/>
  <c r="D172" i="69"/>
  <c r="E172" i="69"/>
  <c r="F172" i="69"/>
  <c r="G172" i="69"/>
  <c r="H172" i="69"/>
  <c r="I172" i="69"/>
  <c r="J172" i="69"/>
  <c r="K172" i="69"/>
  <c r="M172" i="69"/>
  <c r="AP128" i="59" a="1"/>
  <c r="AP128" i="59"/>
  <c r="E129" i="50"/>
  <c r="AQ18" i="59" a="1"/>
  <c r="AQ18" i="59"/>
  <c r="AP173" i="69"/>
  <c r="N173" i="69"/>
  <c r="U173" i="69"/>
  <c r="O129" i="50"/>
  <c r="T129" i="50"/>
  <c r="AF172" i="69"/>
  <c r="Q172" i="69"/>
  <c r="O189" i="57"/>
  <c r="AG189" i="57" s="1"/>
  <c r="P189" i="57"/>
  <c r="AC170" i="69"/>
  <c r="AD170" i="69"/>
  <c r="AB171" i="69"/>
  <c r="AG171" i="69"/>
  <c r="AO173" i="69"/>
  <c r="O174" i="69"/>
  <c r="AK129" i="50"/>
  <c r="AY172" i="69"/>
  <c r="L189" i="57"/>
  <c r="N189" i="57"/>
  <c r="AH172" i="69"/>
  <c r="K129" i="50"/>
  <c r="L129" i="50"/>
  <c r="J129" i="50"/>
  <c r="M129" i="50"/>
  <c r="I129" i="50"/>
  <c r="A129" i="50"/>
  <c r="Q129" i="50" s="1"/>
  <c r="P129" i="50" s="1"/>
  <c r="G129" i="50"/>
  <c r="N129" i="50"/>
  <c r="B129" i="50"/>
  <c r="R129" i="50" s="1"/>
  <c r="S129" i="50" s="1"/>
  <c r="C129" i="50" s="1"/>
  <c r="H129" i="50"/>
  <c r="F129" i="50"/>
  <c r="U129" i="50" s="1"/>
  <c r="J189" i="57"/>
  <c r="E189" i="57"/>
  <c r="C189" i="57"/>
  <c r="M189" i="57" s="1"/>
  <c r="I189" i="57"/>
  <c r="D189" i="57"/>
  <c r="F189" i="57"/>
  <c r="K189" i="57"/>
  <c r="G189" i="57"/>
  <c r="H189" i="57"/>
  <c r="AN188" i="55" a="1"/>
  <c r="AN188" i="55"/>
  <c r="B190" i="57"/>
  <c r="AR174" i="67" a="1"/>
  <c r="AR174" i="67"/>
  <c r="B175" i="69"/>
  <c r="L175" i="69"/>
  <c r="C174" i="69"/>
  <c r="P174" i="69"/>
  <c r="AE172" i="69"/>
  <c r="R172" i="69"/>
  <c r="S172" i="69"/>
  <c r="Y172" i="69"/>
  <c r="D173" i="69"/>
  <c r="E173" i="69"/>
  <c r="F173" i="69"/>
  <c r="G173" i="69"/>
  <c r="H173" i="69"/>
  <c r="I173" i="69"/>
  <c r="J173" i="69"/>
  <c r="K173" i="69"/>
  <c r="M173" i="69"/>
  <c r="AP129" i="59" a="1"/>
  <c r="AP129" i="59"/>
  <c r="E130" i="50"/>
  <c r="AQ19" i="59" a="1"/>
  <c r="AQ19" i="59"/>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P174" i="69"/>
  <c r="N174" i="69"/>
  <c r="U174" i="69"/>
  <c r="T130" i="50"/>
  <c r="O130" i="50"/>
  <c r="AF173" i="69"/>
  <c r="Q173" i="69"/>
  <c r="O190" i="57"/>
  <c r="P190" i="57"/>
  <c r="AC171" i="69"/>
  <c r="AD171" i="69"/>
  <c r="AB172" i="69"/>
  <c r="AG172" i="69"/>
  <c r="AO174" i="69"/>
  <c r="O175" i="69"/>
  <c r="AK130" i="50"/>
  <c r="AY173" i="69"/>
  <c r="L190" i="57"/>
  <c r="N190" i="57"/>
  <c r="AH173" i="69"/>
  <c r="G130" i="50"/>
  <c r="F130" i="50"/>
  <c r="AM130" i="50" s="1"/>
  <c r="H130" i="50"/>
  <c r="L130" i="50"/>
  <c r="K130" i="50"/>
  <c r="B130" i="50"/>
  <c r="R130" i="50" s="1"/>
  <c r="S130" i="50" s="1"/>
  <c r="Z130" i="50" s="1"/>
  <c r="J130" i="50"/>
  <c r="I130" i="50"/>
  <c r="M130" i="50"/>
  <c r="N130" i="50"/>
  <c r="A130" i="50"/>
  <c r="Q130" i="50" s="1"/>
  <c r="P130" i="50" s="1"/>
  <c r="J190" i="57"/>
  <c r="G190" i="57"/>
  <c r="D190" i="57"/>
  <c r="K190" i="57"/>
  <c r="F190" i="57"/>
  <c r="H190" i="57"/>
  <c r="I190" i="57"/>
  <c r="C190" i="57"/>
  <c r="M190" i="57" s="1"/>
  <c r="AD190" i="57" s="1"/>
  <c r="E190" i="57"/>
  <c r="AN189" i="55" a="1"/>
  <c r="AN189" i="55"/>
  <c r="B191" i="57"/>
  <c r="C175" i="69"/>
  <c r="P175" i="69"/>
  <c r="AE173" i="69"/>
  <c r="R173" i="69"/>
  <c r="S173" i="69"/>
  <c r="Y173" i="69"/>
  <c r="D174" i="69"/>
  <c r="E174" i="69"/>
  <c r="F174" i="69"/>
  <c r="G174" i="69"/>
  <c r="H174" i="69"/>
  <c r="I174" i="69"/>
  <c r="J174" i="69"/>
  <c r="K174" i="69"/>
  <c r="M174" i="69"/>
  <c r="AR175" i="67" a="1"/>
  <c r="AR175" i="67"/>
  <c r="B176" i="69"/>
  <c r="L176" i="69"/>
  <c r="AP130" i="59" a="1"/>
  <c r="AP130" i="59"/>
  <c r="E131" i="50"/>
  <c r="AQ20" i="59" a="1"/>
  <c r="AQ20" i="59"/>
  <c r="AP175" i="69"/>
  <c r="N175" i="69"/>
  <c r="U175" i="69"/>
  <c r="T131" i="50"/>
  <c r="O131" i="50"/>
  <c r="AF174" i="69"/>
  <c r="Q174" i="69"/>
  <c r="O191" i="57"/>
  <c r="AG191" i="57" s="1"/>
  <c r="P191" i="57"/>
  <c r="AC172" i="69"/>
  <c r="AD172" i="69"/>
  <c r="AB173" i="69"/>
  <c r="AG173" i="69"/>
  <c r="O176" i="69"/>
  <c r="AO175" i="69"/>
  <c r="AK131" i="50"/>
  <c r="AY174" i="69"/>
  <c r="L191" i="57"/>
  <c r="N191" i="57"/>
  <c r="AH174" i="69"/>
  <c r="B131" i="50"/>
  <c r="R131" i="50" s="1"/>
  <c r="S131" i="50" s="1"/>
  <c r="AJ131" i="50" s="1"/>
  <c r="A131" i="50"/>
  <c r="Q131" i="50" s="1"/>
  <c r="P131" i="50" s="1"/>
  <c r="K131" i="50"/>
  <c r="G131" i="50"/>
  <c r="H131" i="50"/>
  <c r="M131" i="50"/>
  <c r="N131" i="50"/>
  <c r="I131" i="50"/>
  <c r="J131" i="50"/>
  <c r="L131" i="50"/>
  <c r="F131" i="50"/>
  <c r="U131" i="50" s="1"/>
  <c r="D191" i="57"/>
  <c r="F191" i="57"/>
  <c r="I191" i="57"/>
  <c r="E191" i="57"/>
  <c r="K191" i="57"/>
  <c r="J191" i="57"/>
  <c r="C191" i="57"/>
  <c r="M191" i="57" s="1"/>
  <c r="G191" i="57"/>
  <c r="H191" i="57"/>
  <c r="AN190" i="55" a="1"/>
  <c r="AN190" i="55"/>
  <c r="B192" i="57"/>
  <c r="AR176" i="67" a="1"/>
  <c r="AR176" i="67"/>
  <c r="B177" i="69"/>
  <c r="L177" i="69"/>
  <c r="D175" i="69"/>
  <c r="E175" i="69"/>
  <c r="F175" i="69"/>
  <c r="G175" i="69"/>
  <c r="H175" i="69"/>
  <c r="I175" i="69"/>
  <c r="J175" i="69"/>
  <c r="K175" i="69"/>
  <c r="M175" i="69"/>
  <c r="C176" i="69"/>
  <c r="P176" i="69"/>
  <c r="R174" i="69"/>
  <c r="S174" i="69"/>
  <c r="Y174" i="69"/>
  <c r="AE174" i="69"/>
  <c r="AP131" i="59" a="1"/>
  <c r="AP131" i="59"/>
  <c r="E132" i="50"/>
  <c r="AQ21" i="59" a="1"/>
  <c r="AQ21" i="59"/>
  <c r="AP176" i="69"/>
  <c r="N176" i="69"/>
  <c r="U176" i="69"/>
  <c r="T132" i="50"/>
  <c r="O132" i="50"/>
  <c r="AF175" i="69"/>
  <c r="Q175" i="69"/>
  <c r="O192" i="57"/>
  <c r="AG192" i="57" s="1"/>
  <c r="P192" i="57"/>
  <c r="AC173" i="69"/>
  <c r="AD173" i="69"/>
  <c r="AB174" i="69"/>
  <c r="AG174" i="69"/>
  <c r="O177" i="69"/>
  <c r="AO176" i="69"/>
  <c r="AK132" i="50"/>
  <c r="AY175" i="69"/>
  <c r="L192" i="57"/>
  <c r="N192" i="57"/>
  <c r="AH175" i="69"/>
  <c r="K132" i="50"/>
  <c r="I132" i="50"/>
  <c r="L132" i="50"/>
  <c r="A132" i="50"/>
  <c r="Q132" i="50" s="1"/>
  <c r="P132" i="50" s="1"/>
  <c r="J132" i="50"/>
  <c r="N132" i="50"/>
  <c r="B132" i="50"/>
  <c r="R132" i="50" s="1"/>
  <c r="S132" i="50" s="1"/>
  <c r="M132" i="50"/>
  <c r="F132" i="50"/>
  <c r="U132" i="50" s="1"/>
  <c r="G132" i="50"/>
  <c r="H132" i="50"/>
  <c r="K192" i="57"/>
  <c r="J192" i="57"/>
  <c r="H192" i="57"/>
  <c r="F192" i="57"/>
  <c r="D192" i="57"/>
  <c r="C192" i="57"/>
  <c r="M192" i="57" s="1"/>
  <c r="Q192" i="57" s="1"/>
  <c r="T192" i="57" s="1"/>
  <c r="G192" i="57"/>
  <c r="I192" i="57"/>
  <c r="E192" i="57"/>
  <c r="AN191" i="55" a="1"/>
  <c r="AN191" i="55"/>
  <c r="B193" i="57"/>
  <c r="AR177" i="67" a="1"/>
  <c r="AR177" i="67"/>
  <c r="B178" i="69"/>
  <c r="L178" i="69"/>
  <c r="D176" i="69"/>
  <c r="E176" i="69"/>
  <c r="F176" i="69"/>
  <c r="G176" i="69"/>
  <c r="H176" i="69"/>
  <c r="I176" i="69"/>
  <c r="J176" i="69"/>
  <c r="K176" i="69"/>
  <c r="M176" i="69"/>
  <c r="C177" i="69"/>
  <c r="P177" i="69"/>
  <c r="AE175" i="69"/>
  <c r="R175" i="69"/>
  <c r="S175" i="69"/>
  <c r="Y175" i="69"/>
  <c r="AP132" i="59" a="1"/>
  <c r="AP132" i="59"/>
  <c r="E133" i="50"/>
  <c r="AQ22" i="59" a="1"/>
  <c r="AQ22" i="59"/>
  <c r="AP177" i="69"/>
  <c r="N177" i="69"/>
  <c r="U177" i="69"/>
  <c r="T133" i="50"/>
  <c r="O133" i="50"/>
  <c r="AF176" i="69"/>
  <c r="Q176" i="69"/>
  <c r="O193" i="57"/>
  <c r="AG193" i="57" s="1"/>
  <c r="P193" i="57"/>
  <c r="AC174" i="69"/>
  <c r="AD174" i="69"/>
  <c r="AB175" i="69"/>
  <c r="AG175" i="69"/>
  <c r="AO177" i="69"/>
  <c r="O178" i="69"/>
  <c r="AK133" i="50"/>
  <c r="AY176" i="69"/>
  <c r="L193" i="57"/>
  <c r="N193" i="57"/>
  <c r="AH176" i="69"/>
  <c r="M133" i="50"/>
  <c r="F133" i="50"/>
  <c r="U133" i="50" s="1"/>
  <c r="H133" i="50"/>
  <c r="G133" i="50"/>
  <c r="I133" i="50"/>
  <c r="L133" i="50"/>
  <c r="N133" i="50"/>
  <c r="A133" i="50"/>
  <c r="Q133" i="50" s="1"/>
  <c r="P133" i="50" s="1"/>
  <c r="J133" i="50"/>
  <c r="K133" i="50"/>
  <c r="B133" i="50"/>
  <c r="R133" i="50" s="1"/>
  <c r="S133" i="50" s="1"/>
  <c r="J193" i="57"/>
  <c r="H193" i="57"/>
  <c r="E193" i="57"/>
  <c r="K193" i="57"/>
  <c r="G193" i="57"/>
  <c r="C193" i="57"/>
  <c r="M193" i="57" s="1"/>
  <c r="F193" i="57"/>
  <c r="I193" i="57"/>
  <c r="D193" i="57"/>
  <c r="AN192" i="55" a="1"/>
  <c r="AN192" i="55"/>
  <c r="B194" i="57"/>
  <c r="AR178" i="67" a="1"/>
  <c r="AR178" i="67"/>
  <c r="B179" i="69"/>
  <c r="L179" i="69"/>
  <c r="R176" i="69"/>
  <c r="S176" i="69"/>
  <c r="Y176" i="69"/>
  <c r="AE176" i="69"/>
  <c r="D177" i="69"/>
  <c r="E177" i="69"/>
  <c r="F177" i="69"/>
  <c r="G177" i="69"/>
  <c r="H177" i="69"/>
  <c r="I177" i="69"/>
  <c r="J177" i="69"/>
  <c r="K177" i="69"/>
  <c r="M177" i="69"/>
  <c r="C178" i="69"/>
  <c r="P178" i="69"/>
  <c r="AP133" i="59" a="1"/>
  <c r="AP133" i="59"/>
  <c r="E134" i="50"/>
  <c r="AQ23" i="59" a="1"/>
  <c r="AQ23" i="59"/>
  <c r="AP178" i="69"/>
  <c r="N178" i="69"/>
  <c r="U178" i="69"/>
  <c r="T134" i="50"/>
  <c r="O134" i="50"/>
  <c r="AF177" i="69"/>
  <c r="Q177" i="69"/>
  <c r="O194" i="57"/>
  <c r="AG194" i="57" s="1"/>
  <c r="P194" i="57"/>
  <c r="AC175" i="69"/>
  <c r="AD175" i="69"/>
  <c r="AB176" i="69"/>
  <c r="AG176" i="69"/>
  <c r="AO178" i="69"/>
  <c r="O179" i="69"/>
  <c r="AK134" i="50"/>
  <c r="AY177" i="69"/>
  <c r="L194" i="57"/>
  <c r="N194" i="57"/>
  <c r="AH177" i="69"/>
  <c r="F134" i="50"/>
  <c r="AM134" i="50" s="1"/>
  <c r="G134" i="50"/>
  <c r="B134" i="50"/>
  <c r="R134" i="50" s="1"/>
  <c r="S134" i="50" s="1"/>
  <c r="L134" i="50"/>
  <c r="K134" i="50"/>
  <c r="I134" i="50"/>
  <c r="A134" i="50"/>
  <c r="Q134" i="50" s="1"/>
  <c r="P134" i="50" s="1"/>
  <c r="M134" i="50"/>
  <c r="J134" i="50"/>
  <c r="N134" i="50"/>
  <c r="H134" i="50"/>
  <c r="J194" i="57"/>
  <c r="D194" i="57"/>
  <c r="H194" i="57"/>
  <c r="C194" i="57"/>
  <c r="M194" i="57" s="1"/>
  <c r="AK194" i="57" s="1"/>
  <c r="K194" i="57"/>
  <c r="F194" i="57"/>
  <c r="I194" i="57"/>
  <c r="G194" i="57"/>
  <c r="E194" i="57"/>
  <c r="AN193" i="55" a="1"/>
  <c r="AN193" i="55"/>
  <c r="B195" i="57"/>
  <c r="AR179" i="67" a="1"/>
  <c r="AR179" i="67"/>
  <c r="B180" i="69"/>
  <c r="L180" i="69"/>
  <c r="R177" i="69"/>
  <c r="S177" i="69"/>
  <c r="Y177" i="69"/>
  <c r="AE177" i="69"/>
  <c r="C179" i="69"/>
  <c r="P179" i="69"/>
  <c r="D178" i="69"/>
  <c r="E178" i="69"/>
  <c r="F178" i="69"/>
  <c r="G178" i="69"/>
  <c r="H178" i="69"/>
  <c r="I178" i="69"/>
  <c r="J178" i="69"/>
  <c r="K178" i="69"/>
  <c r="M178" i="69"/>
  <c r="AP134" i="59" a="1"/>
  <c r="AP134" i="59"/>
  <c r="E135" i="50"/>
  <c r="AQ24" i="59" a="1"/>
  <c r="AQ24" i="59"/>
  <c r="AP179" i="69"/>
  <c r="N179" i="69"/>
  <c r="U179" i="69"/>
  <c r="T135" i="50"/>
  <c r="O135" i="50"/>
  <c r="AF178" i="69"/>
  <c r="Q178" i="69"/>
  <c r="O195" i="57"/>
  <c r="AG195" i="57" s="1"/>
  <c r="P195" i="57"/>
  <c r="AC176" i="69"/>
  <c r="AD176" i="69"/>
  <c r="AB177" i="69"/>
  <c r="AG177" i="69"/>
  <c r="O180" i="69"/>
  <c r="AO179" i="69"/>
  <c r="AK135" i="50"/>
  <c r="I82" i="22"/>
  <c r="BG12" i="22" s="1"/>
  <c r="AY178" i="69"/>
  <c r="L195" i="57"/>
  <c r="N195" i="57"/>
  <c r="AH178" i="69"/>
  <c r="M135" i="50"/>
  <c r="G135" i="50"/>
  <c r="A135" i="50"/>
  <c r="Q135" i="50" s="1"/>
  <c r="P135" i="50" s="1"/>
  <c r="L135" i="50"/>
  <c r="J135" i="50"/>
  <c r="K135" i="50"/>
  <c r="F135" i="50"/>
  <c r="I135" i="50"/>
  <c r="B135" i="50"/>
  <c r="R135" i="50" s="1"/>
  <c r="S135" i="50" s="1"/>
  <c r="W135" i="50" s="1"/>
  <c r="X135" i="50" s="1"/>
  <c r="N135" i="50"/>
  <c r="H135" i="50"/>
  <c r="I195" i="57"/>
  <c r="F195" i="57"/>
  <c r="E195" i="57"/>
  <c r="D195" i="57"/>
  <c r="J195" i="57"/>
  <c r="K195" i="57"/>
  <c r="G195" i="57"/>
  <c r="H195" i="57"/>
  <c r="C195" i="57"/>
  <c r="M195" i="57" s="1"/>
  <c r="AN194" i="55" a="1"/>
  <c r="AN194" i="55"/>
  <c r="B196" i="57"/>
  <c r="AR180" i="67" a="1"/>
  <c r="AR180" i="67"/>
  <c r="B181" i="69"/>
  <c r="L181" i="69"/>
  <c r="R178" i="69"/>
  <c r="S178" i="69"/>
  <c r="Y178" i="69"/>
  <c r="AE178" i="69"/>
  <c r="D179" i="69"/>
  <c r="E179" i="69"/>
  <c r="F179" i="69"/>
  <c r="G179" i="69"/>
  <c r="H179" i="69"/>
  <c r="I179" i="69"/>
  <c r="J179" i="69"/>
  <c r="K179" i="69"/>
  <c r="M179" i="69"/>
  <c r="C180" i="69"/>
  <c r="P180" i="69"/>
  <c r="AP135" i="59" a="1"/>
  <c r="AP135" i="59"/>
  <c r="E136" i="50"/>
  <c r="I4" i="22"/>
  <c r="I13" i="22"/>
  <c r="AQ25" i="59" a="1"/>
  <c r="AQ25" i="59"/>
  <c r="I66" i="22"/>
  <c r="I7" i="22"/>
  <c r="I59" i="22"/>
  <c r="I10" i="22"/>
  <c r="AH13" i="11"/>
  <c r="AH15" i="11"/>
  <c r="AH16" i="11"/>
  <c r="AH17" i="11"/>
  <c r="AH19" i="11"/>
  <c r="AP180" i="69"/>
  <c r="N180" i="69"/>
  <c r="U180" i="69"/>
  <c r="T136" i="50"/>
  <c r="O136" i="50"/>
  <c r="I19" i="22"/>
  <c r="BG6" i="22" s="1"/>
  <c r="BG15" i="22"/>
  <c r="T259" i="59"/>
  <c r="H20" i="73" s="1"/>
  <c r="AF179" i="69"/>
  <c r="Q179" i="69"/>
  <c r="O196" i="57"/>
  <c r="P196" i="57"/>
  <c r="AC177" i="69"/>
  <c r="AD177" i="69"/>
  <c r="AB178" i="69"/>
  <c r="AG178" i="69"/>
  <c r="O181" i="69"/>
  <c r="AO180" i="69"/>
  <c r="AK136" i="50"/>
  <c r="Q259" i="59"/>
  <c r="L20" i="73" s="1"/>
  <c r="BG8" i="22"/>
  <c r="L48" i="36"/>
  <c r="L42" i="36"/>
  <c r="L46" i="36"/>
  <c r="L44" i="36"/>
  <c r="L40" i="36"/>
  <c r="AY179" i="69"/>
  <c r="L196" i="57"/>
  <c r="N196" i="57"/>
  <c r="AH179" i="69"/>
  <c r="F136" i="50"/>
  <c r="U136" i="50" s="1"/>
  <c r="N136" i="50"/>
  <c r="G136" i="50"/>
  <c r="J136" i="50"/>
  <c r="H136" i="50"/>
  <c r="I136" i="50"/>
  <c r="B136" i="50"/>
  <c r="R136" i="50" s="1"/>
  <c r="S136" i="50" s="1"/>
  <c r="Z136" i="50" s="1"/>
  <c r="M136" i="50"/>
  <c r="A136" i="50"/>
  <c r="Q136" i="50" s="1"/>
  <c r="P136" i="50" s="1"/>
  <c r="K136" i="50"/>
  <c r="L136" i="50"/>
  <c r="K196" i="57"/>
  <c r="H196" i="57"/>
  <c r="F196" i="57"/>
  <c r="C196" i="57"/>
  <c r="M196" i="57" s="1"/>
  <c r="I196" i="57"/>
  <c r="J196" i="57"/>
  <c r="E196" i="57"/>
  <c r="G196" i="57"/>
  <c r="D196" i="57"/>
  <c r="AN195" i="55" a="1"/>
  <c r="AN195" i="55"/>
  <c r="B197" i="57"/>
  <c r="AR181" i="67" a="1"/>
  <c r="AR181" i="67"/>
  <c r="B182" i="69"/>
  <c r="L182" i="69"/>
  <c r="AE179" i="69"/>
  <c r="R179" i="69"/>
  <c r="S179" i="69"/>
  <c r="D180" i="69"/>
  <c r="E180" i="69"/>
  <c r="F180" i="69"/>
  <c r="G180" i="69"/>
  <c r="H180" i="69"/>
  <c r="I180" i="69"/>
  <c r="J180" i="69"/>
  <c r="K180" i="69"/>
  <c r="M180" i="69"/>
  <c r="C181" i="69"/>
  <c r="P181" i="69"/>
  <c r="I26" i="22"/>
  <c r="BG7" i="22" s="1"/>
  <c r="AP136" i="59" a="1"/>
  <c r="AP136" i="59"/>
  <c r="E137" i="50"/>
  <c r="I5" i="22"/>
  <c r="I46" i="22"/>
  <c r="AQ26" i="59" a="1"/>
  <c r="AQ26" i="59"/>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M11" i="11" s="1" a="1"/>
  <c r="AM11" i="11" s="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c r="F24" i="96" s="1"/>
  <c r="Y179" i="69"/>
  <c r="AB179" i="69"/>
  <c r="AC179" i="69"/>
  <c r="AD179" i="69"/>
  <c r="AP181" i="69"/>
  <c r="N181" i="69"/>
  <c r="U181" i="69"/>
  <c r="O137" i="50"/>
  <c r="T137" i="50"/>
  <c r="AF180" i="69"/>
  <c r="Q180" i="69"/>
  <c r="O197" i="57"/>
  <c r="AG197" i="57" s="1"/>
  <c r="P197" i="57"/>
  <c r="D24" i="36"/>
  <c r="AC178" i="69"/>
  <c r="AD178" i="69"/>
  <c r="F56" i="22"/>
  <c r="F16" i="22"/>
  <c r="F57" i="22"/>
  <c r="AO181" i="69"/>
  <c r="O182" i="69"/>
  <c r="F4" i="22"/>
  <c r="F9" i="22"/>
  <c r="AK137" i="50"/>
  <c r="D27" i="36"/>
  <c r="F62" i="22"/>
  <c r="BG16" i="22"/>
  <c r="AY180" i="69"/>
  <c r="L197" i="57"/>
  <c r="N197" i="57"/>
  <c r="AH180" i="69"/>
  <c r="J137" i="50"/>
  <c r="F137" i="50"/>
  <c r="AM137" i="50" s="1"/>
  <c r="M137" i="50"/>
  <c r="H137" i="50"/>
  <c r="K137" i="50"/>
  <c r="I137" i="50"/>
  <c r="G137" i="50"/>
  <c r="A137" i="50"/>
  <c r="Q137" i="50" s="1"/>
  <c r="P137" i="50" s="1"/>
  <c r="N137" i="50"/>
  <c r="L137" i="50"/>
  <c r="B137" i="50"/>
  <c r="R137" i="50" s="1"/>
  <c r="S137" i="50" s="1"/>
  <c r="W137" i="50" s="1"/>
  <c r="X137" i="50" s="1"/>
  <c r="V11" i="11"/>
  <c r="U11" i="11"/>
  <c r="J197" i="57"/>
  <c r="E197" i="57"/>
  <c r="K197" i="57"/>
  <c r="G197" i="57"/>
  <c r="C197" i="57"/>
  <c r="M197" i="57" s="1"/>
  <c r="I197" i="57"/>
  <c r="D197" i="57"/>
  <c r="F197" i="57"/>
  <c r="H197" i="57"/>
  <c r="AN196" i="55" a="1"/>
  <c r="AN196" i="55"/>
  <c r="B198" i="57"/>
  <c r="R180" i="69"/>
  <c r="S180" i="69"/>
  <c r="Y180" i="69"/>
  <c r="AE180" i="69"/>
  <c r="D181" i="69"/>
  <c r="E181" i="69"/>
  <c r="F181" i="69"/>
  <c r="G181" i="69"/>
  <c r="H181" i="69"/>
  <c r="I181" i="69"/>
  <c r="J181" i="69"/>
  <c r="K181" i="69"/>
  <c r="M181" i="69"/>
  <c r="C182" i="69"/>
  <c r="P182" i="69"/>
  <c r="AR182" i="67" a="1"/>
  <c r="AR182" i="67"/>
  <c r="B183" i="69"/>
  <c r="L183" i="69"/>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52" i="22"/>
  <c r="L68" i="22"/>
  <c r="L97" i="22"/>
  <c r="L15" i="22"/>
  <c r="AP137" i="59" a="1"/>
  <c r="AP137" i="59"/>
  <c r="E138" i="50"/>
  <c r="AQ27" i="59" a="1"/>
  <c r="AQ27" i="59"/>
  <c r="L10" i="22"/>
  <c r="L34" i="22"/>
  <c r="L9" i="22"/>
  <c r="L11" i="22"/>
  <c r="L12" i="22"/>
  <c r="H127" i="22"/>
  <c r="H43" i="22"/>
  <c r="H104" i="22"/>
  <c r="L13" i="22"/>
  <c r="AG179" i="69"/>
  <c r="H117" i="22"/>
  <c r="AP182" i="69"/>
  <c r="N182" i="69"/>
  <c r="U182" i="69"/>
  <c r="T138" i="50"/>
  <c r="O138" i="50"/>
  <c r="H114" i="22"/>
  <c r="H113" i="22"/>
  <c r="H55" i="22"/>
  <c r="H80" i="22"/>
  <c r="H38" i="22"/>
  <c r="F117" i="22"/>
  <c r="AF181" i="69"/>
  <c r="Q181" i="69"/>
  <c r="O198" i="57"/>
  <c r="AG198" i="57" s="1"/>
  <c r="P198" i="57"/>
  <c r="AB180" i="69"/>
  <c r="AG180" i="69"/>
  <c r="O183" i="69"/>
  <c r="AO182" i="69"/>
  <c r="AK138" i="50"/>
  <c r="H131" i="22"/>
  <c r="H109" i="22"/>
  <c r="F18" i="22"/>
  <c r="F26" i="22"/>
  <c r="H115" i="22"/>
  <c r="AY181" i="69"/>
  <c r="L198" i="57"/>
  <c r="N198" i="57"/>
  <c r="AH181" i="69"/>
  <c r="H138" i="50"/>
  <c r="I138" i="50"/>
  <c r="M138" i="50"/>
  <c r="F138" i="50"/>
  <c r="U138" i="50" s="1"/>
  <c r="G138" i="50"/>
  <c r="N138" i="50"/>
  <c r="J138" i="50"/>
  <c r="K138" i="50"/>
  <c r="B138" i="50"/>
  <c r="R138" i="50" s="1"/>
  <c r="S138" i="50" s="1"/>
  <c r="A138" i="50"/>
  <c r="Q138" i="50" s="1"/>
  <c r="P138" i="50" s="1"/>
  <c r="L138" i="50"/>
  <c r="D198" i="57"/>
  <c r="J198" i="57"/>
  <c r="G198" i="57"/>
  <c r="K198" i="57"/>
  <c r="F198" i="57"/>
  <c r="H198" i="57"/>
  <c r="I198" i="57"/>
  <c r="E198" i="57"/>
  <c r="C198" i="57"/>
  <c r="M198" i="57" s="1"/>
  <c r="AC198" i="57" s="1"/>
  <c r="H133" i="22"/>
  <c r="H116" i="22"/>
  <c r="AN197" i="55" a="1"/>
  <c r="AN197" i="55"/>
  <c r="B199" i="57"/>
  <c r="D182" i="69"/>
  <c r="E182" i="69"/>
  <c r="F182" i="69"/>
  <c r="G182" i="69"/>
  <c r="H182" i="69"/>
  <c r="I182" i="69"/>
  <c r="J182" i="69"/>
  <c r="K182" i="69"/>
  <c r="M182" i="69"/>
  <c r="R181" i="69"/>
  <c r="S181" i="69"/>
  <c r="Y181" i="69"/>
  <c r="AE181" i="69"/>
  <c r="C183" i="69"/>
  <c r="P183" i="69"/>
  <c r="AR183" i="67" a="1"/>
  <c r="AR183" i="67"/>
  <c r="B184" i="69"/>
  <c r="L184" i="69"/>
  <c r="L94" i="22"/>
  <c r="H103" i="22"/>
  <c r="L127" i="22"/>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c r="E139" i="50"/>
  <c r="H6" i="22"/>
  <c r="H61" i="22"/>
  <c r="H21" i="22"/>
  <c r="H54" i="22"/>
  <c r="H11" i="22"/>
  <c r="H59" i="22"/>
  <c r="H13" i="22"/>
  <c r="H37" i="22"/>
  <c r="H14" i="22"/>
  <c r="H82" i="22"/>
  <c r="H16" i="22"/>
  <c r="H36" i="22"/>
  <c r="H84" i="22"/>
  <c r="H47" i="22"/>
  <c r="H23" i="22"/>
  <c r="H46" i="22"/>
  <c r="H85" i="22"/>
  <c r="H97" i="22"/>
  <c r="L6" i="22"/>
  <c r="L4" i="22"/>
  <c r="H5" i="22"/>
  <c r="H17" i="22"/>
  <c r="H57" i="22"/>
  <c r="AQ28" i="59" a="1"/>
  <c r="AQ28" i="59"/>
  <c r="H92" i="22"/>
  <c r="H7" i="22"/>
  <c r="L78" i="22"/>
  <c r="L92" i="22"/>
  <c r="L64" i="22"/>
  <c r="L81" i="22"/>
  <c r="L77" i="22"/>
  <c r="H50" i="22"/>
  <c r="H53" i="22"/>
  <c r="H24" i="22"/>
  <c r="H19" i="22"/>
  <c r="H26" i="22"/>
  <c r="H25" i="22"/>
  <c r="H87" i="22"/>
  <c r="H95" i="22"/>
  <c r="H70" i="22"/>
  <c r="H76" i="22"/>
  <c r="L95" i="22"/>
  <c r="L102" i="22"/>
  <c r="H60" i="22"/>
  <c r="H52" i="22"/>
  <c r="H41" i="22"/>
  <c r="H58" i="22"/>
  <c r="L66" i="22"/>
  <c r="H66" i="22"/>
  <c r="H73" i="22"/>
  <c r="L59" i="22"/>
  <c r="H51" i="22"/>
  <c r="H49" i="22"/>
  <c r="H8" i="22"/>
  <c r="H4" i="22"/>
  <c r="F64" i="22"/>
  <c r="F98" i="22"/>
  <c r="F46" i="22"/>
  <c r="AP183" i="69"/>
  <c r="N183" i="69"/>
  <c r="U183" i="69"/>
  <c r="X11" i="11"/>
  <c r="J102" i="22"/>
  <c r="AX19" i="22" s="1"/>
  <c r="F47" i="22"/>
  <c r="F41" i="22"/>
  <c r="F134" i="22"/>
  <c r="AL18" i="22" s="1"/>
  <c r="D52" i="36" s="1"/>
  <c r="D91" i="36" s="1"/>
  <c r="F28" i="22"/>
  <c r="F94" i="22"/>
  <c r="F32" i="22"/>
  <c r="F48" i="22"/>
  <c r="F8" i="22"/>
  <c r="T139" i="50"/>
  <c r="O139" i="50"/>
  <c r="F60" i="22"/>
  <c r="F78" i="22"/>
  <c r="J134" i="22"/>
  <c r="F95" i="22"/>
  <c r="F53" i="22"/>
  <c r="F92" i="22"/>
  <c r="F113" i="22"/>
  <c r="F115" i="22"/>
  <c r="AL13" i="22" s="1"/>
  <c r="F114" i="22"/>
  <c r="F133" i="22"/>
  <c r="F29" i="22"/>
  <c r="F54" i="22"/>
  <c r="F44" i="22"/>
  <c r="F30" i="22"/>
  <c r="F82" i="22"/>
  <c r="F85" i="22"/>
  <c r="F55" i="22"/>
  <c r="F80" i="22"/>
  <c r="J113" i="22"/>
  <c r="AX66" i="22" s="1"/>
  <c r="F102" i="22"/>
  <c r="F38" i="22"/>
  <c r="AF182" i="69"/>
  <c r="Q182" i="69"/>
  <c r="O199" i="57"/>
  <c r="AG199" i="57" s="1"/>
  <c r="P199" i="57"/>
  <c r="AC180" i="69"/>
  <c r="AD180" i="69"/>
  <c r="AB181" i="69"/>
  <c r="AG181" i="69"/>
  <c r="O184" i="69"/>
  <c r="AO183" i="69"/>
  <c r="AK139" i="50"/>
  <c r="F73" i="22"/>
  <c r="F15" i="22"/>
  <c r="F79" i="22"/>
  <c r="F76" i="22"/>
  <c r="AL17" i="22" s="1"/>
  <c r="D53" i="36" s="1"/>
  <c r="D92" i="36" s="1"/>
  <c r="F63" i="22"/>
  <c r="F67" i="22"/>
  <c r="F66" i="22"/>
  <c r="F71" i="22"/>
  <c r="F90" i="22"/>
  <c r="F109" i="22"/>
  <c r="AL14" i="22" s="1"/>
  <c r="D49" i="36" s="1"/>
  <c r="D88" i="36" s="1"/>
  <c r="F14" i="22"/>
  <c r="F23" i="22"/>
  <c r="F131" i="22"/>
  <c r="AL16" i="22" s="1"/>
  <c r="D51" i="36" s="1"/>
  <c r="D90" i="36" s="1"/>
  <c r="F75" i="22"/>
  <c r="F96" i="22"/>
  <c r="F34" i="22"/>
  <c r="F19" i="22"/>
  <c r="J67" i="22"/>
  <c r="AX129" i="22" s="1"/>
  <c r="J86" i="22"/>
  <c r="AX16" i="22" s="1"/>
  <c r="J115" i="22"/>
  <c r="AX68" i="22" s="1"/>
  <c r="AY182" i="69"/>
  <c r="L199" i="57"/>
  <c r="N199" i="57"/>
  <c r="AH182" i="69"/>
  <c r="I139" i="50"/>
  <c r="N139" i="50"/>
  <c r="H139" i="50"/>
  <c r="A139" i="50"/>
  <c r="Q139" i="50" s="1"/>
  <c r="P139" i="50" s="1"/>
  <c r="L139" i="50"/>
  <c r="B139" i="50"/>
  <c r="R139" i="50" s="1"/>
  <c r="S139" i="50" s="1"/>
  <c r="C139" i="50" s="1"/>
  <c r="G139" i="50"/>
  <c r="F139" i="50"/>
  <c r="K139" i="50"/>
  <c r="M139" i="50"/>
  <c r="J139" i="50"/>
  <c r="I199" i="57"/>
  <c r="F199" i="57"/>
  <c r="D199" i="57"/>
  <c r="H199" i="57"/>
  <c r="E199" i="57"/>
  <c r="J199" i="57"/>
  <c r="G199" i="57"/>
  <c r="K199" i="57"/>
  <c r="C199" i="57"/>
  <c r="M199" i="57" s="1"/>
  <c r="AN198" i="55" a="1"/>
  <c r="AN198" i="55"/>
  <c r="B200" i="57"/>
  <c r="AR184" i="67" a="1"/>
  <c r="AR184" i="67"/>
  <c r="B185" i="69"/>
  <c r="L185" i="69"/>
  <c r="D183" i="69"/>
  <c r="E183" i="69"/>
  <c r="F183" i="69"/>
  <c r="G183" i="69"/>
  <c r="H183" i="69"/>
  <c r="I183" i="69"/>
  <c r="J183" i="69"/>
  <c r="K183" i="69"/>
  <c r="M183" i="69"/>
  <c r="C184" i="69"/>
  <c r="P184" i="69"/>
  <c r="R182" i="69"/>
  <c r="S182" i="69"/>
  <c r="AE182" i="69"/>
  <c r="J104" i="22"/>
  <c r="AX62" i="22" s="1"/>
  <c r="D70" i="36"/>
  <c r="J103" i="22"/>
  <c r="AX61" i="22" s="1"/>
  <c r="D68" i="36"/>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c r="E140" i="50"/>
  <c r="J101" i="22"/>
  <c r="AX60" i="22" s="1"/>
  <c r="J6" i="22"/>
  <c r="AX82" i="22" s="1"/>
  <c r="J11" i="22"/>
  <c r="AX115" i="22" s="1"/>
  <c r="J9" i="22"/>
  <c r="AX118" i="22" s="1"/>
  <c r="J82" i="22"/>
  <c r="AX12" i="22" s="1"/>
  <c r="J37" i="22"/>
  <c r="AX149" i="22" s="1"/>
  <c r="J36" i="22"/>
  <c r="AX36" i="22" s="1"/>
  <c r="J44" i="22"/>
  <c r="AX41" i="22" s="1"/>
  <c r="J46" i="22"/>
  <c r="AX43" i="22" s="1"/>
  <c r="J97" i="22"/>
  <c r="AX100" i="22" s="1"/>
  <c r="J85" i="22"/>
  <c r="AX15" i="22" s="1"/>
  <c r="J57" i="22"/>
  <c r="AX11" i="22" s="1"/>
  <c r="AQ29" i="59" a="1"/>
  <c r="AQ29" i="59"/>
  <c r="J84" i="22"/>
  <c r="AX14" i="22" s="1"/>
  <c r="J54" i="22"/>
  <c r="AX123" i="22" s="1"/>
  <c r="J23" i="22"/>
  <c r="AX33" i="22" s="1"/>
  <c r="J7" i="22"/>
  <c r="AX83" i="22" s="1"/>
  <c r="J92" i="22"/>
  <c r="AX54" i="22" s="1"/>
  <c r="J16" i="22"/>
  <c r="AX31" i="22" s="1"/>
  <c r="J19" i="22"/>
  <c r="AX6" i="22" s="1"/>
  <c r="J24" i="22"/>
  <c r="AX86" i="22" s="1"/>
  <c r="J26" i="22"/>
  <c r="AX7" i="22" s="1"/>
  <c r="J60" i="22"/>
  <c r="AX125" i="22" s="1"/>
  <c r="J76" i="22"/>
  <c r="AX105" i="22" s="1"/>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Y182" i="69"/>
  <c r="AB182" i="69"/>
  <c r="AC182" i="69"/>
  <c r="AD182" i="69"/>
  <c r="J117" i="22"/>
  <c r="AX73" i="22" s="1"/>
  <c r="AP184" i="69"/>
  <c r="N184" i="69"/>
  <c r="U184" i="69"/>
  <c r="T140" i="50"/>
  <c r="O140" i="50"/>
  <c r="J80" i="22"/>
  <c r="AX134" i="22" s="1"/>
  <c r="J114" i="22"/>
  <c r="AX67" i="22" s="1"/>
  <c r="J38" i="22"/>
  <c r="AX104" i="22" s="1"/>
  <c r="AF183" i="69"/>
  <c r="Q183" i="69"/>
  <c r="O200" i="57"/>
  <c r="AG200" i="57" s="1"/>
  <c r="P200" i="57"/>
  <c r="AC181" i="69"/>
  <c r="AD181" i="69"/>
  <c r="AO184" i="69"/>
  <c r="O185" i="69"/>
  <c r="AK140" i="50"/>
  <c r="J15" i="22"/>
  <c r="AX120" i="22" s="1"/>
  <c r="J75" i="22"/>
  <c r="AX132" i="22" s="1"/>
  <c r="J79" i="22"/>
  <c r="AX136" i="22" s="1"/>
  <c r="J63" i="22"/>
  <c r="AX150" i="22" s="1"/>
  <c r="J90" i="22"/>
  <c r="AX52" i="22" s="1"/>
  <c r="J109" i="22"/>
  <c r="AX22" i="22" s="1"/>
  <c r="J34" i="22"/>
  <c r="AX8" i="22" s="1"/>
  <c r="J131" i="22"/>
  <c r="AX147" i="22" s="1"/>
  <c r="AQ11" i="11"/>
  <c r="AY183" i="69"/>
  <c r="L200" i="57"/>
  <c r="N200" i="57"/>
  <c r="AH183" i="69"/>
  <c r="H140" i="50"/>
  <c r="A140" i="50"/>
  <c r="Q140" i="50" s="1"/>
  <c r="P140" i="50" s="1"/>
  <c r="G140" i="50"/>
  <c r="N140" i="50"/>
  <c r="M140" i="50"/>
  <c r="F140" i="50"/>
  <c r="U140" i="50" s="1"/>
  <c r="K140" i="50"/>
  <c r="I140" i="50"/>
  <c r="L140" i="50"/>
  <c r="B140" i="50"/>
  <c r="R140" i="50" s="1"/>
  <c r="S140" i="50" s="1"/>
  <c r="C140" i="50" s="1"/>
  <c r="J140" i="50"/>
  <c r="H200" i="57"/>
  <c r="F200" i="57"/>
  <c r="D200" i="57"/>
  <c r="C200" i="57"/>
  <c r="M200" i="57" s="1"/>
  <c r="AJ200" i="57" s="1"/>
  <c r="K200" i="57"/>
  <c r="J200" i="57"/>
  <c r="E200" i="57"/>
  <c r="I200" i="57"/>
  <c r="G200" i="57"/>
  <c r="J116" i="22"/>
  <c r="AX139" i="22" s="1"/>
  <c r="J10" i="22"/>
  <c r="AX114" i="22" s="1"/>
  <c r="AN199" i="55" a="1"/>
  <c r="AN199" i="55"/>
  <c r="B201" i="57"/>
  <c r="J133" i="22"/>
  <c r="AX103" i="22" s="1"/>
  <c r="AE183" i="69"/>
  <c r="R183" i="69"/>
  <c r="S183" i="69"/>
  <c r="Y183" i="69"/>
  <c r="C185" i="69"/>
  <c r="P185" i="69"/>
  <c r="D184" i="69"/>
  <c r="E184" i="69"/>
  <c r="F184" i="69"/>
  <c r="G184" i="69"/>
  <c r="H184" i="69"/>
  <c r="I184" i="69"/>
  <c r="J184" i="69"/>
  <c r="K184" i="69"/>
  <c r="M184" i="69"/>
  <c r="AR185" i="67" a="1"/>
  <c r="AR185" i="67"/>
  <c r="B186" i="69"/>
  <c r="L186" i="69"/>
  <c r="J100" i="22"/>
  <c r="AX59" i="22" s="1"/>
  <c r="J13" i="22"/>
  <c r="AX117" i="22" s="1"/>
  <c r="D69" i="36"/>
  <c r="D64" i="36"/>
  <c r="D66" i="36"/>
  <c r="D62" i="36"/>
  <c r="AL15" i="22"/>
  <c r="D50" i="36" s="1"/>
  <c r="D89" i="36" s="1"/>
  <c r="J32" i="22"/>
  <c r="AX35" i="22" s="1"/>
  <c r="J127" i="22"/>
  <c r="AX145" i="22" s="1"/>
  <c r="J51" i="22"/>
  <c r="AX10" i="22" s="1"/>
  <c r="D63" i="36"/>
  <c r="J53" i="22"/>
  <c r="AX47" i="22" s="1"/>
  <c r="J31" i="22"/>
  <c r="AX91" i="22" s="1"/>
  <c r="J17" i="22"/>
  <c r="AX32" i="22" s="1"/>
  <c r="J4" i="22"/>
  <c r="AX79" i="22" s="1"/>
  <c r="J5" i="22"/>
  <c r="AX81" i="22" s="1"/>
  <c r="J14" i="22"/>
  <c r="AX30" i="22" s="1"/>
  <c r="AP140" i="59" a="1"/>
  <c r="AP140" i="59"/>
  <c r="E141" i="50"/>
  <c r="AQ30" i="59" a="1"/>
  <c r="AQ30" i="59"/>
  <c r="AG182" i="69"/>
  <c r="AB183" i="69"/>
  <c r="AC183" i="69"/>
  <c r="AD183" i="69"/>
  <c r="AP185" i="69"/>
  <c r="N185" i="69"/>
  <c r="U185" i="69"/>
  <c r="D30" i="36"/>
  <c r="T141" i="50"/>
  <c r="O141" i="50"/>
  <c r="V139" i="50"/>
  <c r="AF184" i="69"/>
  <c r="Q184" i="69"/>
  <c r="O201" i="57"/>
  <c r="AG201" i="57" s="1"/>
  <c r="P201" i="57"/>
  <c r="O186" i="69"/>
  <c r="AG183" i="69"/>
  <c r="AO185" i="69"/>
  <c r="AK141" i="50"/>
  <c r="AY184" i="69"/>
  <c r="L201" i="57"/>
  <c r="N201" i="57"/>
  <c r="AH184" i="69"/>
  <c r="L17" i="22"/>
  <c r="M141" i="50"/>
  <c r="A141" i="50"/>
  <c r="Q141" i="50" s="1"/>
  <c r="P141" i="50" s="1"/>
  <c r="J141" i="50"/>
  <c r="F141" i="50"/>
  <c r="AM141" i="50" s="1"/>
  <c r="H141" i="50"/>
  <c r="I141" i="50"/>
  <c r="N141" i="50"/>
  <c r="B141" i="50"/>
  <c r="R141" i="50" s="1"/>
  <c r="S141" i="50" s="1"/>
  <c r="C141" i="50" s="1"/>
  <c r="G141" i="50"/>
  <c r="K141" i="50"/>
  <c r="L141" i="50"/>
  <c r="J201" i="57"/>
  <c r="H201" i="57"/>
  <c r="E201" i="57"/>
  <c r="K201" i="57"/>
  <c r="G201" i="57"/>
  <c r="C201" i="57"/>
  <c r="M201" i="57" s="1"/>
  <c r="AC201" i="57" s="1"/>
  <c r="F201" i="57"/>
  <c r="I201" i="57"/>
  <c r="D201" i="57"/>
  <c r="AN200" i="55" a="1"/>
  <c r="AN200" i="55"/>
  <c r="B202" i="57"/>
  <c r="AR186" i="67" a="1"/>
  <c r="AR186" i="67"/>
  <c r="B187" i="69"/>
  <c r="L187" i="69"/>
  <c r="C186" i="69"/>
  <c r="P186" i="69"/>
  <c r="D185" i="69"/>
  <c r="E185" i="69"/>
  <c r="F185" i="69"/>
  <c r="G185" i="69"/>
  <c r="H185" i="69"/>
  <c r="I185" i="69"/>
  <c r="J185" i="69"/>
  <c r="K185" i="69"/>
  <c r="M185" i="69"/>
  <c r="R184" i="69"/>
  <c r="S184" i="69"/>
  <c r="Y184" i="69"/>
  <c r="AE184" i="69"/>
  <c r="D60" i="36"/>
  <c r="D61" i="36"/>
  <c r="D67" i="36"/>
  <c r="AL12" i="22"/>
  <c r="AL4" i="22"/>
  <c r="D39" i="36" s="1"/>
  <c r="D78" i="36" s="1"/>
  <c r="AP141" i="59" a="1"/>
  <c r="AP141" i="59"/>
  <c r="E142" i="50"/>
  <c r="AQ31" i="59" a="1"/>
  <c r="AQ31" i="59"/>
  <c r="AP186" i="69"/>
  <c r="N186" i="69"/>
  <c r="U186" i="69"/>
  <c r="T142" i="50"/>
  <c r="O142" i="50"/>
  <c r="AF185" i="69"/>
  <c r="Q185" i="69"/>
  <c r="O202" i="57"/>
  <c r="AG202" i="57" s="1"/>
  <c r="P202" i="57"/>
  <c r="AB184" i="69"/>
  <c r="AG184" i="69"/>
  <c r="AO186" i="69"/>
  <c r="O187" i="69"/>
  <c r="AK142" i="50"/>
  <c r="AY185" i="69"/>
  <c r="L202" i="57"/>
  <c r="N202" i="57"/>
  <c r="AH185" i="69"/>
  <c r="L142" i="50"/>
  <c r="I142" i="50"/>
  <c r="M142" i="50"/>
  <c r="J142" i="50"/>
  <c r="A142" i="50"/>
  <c r="Q142" i="50" s="1"/>
  <c r="P142" i="50" s="1"/>
  <c r="K142" i="50"/>
  <c r="F142" i="50"/>
  <c r="U142" i="50" s="1"/>
  <c r="G142" i="50"/>
  <c r="B142" i="50"/>
  <c r="R142" i="50" s="1"/>
  <c r="S142" i="50" s="1"/>
  <c r="N142" i="50"/>
  <c r="H142" i="50"/>
  <c r="J202" i="57"/>
  <c r="D202" i="57"/>
  <c r="I202" i="57"/>
  <c r="F202" i="57"/>
  <c r="E202" i="57"/>
  <c r="K202" i="57"/>
  <c r="H202" i="57"/>
  <c r="C202" i="57"/>
  <c r="M202" i="57" s="1"/>
  <c r="G202" i="57"/>
  <c r="AN201" i="55" a="1"/>
  <c r="AN201" i="55"/>
  <c r="B203" i="57"/>
  <c r="AR187" i="67" a="1"/>
  <c r="AR187" i="67"/>
  <c r="B188" i="69"/>
  <c r="L188" i="69"/>
  <c r="AE185" i="69"/>
  <c r="R185" i="69"/>
  <c r="S185" i="69"/>
  <c r="Y185" i="69"/>
  <c r="C187" i="69"/>
  <c r="P187" i="69"/>
  <c r="D186" i="69"/>
  <c r="E186" i="69"/>
  <c r="F186" i="69"/>
  <c r="G186" i="69"/>
  <c r="H186" i="69"/>
  <c r="I186" i="69"/>
  <c r="J186" i="69"/>
  <c r="K186" i="69"/>
  <c r="M186" i="69"/>
  <c r="AP142" i="59" a="1"/>
  <c r="AP142" i="59"/>
  <c r="E143" i="50"/>
  <c r="AQ32" i="59" a="1"/>
  <c r="AQ32" i="59"/>
  <c r="AP187" i="69"/>
  <c r="N187" i="69"/>
  <c r="U187" i="69"/>
  <c r="T143" i="50"/>
  <c r="O143" i="50"/>
  <c r="AF186" i="69"/>
  <c r="Q186" i="69"/>
  <c r="O203" i="57"/>
  <c r="AG203" i="57" s="1"/>
  <c r="P203" i="57"/>
  <c r="AC184" i="69"/>
  <c r="AD184" i="69"/>
  <c r="AB185" i="69"/>
  <c r="AG185" i="69"/>
  <c r="O188" i="69"/>
  <c r="AO187" i="69"/>
  <c r="AK143" i="50"/>
  <c r="AY186" i="69"/>
  <c r="L203" i="57"/>
  <c r="N203" i="57"/>
  <c r="AH186" i="69"/>
  <c r="J143" i="50"/>
  <c r="I143" i="50"/>
  <c r="H143" i="50"/>
  <c r="N143" i="50"/>
  <c r="M143" i="50"/>
  <c r="F143" i="50"/>
  <c r="U143" i="50" s="1"/>
  <c r="G143" i="50"/>
  <c r="A143" i="50"/>
  <c r="Q143" i="50" s="1"/>
  <c r="P143" i="50" s="1"/>
  <c r="K143" i="50"/>
  <c r="L143" i="50"/>
  <c r="B143" i="50"/>
  <c r="R143" i="50" s="1"/>
  <c r="S143" i="50" s="1"/>
  <c r="H203" i="57"/>
  <c r="D203" i="57"/>
  <c r="F203" i="57"/>
  <c r="K203" i="57"/>
  <c r="G203" i="57"/>
  <c r="C203" i="57"/>
  <c r="M203" i="57" s="1"/>
  <c r="Q203" i="57" s="1"/>
  <c r="T203" i="57" s="1"/>
  <c r="E203" i="57"/>
  <c r="J203" i="57"/>
  <c r="I203" i="57"/>
  <c r="AN202" i="55" a="1"/>
  <c r="AN202" i="55"/>
  <c r="B204" i="57"/>
  <c r="AR188" i="67" a="1"/>
  <c r="AR188" i="67"/>
  <c r="B189" i="69"/>
  <c r="L189" i="69"/>
  <c r="D187" i="69"/>
  <c r="E187" i="69"/>
  <c r="F187" i="69"/>
  <c r="G187" i="69"/>
  <c r="H187" i="69"/>
  <c r="I187" i="69"/>
  <c r="J187" i="69"/>
  <c r="K187" i="69"/>
  <c r="M187" i="69"/>
  <c r="R186" i="69"/>
  <c r="S186" i="69"/>
  <c r="Y186" i="69"/>
  <c r="AE186" i="69"/>
  <c r="C188" i="69"/>
  <c r="P188" i="69"/>
  <c r="AP143" i="59" a="1"/>
  <c r="AP143" i="59"/>
  <c r="E144" i="50"/>
  <c r="AQ33" i="59" a="1"/>
  <c r="AQ33" i="59"/>
  <c r="AP188" i="69"/>
  <c r="N188" i="69"/>
  <c r="U188" i="69"/>
  <c r="T144" i="50"/>
  <c r="O144" i="50"/>
  <c r="AF187" i="69"/>
  <c r="Q187" i="69"/>
  <c r="O204" i="57"/>
  <c r="AG204" i="57" s="1"/>
  <c r="P204" i="57"/>
  <c r="AC185" i="69"/>
  <c r="AD185" i="69"/>
  <c r="AB186" i="69"/>
  <c r="AG186" i="69"/>
  <c r="O189" i="69"/>
  <c r="AO188" i="69"/>
  <c r="AK144" i="50"/>
  <c r="AY187" i="69"/>
  <c r="L204" i="57"/>
  <c r="N204" i="57"/>
  <c r="AH187" i="69"/>
  <c r="K144" i="50"/>
  <c r="B144" i="50"/>
  <c r="R144" i="50" s="1"/>
  <c r="S144" i="50" s="1"/>
  <c r="W144" i="50" s="1"/>
  <c r="X144" i="50" s="1"/>
  <c r="F144" i="50"/>
  <c r="G144" i="50"/>
  <c r="N144" i="50"/>
  <c r="I144" i="50"/>
  <c r="J144" i="50"/>
  <c r="A144" i="50"/>
  <c r="Q144" i="50" s="1"/>
  <c r="P144" i="50" s="1"/>
  <c r="M144" i="50"/>
  <c r="H144" i="50"/>
  <c r="L144" i="50"/>
  <c r="F204" i="57"/>
  <c r="D204" i="57"/>
  <c r="I204" i="57"/>
  <c r="E204" i="57"/>
  <c r="H204" i="57"/>
  <c r="K204" i="57"/>
  <c r="G204" i="57"/>
  <c r="J204" i="57"/>
  <c r="C204" i="57"/>
  <c r="M204" i="57" s="1"/>
  <c r="AN203" i="55" a="1"/>
  <c r="AN203" i="55"/>
  <c r="B205" i="57"/>
  <c r="AR189" i="67" a="1"/>
  <c r="AR189" i="67"/>
  <c r="B190" i="69"/>
  <c r="L190" i="69"/>
  <c r="C189" i="69"/>
  <c r="P189" i="69"/>
  <c r="AE187" i="69"/>
  <c r="R187" i="69"/>
  <c r="S187" i="69"/>
  <c r="Y187" i="69"/>
  <c r="D188" i="69"/>
  <c r="E188" i="69"/>
  <c r="F188" i="69"/>
  <c r="G188" i="69"/>
  <c r="H188" i="69"/>
  <c r="I188" i="69"/>
  <c r="J188" i="69"/>
  <c r="K188" i="69"/>
  <c r="M188" i="69"/>
  <c r="AP144" i="59" a="1"/>
  <c r="AP144" i="59"/>
  <c r="E145" i="50"/>
  <c r="AQ34" i="59" a="1"/>
  <c r="AQ34" i="59"/>
  <c r="AB187" i="69"/>
  <c r="AC187" i="69"/>
  <c r="AD187" i="69"/>
  <c r="AP189" i="69"/>
  <c r="N189" i="69"/>
  <c r="U189" i="69"/>
  <c r="O145" i="50"/>
  <c r="T145" i="50"/>
  <c r="AF188" i="69"/>
  <c r="Q188" i="69"/>
  <c r="O205" i="57"/>
  <c r="AG205" i="57" s="1"/>
  <c r="P205" i="57"/>
  <c r="AC186" i="69"/>
  <c r="AD186" i="69"/>
  <c r="AG187" i="69"/>
  <c r="AO189" i="69"/>
  <c r="O190" i="69"/>
  <c r="AK145" i="50"/>
  <c r="AY188" i="69"/>
  <c r="L205" i="57"/>
  <c r="N205" i="57"/>
  <c r="AH188" i="69"/>
  <c r="J145" i="50"/>
  <c r="M145" i="50"/>
  <c r="H145" i="50"/>
  <c r="F145" i="50"/>
  <c r="U145" i="50" s="1"/>
  <c r="K145" i="50"/>
  <c r="L145" i="50"/>
  <c r="G145" i="50"/>
  <c r="A145" i="50"/>
  <c r="Q145" i="50" s="1"/>
  <c r="P145" i="50" s="1"/>
  <c r="B145" i="50"/>
  <c r="R145" i="50" s="1"/>
  <c r="S145" i="50" s="1"/>
  <c r="N145" i="50"/>
  <c r="I145" i="50"/>
  <c r="C205" i="57"/>
  <c r="M205" i="57" s="1"/>
  <c r="K205" i="57"/>
  <c r="J205" i="57"/>
  <c r="H205" i="57"/>
  <c r="D205" i="57"/>
  <c r="F205" i="57"/>
  <c r="I205" i="57"/>
  <c r="G205" i="57"/>
  <c r="E205" i="57"/>
  <c r="AN204" i="55" a="1"/>
  <c r="AN204" i="55"/>
  <c r="B206" i="57"/>
  <c r="AR190" i="67" a="1"/>
  <c r="AR190" i="67"/>
  <c r="B191" i="69"/>
  <c r="L191" i="69"/>
  <c r="D189" i="69"/>
  <c r="E189" i="69"/>
  <c r="F189" i="69"/>
  <c r="G189" i="69"/>
  <c r="H189" i="69"/>
  <c r="I189" i="69"/>
  <c r="J189" i="69"/>
  <c r="K189" i="69"/>
  <c r="M189" i="69"/>
  <c r="AE188" i="69"/>
  <c r="R188" i="69"/>
  <c r="S188" i="69"/>
  <c r="C190" i="69"/>
  <c r="P190" i="69"/>
  <c r="AP145" i="59" a="1"/>
  <c r="AP145" i="59"/>
  <c r="E146" i="50"/>
  <c r="AQ35" i="59" a="1"/>
  <c r="AQ35" i="59"/>
  <c r="Y188" i="69"/>
  <c r="AB188" i="69"/>
  <c r="AC188" i="69"/>
  <c r="AD188" i="69"/>
  <c r="AP190" i="69"/>
  <c r="N190" i="69"/>
  <c r="U190" i="69"/>
  <c r="T146" i="50"/>
  <c r="O146" i="50"/>
  <c r="AF189" i="69"/>
  <c r="Q189" i="69"/>
  <c r="O206" i="57"/>
  <c r="AG206" i="57" s="1"/>
  <c r="P206" i="57"/>
  <c r="O191" i="69"/>
  <c r="AO190" i="69"/>
  <c r="AK146" i="50"/>
  <c r="AY189" i="69"/>
  <c r="L206" i="57"/>
  <c r="N206" i="57"/>
  <c r="AH189" i="69"/>
  <c r="H146" i="50"/>
  <c r="I146" i="50"/>
  <c r="G146" i="50"/>
  <c r="N146" i="50"/>
  <c r="M146" i="50"/>
  <c r="J146" i="50"/>
  <c r="A146" i="50"/>
  <c r="Q146" i="50" s="1"/>
  <c r="P146" i="50" s="1"/>
  <c r="B146" i="50"/>
  <c r="R146" i="50" s="1"/>
  <c r="S146" i="50" s="1"/>
  <c r="L146" i="50"/>
  <c r="F146" i="50"/>
  <c r="U146" i="50" s="1"/>
  <c r="K146" i="50"/>
  <c r="H206" i="57"/>
  <c r="F206" i="57"/>
  <c r="I206" i="57"/>
  <c r="D206" i="57"/>
  <c r="K206" i="57"/>
  <c r="J206" i="57"/>
  <c r="G206" i="57"/>
  <c r="E206" i="57"/>
  <c r="C206" i="57"/>
  <c r="M206" i="57" s="1"/>
  <c r="AC206" i="57" s="1"/>
  <c r="AN205" i="55" a="1"/>
  <c r="AN205" i="55"/>
  <c r="B207" i="57"/>
  <c r="AR191" i="67" a="1"/>
  <c r="AR191" i="67"/>
  <c r="B192" i="69"/>
  <c r="L192" i="69"/>
  <c r="AE189" i="69"/>
  <c r="R189" i="69"/>
  <c r="S189" i="69"/>
  <c r="Y189" i="69"/>
  <c r="C191" i="69"/>
  <c r="P191" i="69"/>
  <c r="D190" i="69"/>
  <c r="E190" i="69"/>
  <c r="F190" i="69"/>
  <c r="G190" i="69"/>
  <c r="H190" i="69"/>
  <c r="I190" i="69"/>
  <c r="J190" i="69"/>
  <c r="K190" i="69"/>
  <c r="M190" i="69"/>
  <c r="AP146" i="59" a="1"/>
  <c r="AP146" i="59"/>
  <c r="E147" i="50"/>
  <c r="AQ36" i="59" a="1"/>
  <c r="AQ36" i="59"/>
  <c r="AG188" i="69"/>
  <c r="AP191" i="69"/>
  <c r="N191" i="69"/>
  <c r="U191" i="69"/>
  <c r="T147" i="50"/>
  <c r="O147" i="50"/>
  <c r="AF190" i="69"/>
  <c r="Q190" i="69"/>
  <c r="O207" i="57"/>
  <c r="AG207" i="57" s="1"/>
  <c r="P207" i="57"/>
  <c r="AB189" i="69"/>
  <c r="AG189" i="69"/>
  <c r="O192" i="69"/>
  <c r="AO191" i="69"/>
  <c r="AK147" i="50"/>
  <c r="AY190" i="69"/>
  <c r="L207" i="57"/>
  <c r="N207" i="57"/>
  <c r="AH190" i="69"/>
  <c r="M147" i="50"/>
  <c r="B147" i="50"/>
  <c r="R147" i="50" s="1"/>
  <c r="S147" i="50" s="1"/>
  <c r="J147" i="50"/>
  <c r="I147" i="50"/>
  <c r="L147" i="50"/>
  <c r="N147" i="50"/>
  <c r="A147" i="50"/>
  <c r="Q147" i="50" s="1"/>
  <c r="P147" i="50" s="1"/>
  <c r="H147" i="50"/>
  <c r="F147" i="50"/>
  <c r="AM147" i="50" s="1"/>
  <c r="K147" i="50"/>
  <c r="G147" i="50"/>
  <c r="G207" i="57"/>
  <c r="K207" i="57"/>
  <c r="F207" i="57"/>
  <c r="I207" i="57"/>
  <c r="E207" i="57"/>
  <c r="D207" i="57"/>
  <c r="J207" i="57"/>
  <c r="C207" i="57"/>
  <c r="M207" i="57" s="1"/>
  <c r="R207" i="57" s="1"/>
  <c r="H207" i="57"/>
  <c r="AN206" i="55" a="1"/>
  <c r="AN206" i="55"/>
  <c r="B208" i="57"/>
  <c r="AR192" i="67" a="1"/>
  <c r="AR192" i="67"/>
  <c r="B193" i="69"/>
  <c r="L193" i="69"/>
  <c r="D191" i="69"/>
  <c r="E191" i="69"/>
  <c r="F191" i="69"/>
  <c r="G191" i="69"/>
  <c r="H191" i="69"/>
  <c r="I191" i="69"/>
  <c r="J191" i="69"/>
  <c r="K191" i="69"/>
  <c r="M191" i="69"/>
  <c r="AE190" i="69"/>
  <c r="R190" i="69"/>
  <c r="S190" i="69"/>
  <c r="C192" i="69"/>
  <c r="P192" i="69"/>
  <c r="AP147" i="59" a="1"/>
  <c r="AP147" i="59"/>
  <c r="E148" i="50"/>
  <c r="AQ37" i="59" a="1"/>
  <c r="AQ37" i="59"/>
  <c r="Y190" i="69"/>
  <c r="AB190" i="69"/>
  <c r="AC190" i="69"/>
  <c r="AD190" i="69"/>
  <c r="AP192" i="69"/>
  <c r="N192" i="69"/>
  <c r="U192" i="69"/>
  <c r="T148" i="50"/>
  <c r="O148" i="50"/>
  <c r="AF191" i="69"/>
  <c r="Q191" i="69"/>
  <c r="O208" i="57"/>
  <c r="P208" i="57"/>
  <c r="AC189" i="69"/>
  <c r="AD189" i="69"/>
  <c r="O193" i="69"/>
  <c r="AO192" i="69"/>
  <c r="AK148" i="50"/>
  <c r="AY191" i="69"/>
  <c r="L208" i="57"/>
  <c r="N208" i="57"/>
  <c r="AH191" i="69"/>
  <c r="H148" i="50"/>
  <c r="J148" i="50"/>
  <c r="K148" i="50"/>
  <c r="F148" i="50"/>
  <c r="N148" i="50"/>
  <c r="M148" i="50"/>
  <c r="G148" i="50"/>
  <c r="A148" i="50"/>
  <c r="Q148" i="50" s="1"/>
  <c r="P148" i="50" s="1"/>
  <c r="B148" i="50"/>
  <c r="R148" i="50" s="1"/>
  <c r="S148" i="50" s="1"/>
  <c r="I148" i="50"/>
  <c r="L148" i="50"/>
  <c r="F208" i="57"/>
  <c r="E208" i="57"/>
  <c r="D208" i="57"/>
  <c r="J208" i="57"/>
  <c r="I208" i="57"/>
  <c r="K208" i="57"/>
  <c r="G208" i="57"/>
  <c r="C208" i="57"/>
  <c r="M208" i="57" s="1"/>
  <c r="H208" i="57"/>
  <c r="AN207" i="55" a="1"/>
  <c r="AN207" i="55"/>
  <c r="B209" i="57"/>
  <c r="AR193" i="67" a="1"/>
  <c r="AR193" i="67"/>
  <c r="B194" i="69"/>
  <c r="L194" i="69"/>
  <c r="C193" i="69"/>
  <c r="P193" i="69"/>
  <c r="D192" i="69"/>
  <c r="E192" i="69"/>
  <c r="F192" i="69"/>
  <c r="G192" i="69"/>
  <c r="H192" i="69"/>
  <c r="I192" i="69"/>
  <c r="J192" i="69"/>
  <c r="K192" i="69"/>
  <c r="M192" i="69"/>
  <c r="AE191" i="69"/>
  <c r="R191" i="69"/>
  <c r="S191" i="69"/>
  <c r="Y191" i="69"/>
  <c r="AP148" i="59" a="1"/>
  <c r="AP148" i="59"/>
  <c r="E149" i="50"/>
  <c r="AQ38" i="59" a="1"/>
  <c r="AQ38" i="59"/>
  <c r="AG190" i="69"/>
  <c r="AP193" i="69"/>
  <c r="N193" i="69"/>
  <c r="U193" i="69"/>
  <c r="T149" i="50"/>
  <c r="O149" i="50"/>
  <c r="AF192" i="69"/>
  <c r="Q192" i="69"/>
  <c r="O209" i="57"/>
  <c r="AG209" i="57" s="1"/>
  <c r="P209" i="57"/>
  <c r="AB191" i="69"/>
  <c r="AG191" i="69"/>
  <c r="AO193" i="69"/>
  <c r="O194" i="69"/>
  <c r="AK149" i="50"/>
  <c r="AY192" i="69"/>
  <c r="L209" i="57"/>
  <c r="N209" i="57"/>
  <c r="AH192" i="69"/>
  <c r="M149" i="50"/>
  <c r="F149" i="50"/>
  <c r="U149" i="50" s="1"/>
  <c r="J149" i="50"/>
  <c r="H149" i="50"/>
  <c r="A149" i="50"/>
  <c r="Q149" i="50" s="1"/>
  <c r="P149" i="50" s="1"/>
  <c r="K149" i="50"/>
  <c r="N149" i="50"/>
  <c r="L149" i="50"/>
  <c r="I149" i="50"/>
  <c r="B149" i="50"/>
  <c r="R149" i="50" s="1"/>
  <c r="S149" i="50" s="1"/>
  <c r="Z149" i="50" s="1"/>
  <c r="G149" i="50"/>
  <c r="K209" i="57"/>
  <c r="H209" i="57"/>
  <c r="F209" i="57"/>
  <c r="C209" i="57"/>
  <c r="M209" i="57" s="1"/>
  <c r="AQ209" i="57" s="1"/>
  <c r="E209" i="57"/>
  <c r="G209" i="57"/>
  <c r="J209" i="57"/>
  <c r="I209" i="57"/>
  <c r="D209" i="57"/>
  <c r="AN208" i="55" a="1"/>
  <c r="AN208" i="55"/>
  <c r="B210" i="57"/>
  <c r="AR194" i="67" a="1"/>
  <c r="AR194" i="67"/>
  <c r="B195" i="69"/>
  <c r="L195" i="69"/>
  <c r="D193" i="69"/>
  <c r="E193" i="69"/>
  <c r="F193" i="69"/>
  <c r="G193" i="69"/>
  <c r="H193" i="69"/>
  <c r="I193" i="69"/>
  <c r="J193" i="69"/>
  <c r="K193" i="69"/>
  <c r="M193" i="69"/>
  <c r="R192" i="69"/>
  <c r="S192" i="69"/>
  <c r="Y192" i="69"/>
  <c r="AE192" i="69"/>
  <c r="C194" i="69"/>
  <c r="P194" i="69"/>
  <c r="AP149" i="59" a="1"/>
  <c r="AP149" i="59"/>
  <c r="E150" i="50"/>
  <c r="AQ39" i="59" a="1"/>
  <c r="AQ39" i="59"/>
  <c r="AP194" i="69"/>
  <c r="N194" i="69"/>
  <c r="U194" i="69"/>
  <c r="T150" i="50"/>
  <c r="O150" i="50"/>
  <c r="AF193" i="69"/>
  <c r="Q193" i="69"/>
  <c r="O210" i="57"/>
  <c r="P210" i="57"/>
  <c r="AC191" i="69"/>
  <c r="AD191" i="69"/>
  <c r="AB192" i="69"/>
  <c r="AG192" i="69"/>
  <c r="O195" i="69"/>
  <c r="AO194" i="69"/>
  <c r="AK150" i="50"/>
  <c r="AY193" i="69"/>
  <c r="L210" i="57"/>
  <c r="N210" i="57"/>
  <c r="AH193" i="69"/>
  <c r="F150" i="50"/>
  <c r="AM150" i="50" s="1"/>
  <c r="L150" i="50"/>
  <c r="N150" i="50"/>
  <c r="M150" i="50"/>
  <c r="G150" i="50"/>
  <c r="A150" i="50"/>
  <c r="Q150" i="50" s="1"/>
  <c r="P150" i="50" s="1"/>
  <c r="B150" i="50"/>
  <c r="R150" i="50" s="1"/>
  <c r="S150" i="50" s="1"/>
  <c r="H150" i="50"/>
  <c r="I150" i="50"/>
  <c r="J150" i="50"/>
  <c r="K150" i="50"/>
  <c r="K210" i="57"/>
  <c r="G210" i="57"/>
  <c r="E210" i="57"/>
  <c r="C210" i="57"/>
  <c r="M210" i="57" s="1"/>
  <c r="AJ210" i="57" s="1"/>
  <c r="J210" i="57"/>
  <c r="H210" i="57"/>
  <c r="I210" i="57"/>
  <c r="D210" i="57"/>
  <c r="F210" i="57"/>
  <c r="AN209" i="55" a="1"/>
  <c r="AN209" i="55"/>
  <c r="B211" i="57"/>
  <c r="C195" i="69"/>
  <c r="P195" i="69"/>
  <c r="D194" i="69"/>
  <c r="E194" i="69"/>
  <c r="F194" i="69"/>
  <c r="G194" i="69"/>
  <c r="H194" i="69"/>
  <c r="I194" i="69"/>
  <c r="J194" i="69"/>
  <c r="K194" i="69"/>
  <c r="M194" i="69"/>
  <c r="AE193" i="69"/>
  <c r="R193" i="69"/>
  <c r="S193" i="69"/>
  <c r="Y193" i="69"/>
  <c r="AR195" i="67" a="1"/>
  <c r="AR195" i="67"/>
  <c r="B196" i="69"/>
  <c r="L196" i="69"/>
  <c r="AP150" i="59" a="1"/>
  <c r="AP150" i="59"/>
  <c r="E151" i="50"/>
  <c r="AQ40" i="59" a="1"/>
  <c r="AQ40" i="59"/>
  <c r="AP195" i="69"/>
  <c r="N195" i="69"/>
  <c r="U195" i="69"/>
  <c r="T151" i="50"/>
  <c r="O151" i="50"/>
  <c r="AF194" i="69"/>
  <c r="Q194" i="69"/>
  <c r="O211" i="57"/>
  <c r="AG211" i="57" s="1"/>
  <c r="P211" i="57"/>
  <c r="AC192" i="69"/>
  <c r="AD192" i="69"/>
  <c r="AB193" i="69"/>
  <c r="AG193" i="69"/>
  <c r="AO195" i="69"/>
  <c r="O196" i="69"/>
  <c r="AK151" i="50"/>
  <c r="AY194" i="69"/>
  <c r="L211" i="57"/>
  <c r="N211" i="57"/>
  <c r="AH194" i="69"/>
  <c r="G151" i="50"/>
  <c r="M151" i="50"/>
  <c r="F151" i="50"/>
  <c r="I151" i="50"/>
  <c r="J151" i="50"/>
  <c r="A151" i="50"/>
  <c r="Q151" i="50" s="1"/>
  <c r="P151" i="50" s="1"/>
  <c r="L151" i="50"/>
  <c r="N151" i="50"/>
  <c r="H151" i="50"/>
  <c r="K151" i="50"/>
  <c r="B151" i="50"/>
  <c r="R151" i="50" s="1"/>
  <c r="S151" i="50" s="1"/>
  <c r="C151" i="50" s="1"/>
  <c r="D211" i="57"/>
  <c r="K211" i="57"/>
  <c r="G211" i="57"/>
  <c r="F211" i="57"/>
  <c r="H211" i="57"/>
  <c r="C211" i="57"/>
  <c r="M211" i="57" s="1"/>
  <c r="AE211" i="57" s="1"/>
  <c r="I211" i="57"/>
  <c r="J211" i="57"/>
  <c r="E211" i="57"/>
  <c r="AN210" i="55" a="1"/>
  <c r="AN210" i="55"/>
  <c r="B212" i="57"/>
  <c r="AR196" i="67" a="1"/>
  <c r="AR196" i="67"/>
  <c r="B197" i="69"/>
  <c r="L197" i="69"/>
  <c r="D195" i="69"/>
  <c r="E195" i="69"/>
  <c r="F195" i="69"/>
  <c r="G195" i="69"/>
  <c r="H195" i="69"/>
  <c r="I195" i="69"/>
  <c r="J195" i="69"/>
  <c r="K195" i="69"/>
  <c r="M195" i="69"/>
  <c r="AE194" i="69"/>
  <c r="R194" i="69"/>
  <c r="S194" i="69"/>
  <c r="Y194" i="69"/>
  <c r="C196" i="69"/>
  <c r="P196" i="69"/>
  <c r="AP151" i="59" a="1"/>
  <c r="AP151" i="59"/>
  <c r="E152" i="50"/>
  <c r="AQ41" i="59" a="1"/>
  <c r="AQ41" i="59"/>
  <c r="AP196" i="69"/>
  <c r="N196" i="69"/>
  <c r="U196" i="69"/>
  <c r="T152" i="50"/>
  <c r="O152" i="50"/>
  <c r="AF195" i="69"/>
  <c r="Q195" i="69"/>
  <c r="O212" i="57"/>
  <c r="AG212" i="57" s="1"/>
  <c r="P212" i="57"/>
  <c r="AC193" i="69"/>
  <c r="AD193" i="69"/>
  <c r="AB194" i="69"/>
  <c r="AG194" i="69"/>
  <c r="O197" i="69"/>
  <c r="AO196" i="69"/>
  <c r="AK152" i="50"/>
  <c r="AY195" i="69"/>
  <c r="L212" i="57"/>
  <c r="N212" i="57"/>
  <c r="AH195" i="69"/>
  <c r="B152" i="50"/>
  <c r="R152" i="50" s="1"/>
  <c r="S152" i="50" s="1"/>
  <c r="C152" i="50" s="1"/>
  <c r="I152" i="50"/>
  <c r="N152" i="50"/>
  <c r="A152" i="50"/>
  <c r="Q152" i="50" s="1"/>
  <c r="P152" i="50" s="1"/>
  <c r="G152" i="50"/>
  <c r="J152" i="50"/>
  <c r="K152" i="50"/>
  <c r="M152" i="50"/>
  <c r="F152" i="50"/>
  <c r="U152" i="50" s="1"/>
  <c r="H152" i="50"/>
  <c r="L152" i="50"/>
  <c r="I212" i="57"/>
  <c r="F212" i="57"/>
  <c r="D212" i="57"/>
  <c r="E212" i="57"/>
  <c r="J212" i="57"/>
  <c r="K212" i="57"/>
  <c r="C212" i="57"/>
  <c r="M212" i="57" s="1"/>
  <c r="G212" i="57"/>
  <c r="H212" i="57"/>
  <c r="AN211" i="55" a="1"/>
  <c r="AN211" i="55"/>
  <c r="B213" i="57"/>
  <c r="AR197" i="67" a="1"/>
  <c r="AR197" i="67"/>
  <c r="B198" i="69"/>
  <c r="L198" i="69"/>
  <c r="AE195" i="69"/>
  <c r="R195" i="69"/>
  <c r="S195" i="69"/>
  <c r="Y195" i="69"/>
  <c r="C197" i="69"/>
  <c r="P197" i="69"/>
  <c r="D196" i="69"/>
  <c r="E196" i="69"/>
  <c r="F196" i="69"/>
  <c r="G196" i="69"/>
  <c r="H196" i="69"/>
  <c r="I196" i="69"/>
  <c r="J196" i="69"/>
  <c r="K196" i="69"/>
  <c r="M196" i="69"/>
  <c r="AP152" i="59" a="1"/>
  <c r="AP152" i="59"/>
  <c r="E153" i="50"/>
  <c r="AQ42" i="59" a="1"/>
  <c r="AQ42" i="59"/>
  <c r="AP197" i="69"/>
  <c r="N197" i="69"/>
  <c r="U197" i="69"/>
  <c r="O153" i="50"/>
  <c r="T153" i="50"/>
  <c r="AF196" i="69"/>
  <c r="Q196" i="69"/>
  <c r="O213" i="57"/>
  <c r="AG213" i="57" s="1"/>
  <c r="P213" i="57"/>
  <c r="AC194" i="69"/>
  <c r="AD194" i="69"/>
  <c r="AB195" i="69"/>
  <c r="AG195" i="69"/>
  <c r="AO197" i="69"/>
  <c r="O198" i="69"/>
  <c r="AK153" i="50"/>
  <c r="AY196" i="69"/>
  <c r="L213" i="57"/>
  <c r="N213" i="57"/>
  <c r="AH196" i="69"/>
  <c r="F153" i="50"/>
  <c r="L153" i="50"/>
  <c r="M153" i="50"/>
  <c r="I153" i="50"/>
  <c r="N153" i="50"/>
  <c r="J153" i="50"/>
  <c r="G153" i="50"/>
  <c r="H153" i="50"/>
  <c r="B153" i="50"/>
  <c r="R153" i="50" s="1"/>
  <c r="S153" i="50" s="1"/>
  <c r="A153" i="50"/>
  <c r="Q153" i="50" s="1"/>
  <c r="P153" i="50" s="1"/>
  <c r="K153" i="50"/>
  <c r="D213" i="57"/>
  <c r="C213" i="57"/>
  <c r="M213" i="57" s="1"/>
  <c r="K213" i="57"/>
  <c r="J213" i="57"/>
  <c r="H213" i="57"/>
  <c r="F213" i="57"/>
  <c r="I213" i="57"/>
  <c r="E213" i="57"/>
  <c r="G213" i="57"/>
  <c r="AN212" i="55" a="1"/>
  <c r="AN212" i="55"/>
  <c r="B214" i="57"/>
  <c r="AR198" i="67" a="1"/>
  <c r="AR198" i="67"/>
  <c r="B199" i="69"/>
  <c r="L199" i="69"/>
  <c r="D197" i="69"/>
  <c r="E197" i="69"/>
  <c r="F197" i="69"/>
  <c r="G197" i="69"/>
  <c r="H197" i="69"/>
  <c r="I197" i="69"/>
  <c r="J197" i="69"/>
  <c r="K197" i="69"/>
  <c r="M197" i="69"/>
  <c r="AE196" i="69"/>
  <c r="R196" i="69"/>
  <c r="S196" i="69"/>
  <c r="Y196" i="69"/>
  <c r="C198" i="69"/>
  <c r="P198" i="69"/>
  <c r="AP153" i="59" a="1"/>
  <c r="AP153" i="59"/>
  <c r="E154" i="50"/>
  <c r="AQ43" i="59" a="1"/>
  <c r="AQ43" i="59"/>
  <c r="AP198" i="69"/>
  <c r="N198" i="69"/>
  <c r="U198" i="69"/>
  <c r="T154" i="50"/>
  <c r="O154" i="50"/>
  <c r="AF197" i="69"/>
  <c r="Q197" i="69"/>
  <c r="O214" i="57"/>
  <c r="AG214" i="57" s="1"/>
  <c r="P214" i="57"/>
  <c r="AC195" i="69"/>
  <c r="AD195" i="69"/>
  <c r="AB196" i="69"/>
  <c r="AG196" i="69"/>
  <c r="O199" i="69"/>
  <c r="AO198" i="69"/>
  <c r="AK154" i="50"/>
  <c r="AY197" i="69"/>
  <c r="L214" i="57"/>
  <c r="N214" i="57"/>
  <c r="AH197" i="69"/>
  <c r="L154" i="50"/>
  <c r="M154" i="50"/>
  <c r="G154" i="50"/>
  <c r="H154" i="50"/>
  <c r="I154" i="50"/>
  <c r="K154" i="50"/>
  <c r="F154" i="50"/>
  <c r="AM154" i="50" s="1"/>
  <c r="N154" i="50"/>
  <c r="J154" i="50"/>
  <c r="B154" i="50"/>
  <c r="R154" i="50" s="1"/>
  <c r="S154" i="50" s="1"/>
  <c r="A154" i="50"/>
  <c r="Q154" i="50" s="1"/>
  <c r="P154" i="50" s="1"/>
  <c r="I214" i="57"/>
  <c r="D214" i="57"/>
  <c r="K214" i="57"/>
  <c r="J214" i="57"/>
  <c r="G214" i="57"/>
  <c r="C214" i="57"/>
  <c r="M214" i="57" s="1"/>
  <c r="E214" i="57"/>
  <c r="H214" i="57"/>
  <c r="F214" i="57"/>
  <c r="AN213" i="55" a="1"/>
  <c r="AN213" i="55"/>
  <c r="B215" i="57"/>
  <c r="AR199" i="67" a="1"/>
  <c r="AR199" i="67"/>
  <c r="B200" i="69"/>
  <c r="L200" i="69"/>
  <c r="D198" i="69"/>
  <c r="E198" i="69"/>
  <c r="F198" i="69"/>
  <c r="G198" i="69"/>
  <c r="H198" i="69"/>
  <c r="I198" i="69"/>
  <c r="J198" i="69"/>
  <c r="K198" i="69"/>
  <c r="M198" i="69"/>
  <c r="C199" i="69"/>
  <c r="P199" i="69"/>
  <c r="AE197" i="69"/>
  <c r="R197" i="69"/>
  <c r="S197" i="69"/>
  <c r="Y197" i="69"/>
  <c r="AP154" i="59" a="1"/>
  <c r="AP154" i="59"/>
  <c r="E155" i="50"/>
  <c r="AQ44" i="59" a="1"/>
  <c r="AQ44" i="59"/>
  <c r="AP199" i="69"/>
  <c r="N199" i="69"/>
  <c r="U199" i="69"/>
  <c r="T155" i="50"/>
  <c r="O155" i="50"/>
  <c r="AF198" i="69"/>
  <c r="Q198" i="69"/>
  <c r="O215" i="57"/>
  <c r="AG215" i="57" s="1"/>
  <c r="P215" i="57"/>
  <c r="AC196" i="69"/>
  <c r="AD196" i="69"/>
  <c r="AB197" i="69"/>
  <c r="AG197" i="69"/>
  <c r="O200" i="69"/>
  <c r="AO199" i="69"/>
  <c r="AK155" i="50"/>
  <c r="AY198" i="69"/>
  <c r="L215" i="57"/>
  <c r="N215" i="57"/>
  <c r="AH198" i="69"/>
  <c r="K155" i="50"/>
  <c r="B155" i="50"/>
  <c r="R155" i="50" s="1"/>
  <c r="S155" i="50" s="1"/>
  <c r="N155" i="50"/>
  <c r="A155" i="50"/>
  <c r="Q155" i="50" s="1"/>
  <c r="P155" i="50" s="1"/>
  <c r="I155" i="50"/>
  <c r="F155" i="50"/>
  <c r="U155" i="50" s="1"/>
  <c r="M155" i="50"/>
  <c r="G155" i="50"/>
  <c r="J155" i="50"/>
  <c r="H155" i="50"/>
  <c r="L155" i="50"/>
  <c r="F215" i="57"/>
  <c r="I215" i="57"/>
  <c r="E215" i="57"/>
  <c r="D215" i="57"/>
  <c r="J215" i="57"/>
  <c r="H215" i="57"/>
  <c r="G215" i="57"/>
  <c r="C215" i="57"/>
  <c r="M215" i="57" s="1"/>
  <c r="AK215" i="57" s="1"/>
  <c r="K215" i="57"/>
  <c r="AN214" i="55" a="1"/>
  <c r="AN214" i="55"/>
  <c r="B216" i="57"/>
  <c r="AR200" i="67" a="1"/>
  <c r="AR200" i="67"/>
  <c r="B201" i="69"/>
  <c r="L201" i="69"/>
  <c r="AE198" i="69"/>
  <c r="R198" i="69"/>
  <c r="S198" i="69"/>
  <c r="D199" i="69"/>
  <c r="E199" i="69"/>
  <c r="F199" i="69"/>
  <c r="G199" i="69"/>
  <c r="H199" i="69"/>
  <c r="I199" i="69"/>
  <c r="J199" i="69"/>
  <c r="K199" i="69"/>
  <c r="M199" i="69"/>
  <c r="C200" i="69"/>
  <c r="P200" i="69"/>
  <c r="AP155" i="59" a="1"/>
  <c r="AP155" i="59"/>
  <c r="E156" i="50"/>
  <c r="AQ45" i="59" a="1"/>
  <c r="AQ45" i="59"/>
  <c r="Y198" i="69"/>
  <c r="AB198" i="69"/>
  <c r="AC198" i="69"/>
  <c r="AD198" i="69"/>
  <c r="AP200" i="69"/>
  <c r="N200" i="69"/>
  <c r="U200" i="69"/>
  <c r="T156" i="50"/>
  <c r="O156" i="50"/>
  <c r="AF199" i="69"/>
  <c r="Q199" i="69"/>
  <c r="O216" i="57"/>
  <c r="AG216" i="57" s="1"/>
  <c r="P216" i="57"/>
  <c r="AC197" i="69"/>
  <c r="AD197" i="69"/>
  <c r="AO200" i="69"/>
  <c r="O201" i="69"/>
  <c r="AK156" i="50"/>
  <c r="AY199" i="69"/>
  <c r="L216" i="57"/>
  <c r="N216" i="57"/>
  <c r="AH199" i="69"/>
  <c r="F156" i="50"/>
  <c r="I156" i="50"/>
  <c r="K156" i="50"/>
  <c r="M156" i="50"/>
  <c r="H156" i="50"/>
  <c r="A156" i="50"/>
  <c r="Q156" i="50" s="1"/>
  <c r="P156" i="50" s="1"/>
  <c r="J156" i="50"/>
  <c r="L156" i="50"/>
  <c r="G156" i="50"/>
  <c r="B156" i="50"/>
  <c r="R156" i="50" s="1"/>
  <c r="S156" i="50" s="1"/>
  <c r="N156" i="50"/>
  <c r="J216" i="57"/>
  <c r="I216" i="57"/>
  <c r="F216" i="57"/>
  <c r="E216" i="57"/>
  <c r="D216" i="57"/>
  <c r="K216" i="57"/>
  <c r="G216" i="57"/>
  <c r="C216" i="57"/>
  <c r="M216" i="57" s="1"/>
  <c r="H216" i="57"/>
  <c r="AN215" i="55" a="1"/>
  <c r="AN215" i="55"/>
  <c r="B217" i="57"/>
  <c r="AR201" i="67" a="1"/>
  <c r="AR201" i="67"/>
  <c r="B202" i="69"/>
  <c r="L202" i="69"/>
  <c r="D200" i="69"/>
  <c r="E200" i="69"/>
  <c r="F200" i="69"/>
  <c r="G200" i="69"/>
  <c r="H200" i="69"/>
  <c r="I200" i="69"/>
  <c r="J200" i="69"/>
  <c r="K200" i="69"/>
  <c r="M200" i="69"/>
  <c r="AE199" i="69"/>
  <c r="R199" i="69"/>
  <c r="S199" i="69"/>
  <c r="Y199" i="69"/>
  <c r="C201" i="69"/>
  <c r="P201" i="69"/>
  <c r="AP156" i="59" a="1"/>
  <c r="AP156" i="59"/>
  <c r="E157" i="50"/>
  <c r="AQ46" i="59" a="1"/>
  <c r="AQ46" i="59"/>
  <c r="AG198" i="69"/>
  <c r="AP201" i="69"/>
  <c r="N201" i="69"/>
  <c r="U201" i="69"/>
  <c r="T157" i="50"/>
  <c r="O157" i="50"/>
  <c r="AF200" i="69"/>
  <c r="Q200" i="69"/>
  <c r="O217" i="57"/>
  <c r="AG217" i="57" s="1"/>
  <c r="P217" i="57"/>
  <c r="AB199" i="69"/>
  <c r="AG199" i="69"/>
  <c r="O202" i="69"/>
  <c r="AO201" i="69"/>
  <c r="AK157" i="50"/>
  <c r="AY200" i="69"/>
  <c r="L217" i="57"/>
  <c r="N217" i="57"/>
  <c r="AH200" i="69"/>
  <c r="F157" i="50"/>
  <c r="J157" i="50"/>
  <c r="I157" i="50"/>
  <c r="G157" i="50"/>
  <c r="M157" i="50"/>
  <c r="K157" i="50"/>
  <c r="N157" i="50"/>
  <c r="H157" i="50"/>
  <c r="A157" i="50"/>
  <c r="Q157" i="50" s="1"/>
  <c r="P157" i="50" s="1"/>
  <c r="B157" i="50"/>
  <c r="R157" i="50" s="1"/>
  <c r="S157" i="50" s="1"/>
  <c r="L157" i="50"/>
  <c r="C217" i="57"/>
  <c r="M217" i="57" s="1"/>
  <c r="AD217" i="57" s="1"/>
  <c r="K217" i="57"/>
  <c r="H217" i="57"/>
  <c r="F217" i="57"/>
  <c r="I217" i="57"/>
  <c r="E217" i="57"/>
  <c r="G217" i="57"/>
  <c r="D217" i="57"/>
  <c r="J217" i="57"/>
  <c r="AN216" i="55" a="1"/>
  <c r="AN216" i="55"/>
  <c r="B218" i="57"/>
  <c r="AR202" i="67" a="1"/>
  <c r="AR202" i="67"/>
  <c r="B203" i="69"/>
  <c r="L203" i="69"/>
  <c r="AE200" i="69"/>
  <c r="R200" i="69"/>
  <c r="S200" i="69"/>
  <c r="Y200" i="69"/>
  <c r="D201" i="69"/>
  <c r="E201" i="69"/>
  <c r="F201" i="69"/>
  <c r="G201" i="69"/>
  <c r="H201" i="69"/>
  <c r="I201" i="69"/>
  <c r="J201" i="69"/>
  <c r="K201" i="69"/>
  <c r="M201" i="69"/>
  <c r="C202" i="69"/>
  <c r="P202" i="69"/>
  <c r="AP157" i="59" a="1"/>
  <c r="AP157" i="59"/>
  <c r="E158" i="50"/>
  <c r="AQ47" i="59" a="1"/>
  <c r="AQ47" i="59"/>
  <c r="AP202" i="69"/>
  <c r="N202" i="69"/>
  <c r="U202" i="69"/>
  <c r="T158" i="50"/>
  <c r="O158" i="50"/>
  <c r="AF201" i="69"/>
  <c r="Q201" i="69"/>
  <c r="O218" i="57"/>
  <c r="AG218" i="57" s="1"/>
  <c r="P218" i="57"/>
  <c r="AC199" i="69"/>
  <c r="AD199" i="69"/>
  <c r="AB200" i="69"/>
  <c r="AG200" i="69"/>
  <c r="O203" i="69"/>
  <c r="AO202" i="69"/>
  <c r="AK158" i="50"/>
  <c r="AY201" i="69"/>
  <c r="L218" i="57"/>
  <c r="N218" i="57"/>
  <c r="AH201" i="69"/>
  <c r="G158" i="50"/>
  <c r="K158" i="50"/>
  <c r="M158" i="50"/>
  <c r="L158" i="50"/>
  <c r="A158" i="50"/>
  <c r="Q158" i="50" s="1"/>
  <c r="P158" i="50" s="1"/>
  <c r="I158" i="50"/>
  <c r="H158" i="50"/>
  <c r="F158" i="50"/>
  <c r="AM158" i="50" s="1"/>
  <c r="N158" i="50"/>
  <c r="J158" i="50"/>
  <c r="B158" i="50"/>
  <c r="R158" i="50" s="1"/>
  <c r="S158" i="50" s="1"/>
  <c r="H218" i="57"/>
  <c r="I218" i="57"/>
  <c r="D218" i="57"/>
  <c r="F218" i="57"/>
  <c r="K218" i="57"/>
  <c r="G218" i="57"/>
  <c r="E218" i="57"/>
  <c r="C218" i="57"/>
  <c r="M218" i="57" s="1"/>
  <c r="AK218" i="57" s="1"/>
  <c r="J218" i="57"/>
  <c r="AN217" i="55" a="1"/>
  <c r="AN217" i="55"/>
  <c r="B219" i="57"/>
  <c r="C203" i="69"/>
  <c r="P203" i="69"/>
  <c r="AE201" i="69"/>
  <c r="R201" i="69"/>
  <c r="S201" i="69"/>
  <c r="Y201" i="69"/>
  <c r="D202" i="69"/>
  <c r="E202" i="69"/>
  <c r="F202" i="69"/>
  <c r="G202" i="69"/>
  <c r="H202" i="69"/>
  <c r="I202" i="69"/>
  <c r="J202" i="69"/>
  <c r="K202" i="69"/>
  <c r="M202" i="69"/>
  <c r="AR203" i="67" a="1"/>
  <c r="AR203" i="67"/>
  <c r="B204" i="69"/>
  <c r="L204" i="69"/>
  <c r="AP158" i="59" a="1"/>
  <c r="AP158" i="59"/>
  <c r="E159" i="50"/>
  <c r="AQ48" i="59" a="1"/>
  <c r="AQ48" i="59"/>
  <c r="AP203" i="69"/>
  <c r="N203" i="69"/>
  <c r="U203" i="69"/>
  <c r="T159" i="50"/>
  <c r="O159" i="50"/>
  <c r="AF202" i="69"/>
  <c r="Q202" i="69"/>
  <c r="O219" i="57"/>
  <c r="AG219" i="57" s="1"/>
  <c r="P219" i="57"/>
  <c r="AC200" i="69"/>
  <c r="AD200" i="69"/>
  <c r="AB201" i="69"/>
  <c r="AG201" i="69"/>
  <c r="O204" i="69"/>
  <c r="AO203" i="69"/>
  <c r="AK159" i="50"/>
  <c r="AY202" i="69"/>
  <c r="L219" i="57"/>
  <c r="N219" i="57"/>
  <c r="AH202" i="69"/>
  <c r="F159" i="50"/>
  <c r="U159" i="50" s="1"/>
  <c r="A159" i="50"/>
  <c r="Q159" i="50" s="1"/>
  <c r="P159" i="50" s="1"/>
  <c r="L159" i="50"/>
  <c r="B159" i="50"/>
  <c r="R159" i="50" s="1"/>
  <c r="S159" i="50" s="1"/>
  <c r="V159" i="50" s="1"/>
  <c r="K159" i="50"/>
  <c r="J159" i="50"/>
  <c r="G159" i="50"/>
  <c r="N159" i="50"/>
  <c r="M159" i="50"/>
  <c r="I159" i="50"/>
  <c r="H159" i="50"/>
  <c r="G219" i="57"/>
  <c r="K219" i="57"/>
  <c r="F219" i="57"/>
  <c r="H219" i="57"/>
  <c r="C219" i="57"/>
  <c r="M219" i="57" s="1"/>
  <c r="AD219" i="57" s="1"/>
  <c r="E219" i="57"/>
  <c r="I219" i="57"/>
  <c r="D219" i="57"/>
  <c r="J219" i="57"/>
  <c r="AN218" i="55" a="1"/>
  <c r="AN218" i="55"/>
  <c r="B220" i="57"/>
  <c r="AR204" i="67" a="1"/>
  <c r="AR204" i="67"/>
  <c r="B205" i="69"/>
  <c r="L205" i="69"/>
  <c r="D203" i="69"/>
  <c r="E203" i="69"/>
  <c r="F203" i="69"/>
  <c r="G203" i="69"/>
  <c r="H203" i="69"/>
  <c r="I203" i="69"/>
  <c r="J203" i="69"/>
  <c r="K203" i="69"/>
  <c r="M203" i="69"/>
  <c r="R202" i="69"/>
  <c r="S202" i="69"/>
  <c r="Y202" i="69"/>
  <c r="AE202" i="69"/>
  <c r="C204" i="69"/>
  <c r="P204" i="69"/>
  <c r="AP159" i="59" a="1"/>
  <c r="AP159" i="59"/>
  <c r="E160" i="50"/>
  <c r="AQ49" i="59" a="1"/>
  <c r="AQ49" i="59"/>
  <c r="AP204" i="69"/>
  <c r="N204" i="69"/>
  <c r="U204" i="69"/>
  <c r="T160" i="50"/>
  <c r="O160" i="50"/>
  <c r="AF203" i="69"/>
  <c r="Q203" i="69"/>
  <c r="O220" i="57"/>
  <c r="AG220" i="57" s="1"/>
  <c r="P220" i="57"/>
  <c r="AC201" i="69"/>
  <c r="AD201" i="69"/>
  <c r="AB202" i="69"/>
  <c r="AG202" i="69"/>
  <c r="O205" i="69"/>
  <c r="AO204" i="69"/>
  <c r="AK160" i="50"/>
  <c r="AY203" i="69"/>
  <c r="L220" i="57"/>
  <c r="N220" i="57"/>
  <c r="AH203" i="69"/>
  <c r="F160" i="50"/>
  <c r="U160" i="50" s="1"/>
  <c r="J160" i="50"/>
  <c r="M160" i="50"/>
  <c r="G160" i="50"/>
  <c r="K160" i="50"/>
  <c r="B160" i="50"/>
  <c r="R160" i="50" s="1"/>
  <c r="S160" i="50" s="1"/>
  <c r="C160" i="50" s="1"/>
  <c r="N160" i="50"/>
  <c r="L160" i="50"/>
  <c r="H160" i="50"/>
  <c r="I160" i="50"/>
  <c r="A160" i="50"/>
  <c r="Q160" i="50" s="1"/>
  <c r="P160" i="50" s="1"/>
  <c r="I220" i="57"/>
  <c r="F220" i="57"/>
  <c r="D220" i="57"/>
  <c r="H220" i="57"/>
  <c r="J220" i="57"/>
  <c r="G220" i="57"/>
  <c r="E220" i="57"/>
  <c r="C220" i="57"/>
  <c r="M220" i="57" s="1"/>
  <c r="AJ220" i="57" s="1"/>
  <c r="K220" i="57"/>
  <c r="AN219" i="55" a="1"/>
  <c r="AN219" i="55"/>
  <c r="B221" i="57"/>
  <c r="AR205" i="67" a="1"/>
  <c r="AR205" i="67"/>
  <c r="B206" i="69"/>
  <c r="L206" i="69"/>
  <c r="D204" i="69"/>
  <c r="E204" i="69"/>
  <c r="F204" i="69"/>
  <c r="G204" i="69"/>
  <c r="H204" i="69"/>
  <c r="I204" i="69"/>
  <c r="J204" i="69"/>
  <c r="K204" i="69"/>
  <c r="M204" i="69"/>
  <c r="C205" i="69"/>
  <c r="P205" i="69"/>
  <c r="AE203" i="69"/>
  <c r="R203" i="69"/>
  <c r="S203" i="69"/>
  <c r="Y203" i="69"/>
  <c r="AP160" i="59" a="1"/>
  <c r="AP160" i="59"/>
  <c r="E161" i="50"/>
  <c r="AQ50" i="59" a="1"/>
  <c r="AQ50" i="59"/>
  <c r="AP205" i="69"/>
  <c r="N205" i="69"/>
  <c r="U205" i="69"/>
  <c r="O161" i="50"/>
  <c r="T161" i="50"/>
  <c r="AF204" i="69"/>
  <c r="Q204" i="69"/>
  <c r="O221" i="57"/>
  <c r="AG221" i="57" s="1"/>
  <c r="P221" i="57"/>
  <c r="AC202" i="69"/>
  <c r="AD202" i="69"/>
  <c r="AB203" i="69"/>
  <c r="AG203" i="69"/>
  <c r="O206" i="69"/>
  <c r="AO205" i="69"/>
  <c r="AK161" i="50"/>
  <c r="AY204" i="69"/>
  <c r="L221" i="57"/>
  <c r="N221" i="57"/>
  <c r="AH204" i="69"/>
  <c r="H161" i="50"/>
  <c r="I161" i="50"/>
  <c r="J161" i="50"/>
  <c r="F161" i="50"/>
  <c r="L161" i="50"/>
  <c r="M161" i="50"/>
  <c r="K161" i="50"/>
  <c r="N161" i="50"/>
  <c r="B161" i="50"/>
  <c r="R161" i="50" s="1"/>
  <c r="S161" i="50" s="1"/>
  <c r="AJ161" i="50" s="1"/>
  <c r="A161" i="50"/>
  <c r="Q161" i="50" s="1"/>
  <c r="P161" i="50" s="1"/>
  <c r="G161" i="50"/>
  <c r="F221" i="57"/>
  <c r="D221" i="57"/>
  <c r="C221" i="57"/>
  <c r="M221" i="57" s="1"/>
  <c r="Q221" i="57" s="1"/>
  <c r="T221" i="57" s="1"/>
  <c r="K221" i="57"/>
  <c r="J221" i="57"/>
  <c r="H221" i="57"/>
  <c r="I221" i="57"/>
  <c r="E221" i="57"/>
  <c r="G221" i="57"/>
  <c r="AN220" i="55" a="1"/>
  <c r="AN220" i="55"/>
  <c r="B222" i="57"/>
  <c r="AR206" i="67" a="1"/>
  <c r="AR206" i="67"/>
  <c r="B207" i="69"/>
  <c r="L207" i="69"/>
  <c r="AE204" i="69"/>
  <c r="R204" i="69"/>
  <c r="S204" i="69"/>
  <c r="Y204" i="69"/>
  <c r="D205" i="69"/>
  <c r="E205" i="69"/>
  <c r="F205" i="69"/>
  <c r="G205" i="69"/>
  <c r="H205" i="69"/>
  <c r="I205" i="69"/>
  <c r="J205" i="69"/>
  <c r="K205" i="69"/>
  <c r="M205" i="69"/>
  <c r="C206" i="69"/>
  <c r="P206" i="69"/>
  <c r="AP161" i="59" a="1"/>
  <c r="AP161" i="59"/>
  <c r="E162" i="50"/>
  <c r="AQ51" i="59" a="1"/>
  <c r="AQ51" i="59"/>
  <c r="AP206" i="69"/>
  <c r="N206" i="69"/>
  <c r="U206" i="69"/>
  <c r="T162" i="50"/>
  <c r="O162" i="50"/>
  <c r="AF205" i="69"/>
  <c r="Q205" i="69"/>
  <c r="O222" i="57"/>
  <c r="AG222" i="57" s="1"/>
  <c r="P222" i="57"/>
  <c r="AC203" i="69"/>
  <c r="AD203" i="69"/>
  <c r="AB204" i="69"/>
  <c r="AG204" i="69"/>
  <c r="AO206" i="69"/>
  <c r="O207" i="69"/>
  <c r="AK162" i="50"/>
  <c r="AY205" i="69"/>
  <c r="L222" i="57"/>
  <c r="N222" i="57"/>
  <c r="AH205" i="69"/>
  <c r="G162" i="50"/>
  <c r="K162" i="50"/>
  <c r="I162" i="50"/>
  <c r="L162" i="50"/>
  <c r="A162" i="50"/>
  <c r="Q162" i="50" s="1"/>
  <c r="P162" i="50" s="1"/>
  <c r="M162" i="50"/>
  <c r="J162" i="50"/>
  <c r="B162" i="50"/>
  <c r="R162" i="50" s="1"/>
  <c r="S162" i="50" s="1"/>
  <c r="F162" i="50"/>
  <c r="N162" i="50"/>
  <c r="H162" i="50"/>
  <c r="H222" i="57"/>
  <c r="D222" i="57"/>
  <c r="K222" i="57"/>
  <c r="J222" i="57"/>
  <c r="G222" i="57"/>
  <c r="C222" i="57"/>
  <c r="M222" i="57" s="1"/>
  <c r="Q222" i="57" s="1"/>
  <c r="T222" i="57" s="1"/>
  <c r="E222" i="57"/>
  <c r="F222" i="57"/>
  <c r="I222" i="57"/>
  <c r="AN221" i="55" a="1"/>
  <c r="AN221" i="55"/>
  <c r="B223" i="57"/>
  <c r="C207" i="69"/>
  <c r="P207" i="69"/>
  <c r="R205" i="69"/>
  <c r="S205" i="69"/>
  <c r="AE205" i="69"/>
  <c r="D206" i="69"/>
  <c r="E206" i="69"/>
  <c r="F206" i="69"/>
  <c r="G206" i="69"/>
  <c r="H206" i="69"/>
  <c r="I206" i="69"/>
  <c r="J206" i="69"/>
  <c r="K206" i="69"/>
  <c r="M206" i="69"/>
  <c r="AR207" i="67" a="1"/>
  <c r="AR207" i="67"/>
  <c r="B208" i="69"/>
  <c r="L208" i="69"/>
  <c r="AP162" i="59" a="1"/>
  <c r="AP162" i="59"/>
  <c r="E163" i="50"/>
  <c r="AQ52" i="59" a="1"/>
  <c r="AQ52" i="59"/>
  <c r="Y205" i="69"/>
  <c r="AB205" i="69"/>
  <c r="AC205" i="69"/>
  <c r="AD205" i="69"/>
  <c r="AP207" i="69"/>
  <c r="N207" i="69"/>
  <c r="U207" i="69"/>
  <c r="T163" i="50"/>
  <c r="O163" i="50"/>
  <c r="AF206" i="69"/>
  <c r="Q206" i="69"/>
  <c r="O223" i="57"/>
  <c r="AG223" i="57" s="1"/>
  <c r="P223" i="57"/>
  <c r="AC204" i="69"/>
  <c r="AD204" i="69"/>
  <c r="O208" i="69"/>
  <c r="AO207" i="69"/>
  <c r="AK163" i="50"/>
  <c r="AY206" i="69"/>
  <c r="L223" i="57"/>
  <c r="N223" i="57"/>
  <c r="AH206" i="69"/>
  <c r="J163" i="50"/>
  <c r="M163" i="50"/>
  <c r="N163" i="50"/>
  <c r="I163" i="50"/>
  <c r="A163" i="50"/>
  <c r="Q163" i="50" s="1"/>
  <c r="P163" i="50" s="1"/>
  <c r="L163" i="50"/>
  <c r="K163" i="50"/>
  <c r="G163" i="50"/>
  <c r="B163" i="50"/>
  <c r="R163" i="50" s="1"/>
  <c r="S163" i="50" s="1"/>
  <c r="V163" i="50" s="1"/>
  <c r="F163" i="50"/>
  <c r="AM163" i="50" s="1"/>
  <c r="H163" i="50"/>
  <c r="G223" i="57"/>
  <c r="I223" i="57"/>
  <c r="E223" i="57"/>
  <c r="D223" i="57"/>
  <c r="J223" i="57"/>
  <c r="H223" i="57"/>
  <c r="C223" i="57"/>
  <c r="M223" i="57" s="1"/>
  <c r="K223" i="57"/>
  <c r="F223" i="57"/>
  <c r="AN222" i="55" a="1"/>
  <c r="AN222" i="55"/>
  <c r="B224" i="57"/>
  <c r="AR208" i="67" a="1"/>
  <c r="AR208" i="67"/>
  <c r="B209" i="69"/>
  <c r="L209" i="69"/>
  <c r="D207" i="69"/>
  <c r="E207" i="69"/>
  <c r="F207" i="69"/>
  <c r="G207" i="69"/>
  <c r="H207" i="69"/>
  <c r="I207" i="69"/>
  <c r="J207" i="69"/>
  <c r="K207" i="69"/>
  <c r="M207" i="69"/>
  <c r="R206" i="69"/>
  <c r="S206" i="69"/>
  <c r="Y206" i="69"/>
  <c r="AE206" i="69"/>
  <c r="C208" i="69"/>
  <c r="P208" i="69"/>
  <c r="AP163" i="59" a="1"/>
  <c r="AP163" i="59"/>
  <c r="E164" i="50"/>
  <c r="AQ53" i="59" a="1"/>
  <c r="AQ53" i="59"/>
  <c r="AG205" i="69"/>
  <c r="AP208" i="69"/>
  <c r="N208" i="69"/>
  <c r="U208" i="69"/>
  <c r="T164" i="50"/>
  <c r="O164" i="50"/>
  <c r="AF207" i="69"/>
  <c r="Q207" i="69"/>
  <c r="O224" i="57"/>
  <c r="P224" i="57"/>
  <c r="AB206" i="69"/>
  <c r="AG206" i="69"/>
  <c r="O209" i="69"/>
  <c r="AO208" i="69"/>
  <c r="AK164" i="50"/>
  <c r="AY207" i="69"/>
  <c r="L224" i="57"/>
  <c r="N224" i="57"/>
  <c r="AH207" i="69"/>
  <c r="F164" i="50"/>
  <c r="K164" i="50"/>
  <c r="M164" i="50"/>
  <c r="J164" i="50"/>
  <c r="I164" i="50"/>
  <c r="N164" i="50"/>
  <c r="A164" i="50"/>
  <c r="Q164" i="50" s="1"/>
  <c r="P164" i="50" s="1"/>
  <c r="G164" i="50"/>
  <c r="L164" i="50"/>
  <c r="B164" i="50"/>
  <c r="R164" i="50" s="1"/>
  <c r="S164" i="50" s="1"/>
  <c r="Z164" i="50" s="1"/>
  <c r="H164" i="50"/>
  <c r="J224" i="57"/>
  <c r="F224" i="57"/>
  <c r="E224" i="57"/>
  <c r="D224" i="57"/>
  <c r="G224" i="57"/>
  <c r="C224" i="57"/>
  <c r="M224" i="57" s="1"/>
  <c r="I224" i="57"/>
  <c r="H224" i="57"/>
  <c r="K224" i="57"/>
  <c r="AN223" i="55" a="1"/>
  <c r="AN223" i="55"/>
  <c r="B225" i="57"/>
  <c r="AR209" i="67" a="1"/>
  <c r="AR209" i="67"/>
  <c r="B210" i="69"/>
  <c r="L210" i="69"/>
  <c r="C209" i="69"/>
  <c r="P209" i="69"/>
  <c r="AE207" i="69"/>
  <c r="R207" i="69"/>
  <c r="S207" i="69"/>
  <c r="Y207" i="69"/>
  <c r="D208" i="69"/>
  <c r="E208" i="69"/>
  <c r="F208" i="69"/>
  <c r="G208" i="69"/>
  <c r="H208" i="69"/>
  <c r="I208" i="69"/>
  <c r="J208" i="69"/>
  <c r="K208" i="69"/>
  <c r="M208" i="69"/>
  <c r="AP164" i="59" a="1"/>
  <c r="AP164" i="59"/>
  <c r="E165" i="50"/>
  <c r="AQ54" i="59" a="1"/>
  <c r="AQ54" i="59"/>
  <c r="AB207" i="69"/>
  <c r="AC207" i="69"/>
  <c r="AD207" i="69"/>
  <c r="AP209" i="69"/>
  <c r="N209" i="69"/>
  <c r="U209" i="69"/>
  <c r="T165" i="50"/>
  <c r="O165" i="50"/>
  <c r="AF208" i="69"/>
  <c r="Q208" i="69"/>
  <c r="O225" i="57"/>
  <c r="AG225" i="57" s="1"/>
  <c r="P225" i="57"/>
  <c r="AC206" i="69"/>
  <c r="AD206" i="69"/>
  <c r="AO209" i="69"/>
  <c r="AG207" i="69"/>
  <c r="O210" i="69"/>
  <c r="AK165" i="50"/>
  <c r="AY208" i="69"/>
  <c r="L225" i="57"/>
  <c r="N225" i="57"/>
  <c r="AH208" i="69"/>
  <c r="J165" i="50"/>
  <c r="B165" i="50"/>
  <c r="R165" i="50" s="1"/>
  <c r="S165" i="50" s="1"/>
  <c r="I165" i="50"/>
  <c r="H165" i="50"/>
  <c r="F165" i="50"/>
  <c r="U165" i="50" s="1"/>
  <c r="N165" i="50"/>
  <c r="L165" i="50"/>
  <c r="M165" i="50"/>
  <c r="A165" i="50"/>
  <c r="Q165" i="50" s="1"/>
  <c r="P165" i="50" s="1"/>
  <c r="G165" i="50"/>
  <c r="K165" i="50"/>
  <c r="H225" i="57"/>
  <c r="D225" i="57"/>
  <c r="I225" i="57"/>
  <c r="E225" i="57"/>
  <c r="K225" i="57"/>
  <c r="C225" i="57"/>
  <c r="M225" i="57" s="1"/>
  <c r="G225" i="57"/>
  <c r="J225" i="57"/>
  <c r="F225" i="57"/>
  <c r="AN224" i="55" a="1"/>
  <c r="AN224" i="55"/>
  <c r="B226" i="57"/>
  <c r="AR210" i="67" a="1"/>
  <c r="AR210" i="67"/>
  <c r="B211" i="69"/>
  <c r="L211" i="69"/>
  <c r="D209" i="69"/>
  <c r="E209" i="69"/>
  <c r="F209" i="69"/>
  <c r="G209" i="69"/>
  <c r="H209" i="69"/>
  <c r="I209" i="69"/>
  <c r="J209" i="69"/>
  <c r="K209" i="69"/>
  <c r="M209" i="69"/>
  <c r="AE208" i="69"/>
  <c r="R208" i="69"/>
  <c r="S208" i="69"/>
  <c r="Y208" i="69"/>
  <c r="C210" i="69"/>
  <c r="P210" i="69"/>
  <c r="AP165" i="59" a="1"/>
  <c r="AP165" i="59"/>
  <c r="E166" i="50"/>
  <c r="AQ55" i="59" a="1"/>
  <c r="AQ55" i="59"/>
  <c r="AP210" i="69"/>
  <c r="N210" i="69"/>
  <c r="U210" i="69"/>
  <c r="T166" i="50"/>
  <c r="O166" i="50"/>
  <c r="AF209" i="69"/>
  <c r="Q209" i="69"/>
  <c r="O226" i="57"/>
  <c r="AG226" i="57" s="1"/>
  <c r="P226" i="57"/>
  <c r="AB208" i="69"/>
  <c r="AG208" i="69"/>
  <c r="O211" i="69"/>
  <c r="AO210" i="69"/>
  <c r="AK166" i="50"/>
  <c r="AY209" i="69"/>
  <c r="L226" i="57"/>
  <c r="N226" i="57"/>
  <c r="AH209" i="69"/>
  <c r="H166" i="50"/>
  <c r="B166" i="50"/>
  <c r="R166" i="50" s="1"/>
  <c r="S166" i="50" s="1"/>
  <c r="V166" i="50" s="1"/>
  <c r="G166" i="50"/>
  <c r="I166" i="50"/>
  <c r="M166" i="50"/>
  <c r="A166" i="50"/>
  <c r="Q166" i="50" s="1"/>
  <c r="P166" i="50" s="1"/>
  <c r="L166" i="50"/>
  <c r="J166" i="50"/>
  <c r="N166" i="50"/>
  <c r="F166" i="50"/>
  <c r="AM166" i="50" s="1"/>
  <c r="K166" i="50"/>
  <c r="J226" i="57"/>
  <c r="G226" i="57"/>
  <c r="F226" i="57"/>
  <c r="C226" i="57"/>
  <c r="M226" i="57" s="1"/>
  <c r="AQ226" i="57" s="1"/>
  <c r="I226" i="57"/>
  <c r="E226" i="57"/>
  <c r="K226" i="57"/>
  <c r="H226" i="57"/>
  <c r="D226" i="57"/>
  <c r="AN225" i="55" a="1"/>
  <c r="AN225" i="55"/>
  <c r="B227" i="57"/>
  <c r="AR211" i="67" a="1"/>
  <c r="AR211" i="67"/>
  <c r="B212" i="69"/>
  <c r="L212" i="69"/>
  <c r="AE209" i="69"/>
  <c r="R209" i="69"/>
  <c r="S209" i="69"/>
  <c r="Y209" i="69"/>
  <c r="C211" i="69"/>
  <c r="P211" i="69"/>
  <c r="D210" i="69"/>
  <c r="E210" i="69"/>
  <c r="F210" i="69"/>
  <c r="G210" i="69"/>
  <c r="H210" i="69"/>
  <c r="I210" i="69"/>
  <c r="J210" i="69"/>
  <c r="K210" i="69"/>
  <c r="M210" i="69"/>
  <c r="AP166" i="59" a="1"/>
  <c r="AP166" i="59"/>
  <c r="E167" i="50"/>
  <c r="AQ56" i="59" a="1"/>
  <c r="AQ56" i="59"/>
  <c r="AP211" i="69"/>
  <c r="N211" i="69"/>
  <c r="U211" i="69"/>
  <c r="T167" i="50"/>
  <c r="O167" i="50"/>
  <c r="AF210" i="69"/>
  <c r="Q210" i="69"/>
  <c r="O227" i="57"/>
  <c r="AG227" i="57" s="1"/>
  <c r="P227" i="57"/>
  <c r="AC208" i="69"/>
  <c r="AD208" i="69"/>
  <c r="AB209" i="69"/>
  <c r="AG209" i="69"/>
  <c r="O212" i="69"/>
  <c r="AO211" i="69"/>
  <c r="AK167" i="50"/>
  <c r="AY210" i="69"/>
  <c r="L227" i="57"/>
  <c r="N227" i="57"/>
  <c r="AH210" i="69"/>
  <c r="A167" i="50"/>
  <c r="Q167" i="50" s="1"/>
  <c r="P167" i="50" s="1"/>
  <c r="I167" i="50"/>
  <c r="F167" i="50"/>
  <c r="AM167" i="50" s="1"/>
  <c r="N167" i="50"/>
  <c r="J167" i="50"/>
  <c r="M167" i="50"/>
  <c r="K167" i="50"/>
  <c r="G167" i="50"/>
  <c r="H167" i="50"/>
  <c r="L167" i="50"/>
  <c r="B167" i="50"/>
  <c r="R167" i="50" s="1"/>
  <c r="S167" i="50" s="1"/>
  <c r="V167" i="50" s="1"/>
  <c r="D227" i="57"/>
  <c r="J227" i="57"/>
  <c r="I227" i="57"/>
  <c r="E227" i="57"/>
  <c r="H227" i="57"/>
  <c r="C227" i="57"/>
  <c r="M227" i="57" s="1"/>
  <c r="AE227" i="57" s="1"/>
  <c r="K227" i="57"/>
  <c r="F227" i="57"/>
  <c r="G227" i="57"/>
  <c r="AN226" i="55" a="1"/>
  <c r="AN226" i="55"/>
  <c r="B228" i="57"/>
  <c r="AR212" i="67" a="1"/>
  <c r="AR212" i="67"/>
  <c r="B213" i="69"/>
  <c r="L213" i="69"/>
  <c r="D211" i="69"/>
  <c r="E211" i="69"/>
  <c r="F211" i="69"/>
  <c r="G211" i="69"/>
  <c r="H211" i="69"/>
  <c r="I211" i="69"/>
  <c r="J211" i="69"/>
  <c r="K211" i="69"/>
  <c r="M211" i="69"/>
  <c r="AE210" i="69"/>
  <c r="R210" i="69"/>
  <c r="S210" i="69"/>
  <c r="C212" i="69"/>
  <c r="P212" i="69"/>
  <c r="AP167" i="59" a="1"/>
  <c r="AP167" i="59"/>
  <c r="E168" i="50"/>
  <c r="AQ57" i="59" a="1"/>
  <c r="AQ57" i="59"/>
  <c r="Y210" i="69"/>
  <c r="AB210" i="69"/>
  <c r="AC210" i="69"/>
  <c r="AD210" i="69"/>
  <c r="AP212" i="69"/>
  <c r="N212" i="69"/>
  <c r="U212" i="69"/>
  <c r="T168" i="50"/>
  <c r="O168" i="50"/>
  <c r="AF211" i="69"/>
  <c r="Q211" i="69"/>
  <c r="O228" i="57"/>
  <c r="AG228" i="57" s="1"/>
  <c r="P228" i="57"/>
  <c r="AC209" i="69"/>
  <c r="AD209" i="69"/>
  <c r="O213" i="69"/>
  <c r="AO212" i="69"/>
  <c r="AK168" i="50"/>
  <c r="AY211" i="69"/>
  <c r="L228" i="57"/>
  <c r="N228" i="57"/>
  <c r="AH211" i="69"/>
  <c r="K168" i="50"/>
  <c r="A168" i="50"/>
  <c r="Q168" i="50" s="1"/>
  <c r="P168" i="50" s="1"/>
  <c r="G168" i="50"/>
  <c r="N168" i="50"/>
  <c r="F168" i="50"/>
  <c r="AM168" i="50" s="1"/>
  <c r="I168" i="50"/>
  <c r="H168" i="50"/>
  <c r="J168" i="50"/>
  <c r="M168" i="50"/>
  <c r="B168" i="50"/>
  <c r="R168" i="50" s="1"/>
  <c r="S168" i="50" s="1"/>
  <c r="Z168" i="50" s="1"/>
  <c r="L168" i="50"/>
  <c r="J228" i="57"/>
  <c r="I228" i="57"/>
  <c r="F228" i="57"/>
  <c r="E228" i="57"/>
  <c r="D228" i="57"/>
  <c r="C228" i="57"/>
  <c r="M228" i="57" s="1"/>
  <c r="AJ228" i="57" s="1"/>
  <c r="H228" i="57"/>
  <c r="K228" i="57"/>
  <c r="G228" i="57"/>
  <c r="AN227" i="55" a="1"/>
  <c r="AN227" i="55"/>
  <c r="B229" i="57"/>
  <c r="D212" i="69"/>
  <c r="E212" i="69"/>
  <c r="F212" i="69"/>
  <c r="G212" i="69"/>
  <c r="H212" i="69"/>
  <c r="I212" i="69"/>
  <c r="J212" i="69"/>
  <c r="K212" i="69"/>
  <c r="M212" i="69"/>
  <c r="R211" i="69"/>
  <c r="S211" i="69"/>
  <c r="Y211" i="69"/>
  <c r="AE211" i="69"/>
  <c r="C213" i="69"/>
  <c r="P213" i="69"/>
  <c r="AR213" i="67" a="1"/>
  <c r="AR213" i="67"/>
  <c r="B214" i="69"/>
  <c r="L214" i="69"/>
  <c r="AP168" i="59" a="1"/>
  <c r="AP168" i="59"/>
  <c r="E169" i="50"/>
  <c r="AQ58" i="59" a="1"/>
  <c r="AQ58" i="59"/>
  <c r="AG210" i="69"/>
  <c r="AP213" i="69"/>
  <c r="N213" i="69"/>
  <c r="U213" i="69"/>
  <c r="O169" i="50"/>
  <c r="T169" i="50"/>
  <c r="AF212" i="69"/>
  <c r="Q212" i="69"/>
  <c r="O229" i="57"/>
  <c r="AG229" i="57" s="1"/>
  <c r="P229" i="57"/>
  <c r="AB211" i="69"/>
  <c r="AG211" i="69"/>
  <c r="O214" i="69"/>
  <c r="AO213" i="69"/>
  <c r="AK169" i="50"/>
  <c r="AY212" i="69"/>
  <c r="L229" i="57"/>
  <c r="N229" i="57"/>
  <c r="AH212" i="69"/>
  <c r="H169" i="50"/>
  <c r="B169" i="50"/>
  <c r="R169" i="50" s="1"/>
  <c r="S169" i="50" s="1"/>
  <c r="AJ169" i="50" s="1"/>
  <c r="F169" i="50"/>
  <c r="N169" i="50"/>
  <c r="I169" i="50"/>
  <c r="L169" i="50"/>
  <c r="A169" i="50"/>
  <c r="Q169" i="50" s="1"/>
  <c r="P169" i="50" s="1"/>
  <c r="J169" i="50"/>
  <c r="K169" i="50"/>
  <c r="M169" i="50"/>
  <c r="G169" i="50"/>
  <c r="F229" i="57"/>
  <c r="C229" i="57"/>
  <c r="M229" i="57" s="1"/>
  <c r="H229" i="57"/>
  <c r="K229" i="57"/>
  <c r="E229" i="57"/>
  <c r="G229" i="57"/>
  <c r="D229" i="57"/>
  <c r="J229" i="57"/>
  <c r="I229" i="57"/>
  <c r="AN228" i="55" a="1"/>
  <c r="AN228" i="55"/>
  <c r="B230" i="57"/>
  <c r="AR214" i="67" a="1"/>
  <c r="AR214" i="67"/>
  <c r="B215" i="69"/>
  <c r="L215" i="69"/>
  <c r="R212" i="69"/>
  <c r="S212" i="69"/>
  <c r="AE212" i="69"/>
  <c r="C214" i="69"/>
  <c r="P214" i="69"/>
  <c r="D213" i="69"/>
  <c r="E213" i="69"/>
  <c r="F213" i="69"/>
  <c r="G213" i="69"/>
  <c r="H213" i="69"/>
  <c r="I213" i="69"/>
  <c r="J213" i="69"/>
  <c r="K213" i="69"/>
  <c r="M213" i="69"/>
  <c r="AP169" i="59" a="1"/>
  <c r="AP169" i="59"/>
  <c r="E170" i="50"/>
  <c r="AQ59" i="59" a="1"/>
  <c r="AQ59" i="59"/>
  <c r="Y212" i="69"/>
  <c r="AB212" i="69"/>
  <c r="AC212" i="69"/>
  <c r="AD212" i="69"/>
  <c r="AP214" i="69"/>
  <c r="N214" i="69"/>
  <c r="U214" i="69"/>
  <c r="T170" i="50"/>
  <c r="O170" i="50"/>
  <c r="AF213" i="69"/>
  <c r="Q213" i="69"/>
  <c r="O230" i="57"/>
  <c r="AG230" i="57" s="1"/>
  <c r="P230" i="57"/>
  <c r="AC211" i="69"/>
  <c r="AD211" i="69"/>
  <c r="AO214" i="69"/>
  <c r="O215" i="69"/>
  <c r="AK170" i="50"/>
  <c r="AY213" i="69"/>
  <c r="L230" i="57"/>
  <c r="N230" i="57"/>
  <c r="AH213" i="69"/>
  <c r="G170" i="50"/>
  <c r="B170" i="50"/>
  <c r="R170" i="50" s="1"/>
  <c r="S170" i="50" s="1"/>
  <c r="A170" i="50"/>
  <c r="Q170" i="50" s="1"/>
  <c r="P170" i="50" s="1"/>
  <c r="H170" i="50"/>
  <c r="J170" i="50"/>
  <c r="L170" i="50"/>
  <c r="I170" i="50"/>
  <c r="M170" i="50"/>
  <c r="N170" i="50"/>
  <c r="K170" i="50"/>
  <c r="F170" i="50"/>
  <c r="J230" i="57"/>
  <c r="E230" i="57"/>
  <c r="F230" i="57"/>
  <c r="K230" i="57"/>
  <c r="G230" i="57"/>
  <c r="C230" i="57"/>
  <c r="M230" i="57" s="1"/>
  <c r="H230" i="57"/>
  <c r="I230" i="57"/>
  <c r="D230" i="57"/>
  <c r="AN229" i="55" a="1"/>
  <c r="AN229" i="55"/>
  <c r="B231" i="57"/>
  <c r="AR215" i="67" a="1"/>
  <c r="AR215" i="67"/>
  <c r="B216" i="69"/>
  <c r="L216" i="69"/>
  <c r="AE213" i="69"/>
  <c r="R213" i="69"/>
  <c r="S213" i="69"/>
  <c r="Y213" i="69"/>
  <c r="D214" i="69"/>
  <c r="E214" i="69"/>
  <c r="F214" i="69"/>
  <c r="G214" i="69"/>
  <c r="H214" i="69"/>
  <c r="I214" i="69"/>
  <c r="J214" i="69"/>
  <c r="K214" i="69"/>
  <c r="M214" i="69"/>
  <c r="C215" i="69"/>
  <c r="P215" i="69"/>
  <c r="AP170" i="59" a="1"/>
  <c r="AP170" i="59"/>
  <c r="E171" i="50"/>
  <c r="AQ60" i="59" a="1"/>
  <c r="AQ60" i="59"/>
  <c r="AG212" i="69"/>
  <c r="AB213" i="69"/>
  <c r="AC213" i="69"/>
  <c r="AD213" i="69"/>
  <c r="AP215" i="69"/>
  <c r="N215" i="69"/>
  <c r="U215" i="69"/>
  <c r="T171" i="50"/>
  <c r="O171" i="50"/>
  <c r="AF214" i="69"/>
  <c r="Q214" i="69"/>
  <c r="O231" i="57"/>
  <c r="AG231" i="57" s="1"/>
  <c r="P231" i="57"/>
  <c r="AG213" i="69"/>
  <c r="O216" i="69"/>
  <c r="AO215" i="69"/>
  <c r="AK171" i="50"/>
  <c r="AY214" i="69"/>
  <c r="L231" i="57"/>
  <c r="N231" i="57"/>
  <c r="AH214" i="69"/>
  <c r="I171" i="50"/>
  <c r="H171" i="50"/>
  <c r="F171" i="50"/>
  <c r="L171" i="50"/>
  <c r="N171" i="50"/>
  <c r="M171" i="50"/>
  <c r="B171" i="50"/>
  <c r="R171" i="50" s="1"/>
  <c r="S171" i="50" s="1"/>
  <c r="G171" i="50"/>
  <c r="J171" i="50"/>
  <c r="K171" i="50"/>
  <c r="A171" i="50"/>
  <c r="Q171" i="50" s="1"/>
  <c r="P171" i="50" s="1"/>
  <c r="J231" i="57"/>
  <c r="G231" i="57"/>
  <c r="D231" i="57"/>
  <c r="K231" i="57"/>
  <c r="F231" i="57"/>
  <c r="H231" i="57"/>
  <c r="C231" i="57"/>
  <c r="M231" i="57" s="1"/>
  <c r="AQ231" i="57" s="1"/>
  <c r="E231" i="57"/>
  <c r="I231" i="57"/>
  <c r="AN230" i="55" a="1"/>
  <c r="AN230" i="55"/>
  <c r="B232" i="57"/>
  <c r="AR216" i="67" a="1"/>
  <c r="AR216" i="67"/>
  <c r="B217" i="69"/>
  <c r="L217" i="69"/>
  <c r="C216" i="69"/>
  <c r="P216" i="69"/>
  <c r="D215" i="69"/>
  <c r="E215" i="69"/>
  <c r="F215" i="69"/>
  <c r="G215" i="69"/>
  <c r="H215" i="69"/>
  <c r="I215" i="69"/>
  <c r="J215" i="69"/>
  <c r="K215" i="69"/>
  <c r="M215" i="69"/>
  <c r="AE214" i="69"/>
  <c r="R214" i="69"/>
  <c r="S214" i="69"/>
  <c r="Y214" i="69"/>
  <c r="AP171" i="59" a="1"/>
  <c r="AP171" i="59"/>
  <c r="E172" i="50"/>
  <c r="AQ61" i="59" a="1"/>
  <c r="AQ61" i="59"/>
  <c r="AB214" i="69"/>
  <c r="AC214" i="69"/>
  <c r="AD214" i="69"/>
  <c r="AP216" i="69"/>
  <c r="N216" i="69"/>
  <c r="U216" i="69"/>
  <c r="T172" i="50"/>
  <c r="O172" i="50"/>
  <c r="AF215" i="69"/>
  <c r="Q215" i="69"/>
  <c r="O232" i="57"/>
  <c r="AG232" i="57" s="1"/>
  <c r="P232" i="57"/>
  <c r="AG214" i="69"/>
  <c r="AO216" i="69"/>
  <c r="O217" i="69"/>
  <c r="AK172" i="50"/>
  <c r="AY215" i="69"/>
  <c r="L232" i="57"/>
  <c r="N232" i="57"/>
  <c r="AH215" i="69"/>
  <c r="L172" i="50"/>
  <c r="N172" i="50"/>
  <c r="F172" i="50"/>
  <c r="U172" i="50" s="1"/>
  <c r="G172" i="50"/>
  <c r="I172" i="50"/>
  <c r="H172" i="50"/>
  <c r="K172" i="50"/>
  <c r="J172" i="50"/>
  <c r="M172" i="50"/>
  <c r="A172" i="50"/>
  <c r="Q172" i="50" s="1"/>
  <c r="P172" i="50" s="1"/>
  <c r="B172" i="50"/>
  <c r="R172" i="50" s="1"/>
  <c r="S172" i="50" s="1"/>
  <c r="I232" i="57"/>
  <c r="F232" i="57"/>
  <c r="D232" i="57"/>
  <c r="C232" i="57"/>
  <c r="M232" i="57" s="1"/>
  <c r="J232" i="57"/>
  <c r="K232" i="57"/>
  <c r="E232" i="57"/>
  <c r="G232" i="57"/>
  <c r="H232" i="57"/>
  <c r="AN231" i="55" a="1"/>
  <c r="AN231" i="55"/>
  <c r="B233" i="57"/>
  <c r="AR217" i="67" a="1"/>
  <c r="AR217" i="67"/>
  <c r="B218" i="69"/>
  <c r="L218" i="69"/>
  <c r="D216" i="69"/>
  <c r="E216" i="69"/>
  <c r="F216" i="69"/>
  <c r="G216" i="69"/>
  <c r="H216" i="69"/>
  <c r="I216" i="69"/>
  <c r="J216" i="69"/>
  <c r="K216" i="69"/>
  <c r="M216" i="69"/>
  <c r="AE215" i="69"/>
  <c r="R215" i="69"/>
  <c r="S215" i="69"/>
  <c r="Y215" i="69"/>
  <c r="C217" i="69"/>
  <c r="P217" i="69"/>
  <c r="AP172" i="59" a="1"/>
  <c r="AP172" i="59"/>
  <c r="E173" i="50"/>
  <c r="AQ62" i="59" a="1"/>
  <c r="AQ62" i="59"/>
  <c r="AB215" i="69"/>
  <c r="AC215" i="69"/>
  <c r="AD215" i="69"/>
  <c r="AP217" i="69"/>
  <c r="N217" i="69"/>
  <c r="U217" i="69"/>
  <c r="T173" i="50"/>
  <c r="O173" i="50"/>
  <c r="AF216" i="69"/>
  <c r="Q216" i="69"/>
  <c r="O233" i="57"/>
  <c r="AG233" i="57" s="1"/>
  <c r="P233" i="57"/>
  <c r="O218" i="69"/>
  <c r="AO217" i="69"/>
  <c r="AG215" i="69"/>
  <c r="AK173" i="50"/>
  <c r="AY216" i="69"/>
  <c r="L233" i="57"/>
  <c r="N233" i="57"/>
  <c r="AH216" i="69"/>
  <c r="F173" i="50"/>
  <c r="AM173" i="50" s="1"/>
  <c r="M173" i="50"/>
  <c r="J173" i="50"/>
  <c r="K173" i="50"/>
  <c r="B173" i="50"/>
  <c r="R173" i="50" s="1"/>
  <c r="S173" i="50" s="1"/>
  <c r="L173" i="50"/>
  <c r="H173" i="50"/>
  <c r="A173" i="50"/>
  <c r="Q173" i="50" s="1"/>
  <c r="P173" i="50" s="1"/>
  <c r="G173" i="50"/>
  <c r="I173" i="50"/>
  <c r="N173" i="50"/>
  <c r="K233" i="57"/>
  <c r="J233" i="57"/>
  <c r="H233" i="57"/>
  <c r="F233" i="57"/>
  <c r="D233" i="57"/>
  <c r="C233" i="57"/>
  <c r="M233" i="57" s="1"/>
  <c r="I233" i="57"/>
  <c r="E233" i="57"/>
  <c r="G233" i="57"/>
  <c r="AN232" i="55" a="1"/>
  <c r="AN232" i="55"/>
  <c r="B234" i="57"/>
  <c r="R216" i="69"/>
  <c r="S216" i="69"/>
  <c r="Y216" i="69"/>
  <c r="AE216" i="69"/>
  <c r="C218" i="69"/>
  <c r="P218" i="69"/>
  <c r="D217" i="69"/>
  <c r="E217" i="69"/>
  <c r="F217" i="69"/>
  <c r="G217" i="69"/>
  <c r="H217" i="69"/>
  <c r="I217" i="69"/>
  <c r="J217" i="69"/>
  <c r="K217" i="69"/>
  <c r="M217" i="69"/>
  <c r="AR218" i="67" a="1"/>
  <c r="AR218" i="67"/>
  <c r="B219" i="69"/>
  <c r="L219" i="69"/>
  <c r="AP173" i="59" a="1"/>
  <c r="AP173" i="59"/>
  <c r="E174" i="50"/>
  <c r="AQ63" i="59" a="1"/>
  <c r="AQ63" i="59"/>
  <c r="AP218" i="69"/>
  <c r="N218" i="69"/>
  <c r="U218" i="69"/>
  <c r="T174" i="50"/>
  <c r="O174" i="50"/>
  <c r="AF217" i="69"/>
  <c r="Q217" i="69"/>
  <c r="O234" i="57"/>
  <c r="P234" i="57"/>
  <c r="AB216" i="69"/>
  <c r="AG216" i="69"/>
  <c r="O219" i="69"/>
  <c r="AO218" i="69"/>
  <c r="AK174" i="50"/>
  <c r="AY217" i="69"/>
  <c r="L234" i="57"/>
  <c r="N234" i="57"/>
  <c r="AH217" i="69"/>
  <c r="M174" i="50"/>
  <c r="A174" i="50"/>
  <c r="Q174" i="50" s="1"/>
  <c r="P174" i="50" s="1"/>
  <c r="K174" i="50"/>
  <c r="G174" i="50"/>
  <c r="N174" i="50"/>
  <c r="I174" i="50"/>
  <c r="L174" i="50"/>
  <c r="H174" i="50"/>
  <c r="B174" i="50"/>
  <c r="R174" i="50" s="1"/>
  <c r="S174" i="50" s="1"/>
  <c r="AJ174" i="50" s="1"/>
  <c r="J174" i="50"/>
  <c r="F174" i="50"/>
  <c r="E234" i="57"/>
  <c r="J234" i="57"/>
  <c r="H234" i="57"/>
  <c r="G234" i="57"/>
  <c r="C234" i="57"/>
  <c r="M234" i="57" s="1"/>
  <c r="F234" i="57"/>
  <c r="D234" i="57"/>
  <c r="K234" i="57"/>
  <c r="I234" i="57"/>
  <c r="AN233" i="55" a="1"/>
  <c r="AN233" i="55"/>
  <c r="B235" i="57"/>
  <c r="R217" i="69"/>
  <c r="S217" i="69"/>
  <c r="Y217" i="69"/>
  <c r="AE217" i="69"/>
  <c r="D218" i="69"/>
  <c r="E218" i="69"/>
  <c r="F218" i="69"/>
  <c r="G218" i="69"/>
  <c r="H218" i="69"/>
  <c r="I218" i="69"/>
  <c r="J218" i="69"/>
  <c r="K218" i="69"/>
  <c r="M218" i="69"/>
  <c r="AR219" i="67" a="1"/>
  <c r="AR219" i="67"/>
  <c r="B220" i="69"/>
  <c r="L220" i="69"/>
  <c r="C219" i="69"/>
  <c r="P219" i="69"/>
  <c r="AP174" i="59" a="1"/>
  <c r="AP174" i="59"/>
  <c r="E175" i="50"/>
  <c r="AQ64" i="59" a="1"/>
  <c r="AQ64" i="59"/>
  <c r="AP219" i="69"/>
  <c r="N219" i="69"/>
  <c r="U219" i="69"/>
  <c r="T175" i="50"/>
  <c r="O175" i="50"/>
  <c r="AF218" i="69"/>
  <c r="Q218" i="69"/>
  <c r="O235" i="57"/>
  <c r="AG235" i="57" s="1"/>
  <c r="P235" i="57"/>
  <c r="AC216" i="69"/>
  <c r="AD216" i="69"/>
  <c r="AB217" i="69"/>
  <c r="AG217" i="69"/>
  <c r="AO219" i="69"/>
  <c r="O220" i="69"/>
  <c r="AK175" i="50"/>
  <c r="AY218" i="69"/>
  <c r="L235" i="57"/>
  <c r="N235" i="57"/>
  <c r="AH218" i="69"/>
  <c r="F175" i="50"/>
  <c r="U175" i="50" s="1"/>
  <c r="L175" i="50"/>
  <c r="A175" i="50"/>
  <c r="Q175" i="50" s="1"/>
  <c r="P175" i="50" s="1"/>
  <c r="K175" i="50"/>
  <c r="H175" i="50"/>
  <c r="M175" i="50"/>
  <c r="I175" i="50"/>
  <c r="J175" i="50"/>
  <c r="B175" i="50"/>
  <c r="R175" i="50" s="1"/>
  <c r="S175" i="50" s="1"/>
  <c r="V175" i="50" s="1"/>
  <c r="G175" i="50"/>
  <c r="N175" i="50"/>
  <c r="J235" i="57"/>
  <c r="D235" i="57"/>
  <c r="K235" i="57"/>
  <c r="F235" i="57"/>
  <c r="I235" i="57"/>
  <c r="E235" i="57"/>
  <c r="C235" i="57"/>
  <c r="M235" i="57" s="1"/>
  <c r="G235" i="57"/>
  <c r="H235" i="57"/>
  <c r="AN234" i="55" a="1"/>
  <c r="AN234" i="55"/>
  <c r="B236" i="57"/>
  <c r="AR220" i="67" a="1"/>
  <c r="AR220" i="67"/>
  <c r="B221" i="69"/>
  <c r="L221" i="69"/>
  <c r="AE218" i="69"/>
  <c r="R218" i="69"/>
  <c r="S218" i="69"/>
  <c r="Y218" i="69"/>
  <c r="C220" i="69"/>
  <c r="P220" i="69"/>
  <c r="D219" i="69"/>
  <c r="E219" i="69"/>
  <c r="F219" i="69"/>
  <c r="G219" i="69"/>
  <c r="H219" i="69"/>
  <c r="I219" i="69"/>
  <c r="J219" i="69"/>
  <c r="K219" i="69"/>
  <c r="M219" i="69"/>
  <c r="AP175" i="59" a="1"/>
  <c r="AP175" i="59"/>
  <c r="E176" i="50"/>
  <c r="AQ65" i="59" a="1"/>
  <c r="AQ65" i="59"/>
  <c r="AP220" i="69"/>
  <c r="N220" i="69"/>
  <c r="U220" i="69"/>
  <c r="T176" i="50"/>
  <c r="O176" i="50"/>
  <c r="AF219" i="69"/>
  <c r="Q219" i="69"/>
  <c r="O236" i="57"/>
  <c r="AG236" i="57" s="1"/>
  <c r="P236" i="57"/>
  <c r="AC217" i="69"/>
  <c r="AD217" i="69"/>
  <c r="AB218" i="69"/>
  <c r="AG218" i="69"/>
  <c r="AO220" i="69"/>
  <c r="O221" i="69"/>
  <c r="AK176" i="50"/>
  <c r="AY219" i="69"/>
  <c r="L236" i="57"/>
  <c r="N236" i="57"/>
  <c r="AH219" i="69"/>
  <c r="G176" i="50"/>
  <c r="A176" i="50"/>
  <c r="Q176" i="50" s="1"/>
  <c r="P176" i="50" s="1"/>
  <c r="I176" i="50"/>
  <c r="H176" i="50"/>
  <c r="N176" i="50"/>
  <c r="F176" i="50"/>
  <c r="AM176" i="50" s="1"/>
  <c r="J176" i="50"/>
  <c r="K176" i="50"/>
  <c r="M176" i="50"/>
  <c r="B176" i="50"/>
  <c r="R176" i="50" s="1"/>
  <c r="S176" i="50" s="1"/>
  <c r="L176" i="50"/>
  <c r="J236" i="57"/>
  <c r="I236" i="57"/>
  <c r="F236" i="57"/>
  <c r="E236" i="57"/>
  <c r="D236" i="57"/>
  <c r="H236" i="57"/>
  <c r="G236" i="57"/>
  <c r="C236" i="57"/>
  <c r="M236" i="57" s="1"/>
  <c r="Q236" i="57" s="1"/>
  <c r="T236" i="57" s="1"/>
  <c r="K236" i="57"/>
  <c r="AN235" i="55" a="1"/>
  <c r="AN235" i="55"/>
  <c r="B237" i="57"/>
  <c r="AR221" i="67" a="1"/>
  <c r="AR221" i="67"/>
  <c r="B222" i="69"/>
  <c r="L222" i="69"/>
  <c r="C221" i="69"/>
  <c r="P221" i="69"/>
  <c r="R219" i="69"/>
  <c r="S219" i="69"/>
  <c r="Y219" i="69"/>
  <c r="AE219" i="69"/>
  <c r="D220" i="69"/>
  <c r="E220" i="69"/>
  <c r="F220" i="69"/>
  <c r="G220" i="69"/>
  <c r="H220" i="69"/>
  <c r="I220" i="69"/>
  <c r="J220" i="69"/>
  <c r="K220" i="69"/>
  <c r="M220" i="69"/>
  <c r="AP176" i="59" a="1"/>
  <c r="AP176" i="59"/>
  <c r="E177" i="50"/>
  <c r="AQ66" i="59" a="1"/>
  <c r="AQ66" i="59"/>
  <c r="AP221" i="69"/>
  <c r="N221" i="69"/>
  <c r="U221" i="69"/>
  <c r="O177" i="50"/>
  <c r="T177" i="50"/>
  <c r="AF220" i="69"/>
  <c r="Q220" i="69"/>
  <c r="O237" i="57"/>
  <c r="AG237" i="57" s="1"/>
  <c r="P237" i="57"/>
  <c r="AC218" i="69"/>
  <c r="AD218" i="69"/>
  <c r="AB219" i="69"/>
  <c r="AG219" i="69"/>
  <c r="AO221" i="69"/>
  <c r="O222" i="69"/>
  <c r="AK177" i="50"/>
  <c r="AY220" i="69"/>
  <c r="L237" i="57"/>
  <c r="N237" i="57"/>
  <c r="AH220" i="69"/>
  <c r="J177" i="50"/>
  <c r="L177" i="50"/>
  <c r="B177" i="50"/>
  <c r="R177" i="50" s="1"/>
  <c r="S177" i="50" s="1"/>
  <c r="W177" i="50" s="1"/>
  <c r="X177" i="50" s="1"/>
  <c r="M177" i="50"/>
  <c r="N177" i="50"/>
  <c r="F177" i="50"/>
  <c r="U177" i="50" s="1"/>
  <c r="A177" i="50"/>
  <c r="Q177" i="50" s="1"/>
  <c r="P177" i="50" s="1"/>
  <c r="I177" i="50"/>
  <c r="K177" i="50"/>
  <c r="H177" i="50"/>
  <c r="G177" i="50"/>
  <c r="K237" i="57"/>
  <c r="H237" i="57"/>
  <c r="C237" i="57"/>
  <c r="M237" i="57" s="1"/>
  <c r="AJ237" i="57" s="1"/>
  <c r="F237" i="57"/>
  <c r="I237" i="57"/>
  <c r="E237" i="57"/>
  <c r="D237" i="57"/>
  <c r="G237" i="57"/>
  <c r="J237" i="57"/>
  <c r="AN236" i="55" a="1"/>
  <c r="AN236" i="55"/>
  <c r="B238" i="57"/>
  <c r="AR222" i="67" a="1"/>
  <c r="AR222" i="67"/>
  <c r="B223" i="69"/>
  <c r="L223" i="69"/>
  <c r="D221" i="69"/>
  <c r="E221" i="69"/>
  <c r="F221" i="69"/>
  <c r="G221" i="69"/>
  <c r="H221" i="69"/>
  <c r="I221" i="69"/>
  <c r="J221" i="69"/>
  <c r="K221" i="69"/>
  <c r="M221" i="69"/>
  <c r="R220" i="69"/>
  <c r="S220" i="69"/>
  <c r="Y220" i="69"/>
  <c r="AE220" i="69"/>
  <c r="C222" i="69"/>
  <c r="P222" i="69"/>
  <c r="AP177" i="59" a="1"/>
  <c r="AP177" i="59"/>
  <c r="E178" i="50"/>
  <c r="AQ67" i="59" a="1"/>
  <c r="AQ67" i="59"/>
  <c r="AP222" i="69"/>
  <c r="N222" i="69"/>
  <c r="U222" i="69"/>
  <c r="T178" i="50"/>
  <c r="O178" i="50"/>
  <c r="AF221" i="69"/>
  <c r="Q221" i="69"/>
  <c r="O238" i="57"/>
  <c r="AG238" i="57" s="1"/>
  <c r="P238" i="57"/>
  <c r="AC219" i="69"/>
  <c r="AD219" i="69"/>
  <c r="AB220" i="69"/>
  <c r="AG220" i="69"/>
  <c r="O223" i="69"/>
  <c r="AO222" i="69"/>
  <c r="AK178" i="50"/>
  <c r="AY221" i="69"/>
  <c r="L238" i="57"/>
  <c r="N238" i="57"/>
  <c r="AH221" i="69"/>
  <c r="A178" i="50"/>
  <c r="Q178" i="50" s="1"/>
  <c r="P178" i="50" s="1"/>
  <c r="G178" i="50"/>
  <c r="H178" i="50"/>
  <c r="K178" i="50"/>
  <c r="M178" i="50"/>
  <c r="I178" i="50"/>
  <c r="L178" i="50"/>
  <c r="B178" i="50"/>
  <c r="R178" i="50" s="1"/>
  <c r="S178" i="50" s="1"/>
  <c r="F178" i="50"/>
  <c r="AM178" i="50" s="1"/>
  <c r="N178" i="50"/>
  <c r="J178" i="50"/>
  <c r="J238" i="57"/>
  <c r="E238" i="57"/>
  <c r="I238" i="57"/>
  <c r="D238" i="57"/>
  <c r="F238" i="57"/>
  <c r="K238" i="57"/>
  <c r="C238" i="57"/>
  <c r="M238" i="57" s="1"/>
  <c r="R238" i="57" s="1"/>
  <c r="G238" i="57"/>
  <c r="H238" i="57"/>
  <c r="AN237" i="55" a="1"/>
  <c r="AN237" i="55"/>
  <c r="B239" i="57"/>
  <c r="AR223" i="67" a="1"/>
  <c r="AR223" i="67"/>
  <c r="B224" i="69"/>
  <c r="L224" i="69"/>
  <c r="C223" i="69"/>
  <c r="P223" i="69"/>
  <c r="AE221" i="69"/>
  <c r="R221" i="69"/>
  <c r="S221" i="69"/>
  <c r="Y221" i="69"/>
  <c r="D222" i="69"/>
  <c r="E222" i="69"/>
  <c r="F222" i="69"/>
  <c r="G222" i="69"/>
  <c r="H222" i="69"/>
  <c r="I222" i="69"/>
  <c r="J222" i="69"/>
  <c r="K222" i="69"/>
  <c r="M222" i="69"/>
  <c r="AP178" i="59" a="1"/>
  <c r="AP178" i="59"/>
  <c r="E179" i="50"/>
  <c r="AQ68" i="59" a="1"/>
  <c r="AQ68" i="59"/>
  <c r="AP223" i="69"/>
  <c r="N223" i="69"/>
  <c r="U223" i="69"/>
  <c r="T179" i="50"/>
  <c r="O179" i="50"/>
  <c r="AF222" i="69"/>
  <c r="Q222" i="69"/>
  <c r="O239" i="57"/>
  <c r="AG239" i="57" s="1"/>
  <c r="P239" i="57"/>
  <c r="AC220" i="69"/>
  <c r="AD220" i="69"/>
  <c r="AB221" i="69"/>
  <c r="AG221" i="69"/>
  <c r="AO223" i="69"/>
  <c r="O224" i="69"/>
  <c r="AK179" i="50"/>
  <c r="AY222" i="69"/>
  <c r="L239" i="57"/>
  <c r="N239" i="57"/>
  <c r="AH222" i="69"/>
  <c r="F179" i="50"/>
  <c r="AM179" i="50" s="1"/>
  <c r="I179" i="50"/>
  <c r="N179" i="50"/>
  <c r="A179" i="50"/>
  <c r="Q179" i="50" s="1"/>
  <c r="P179" i="50" s="1"/>
  <c r="M179" i="50"/>
  <c r="H179" i="50"/>
  <c r="K179" i="50"/>
  <c r="J179" i="50"/>
  <c r="L179" i="50"/>
  <c r="B179" i="50"/>
  <c r="R179" i="50" s="1"/>
  <c r="S179" i="50" s="1"/>
  <c r="G179" i="50"/>
  <c r="H239" i="57"/>
  <c r="F239" i="57"/>
  <c r="D239" i="57"/>
  <c r="G239" i="57"/>
  <c r="C239" i="57"/>
  <c r="M239" i="57" s="1"/>
  <c r="J239" i="57"/>
  <c r="I239" i="57"/>
  <c r="E239" i="57"/>
  <c r="K239" i="57"/>
  <c r="AN238" i="55" a="1"/>
  <c r="AN238" i="55"/>
  <c r="B240" i="57"/>
  <c r="AR224" i="67" a="1"/>
  <c r="AR224" i="67"/>
  <c r="B225" i="69"/>
  <c r="L225" i="69"/>
  <c r="D223" i="69"/>
  <c r="E223" i="69"/>
  <c r="F223" i="69"/>
  <c r="G223" i="69"/>
  <c r="H223" i="69"/>
  <c r="I223" i="69"/>
  <c r="J223" i="69"/>
  <c r="K223" i="69"/>
  <c r="M223" i="69"/>
  <c r="R222" i="69"/>
  <c r="S222" i="69"/>
  <c r="Y222" i="69"/>
  <c r="AE222" i="69"/>
  <c r="C224" i="69"/>
  <c r="P224" i="69"/>
  <c r="AP179" i="59" a="1"/>
  <c r="AP179" i="59"/>
  <c r="E180" i="50"/>
  <c r="AQ69" i="59" a="1"/>
  <c r="AQ69" i="59"/>
  <c r="AP224" i="69"/>
  <c r="N224" i="69"/>
  <c r="U224" i="69"/>
  <c r="T180" i="50"/>
  <c r="O180" i="50"/>
  <c r="AF223" i="69"/>
  <c r="Q223" i="69"/>
  <c r="O240" i="57"/>
  <c r="AG240" i="57" s="1"/>
  <c r="P240" i="57"/>
  <c r="AC221" i="69"/>
  <c r="AD221" i="69"/>
  <c r="AB222" i="69"/>
  <c r="AG222" i="69"/>
  <c r="AO224" i="69"/>
  <c r="O225" i="69"/>
  <c r="AK180" i="50"/>
  <c r="AY223" i="69"/>
  <c r="L240" i="57"/>
  <c r="N240" i="57"/>
  <c r="AH223" i="69"/>
  <c r="G180" i="50"/>
  <c r="L180" i="50"/>
  <c r="M180" i="50"/>
  <c r="H180" i="50"/>
  <c r="N180" i="50"/>
  <c r="I180" i="50"/>
  <c r="J180" i="50"/>
  <c r="B180" i="50"/>
  <c r="R180" i="50" s="1"/>
  <c r="S180" i="50" s="1"/>
  <c r="W180" i="50" s="1"/>
  <c r="X180" i="50" s="1"/>
  <c r="K180" i="50"/>
  <c r="A180" i="50"/>
  <c r="Q180" i="50" s="1"/>
  <c r="P180" i="50" s="1"/>
  <c r="F180" i="50"/>
  <c r="J240" i="57"/>
  <c r="K240" i="57"/>
  <c r="D240" i="57"/>
  <c r="G240" i="57"/>
  <c r="C240" i="57"/>
  <c r="M240" i="57" s="1"/>
  <c r="F240" i="57"/>
  <c r="I240" i="57"/>
  <c r="E240" i="57"/>
  <c r="H240" i="57"/>
  <c r="AN239" i="55" a="1"/>
  <c r="AN239" i="55"/>
  <c r="B241" i="57"/>
  <c r="D224" i="69"/>
  <c r="E224" i="69"/>
  <c r="F224" i="69"/>
  <c r="G224" i="69"/>
  <c r="H224" i="69"/>
  <c r="I224" i="69"/>
  <c r="J224" i="69"/>
  <c r="K224" i="69"/>
  <c r="M224" i="69"/>
  <c r="C225" i="69"/>
  <c r="P225" i="69"/>
  <c r="AE223" i="69"/>
  <c r="R223" i="69"/>
  <c r="S223" i="69"/>
  <c r="Y223" i="69"/>
  <c r="AR225" i="67" a="1"/>
  <c r="AR225" i="67"/>
  <c r="B226" i="69"/>
  <c r="L226" i="69"/>
  <c r="AP180" i="59" a="1"/>
  <c r="AP180" i="59"/>
  <c r="E181" i="50"/>
  <c r="AQ70" i="59" a="1"/>
  <c r="AQ70" i="59"/>
  <c r="AP225" i="69"/>
  <c r="N225" i="69"/>
  <c r="U225" i="69"/>
  <c r="T181" i="50"/>
  <c r="O181" i="50"/>
  <c r="AF224" i="69"/>
  <c r="Q224" i="69"/>
  <c r="O241" i="57"/>
  <c r="AG241" i="57" s="1"/>
  <c r="P241" i="57"/>
  <c r="AC222" i="69"/>
  <c r="AD222" i="69"/>
  <c r="AB223" i="69"/>
  <c r="AG223" i="69"/>
  <c r="O226" i="69"/>
  <c r="AO225" i="69"/>
  <c r="AK181" i="50"/>
  <c r="AY224" i="69"/>
  <c r="L241" i="57"/>
  <c r="N241" i="57"/>
  <c r="AH224" i="69"/>
  <c r="M181" i="50"/>
  <c r="A181" i="50"/>
  <c r="Q181" i="50" s="1"/>
  <c r="P181" i="50" s="1"/>
  <c r="G181" i="50"/>
  <c r="K181" i="50"/>
  <c r="F181" i="50"/>
  <c r="I181" i="50"/>
  <c r="L181" i="50"/>
  <c r="N181" i="50"/>
  <c r="H181" i="50"/>
  <c r="J181" i="50"/>
  <c r="B181" i="50"/>
  <c r="R181" i="50" s="1"/>
  <c r="S181" i="50" s="1"/>
  <c r="W181" i="50" s="1"/>
  <c r="X181" i="50" s="1"/>
  <c r="H241" i="57"/>
  <c r="D241" i="57"/>
  <c r="G241" i="57"/>
  <c r="C241" i="57"/>
  <c r="M241" i="57" s="1"/>
  <c r="R241" i="57" s="1"/>
  <c r="J241" i="57"/>
  <c r="F241" i="57"/>
  <c r="K241" i="57"/>
  <c r="E241" i="57"/>
  <c r="I241" i="57"/>
  <c r="AN240" i="55" a="1"/>
  <c r="AN240" i="55"/>
  <c r="B242" i="57"/>
  <c r="AR226" i="67" a="1"/>
  <c r="AR226" i="67"/>
  <c r="B227" i="69"/>
  <c r="L227" i="69"/>
  <c r="D225" i="69"/>
  <c r="E225" i="69"/>
  <c r="F225" i="69"/>
  <c r="G225" i="69"/>
  <c r="H225" i="69"/>
  <c r="I225" i="69"/>
  <c r="J225" i="69"/>
  <c r="K225" i="69"/>
  <c r="M225" i="69"/>
  <c r="C226" i="69"/>
  <c r="P226" i="69"/>
  <c r="AE224" i="69"/>
  <c r="R224" i="69"/>
  <c r="S224" i="69"/>
  <c r="Y224" i="69"/>
  <c r="AP181" i="59" a="1"/>
  <c r="AP181" i="59"/>
  <c r="E182" i="50"/>
  <c r="AQ71" i="59" a="1"/>
  <c r="AQ71" i="59"/>
  <c r="AP226" i="69"/>
  <c r="N226" i="69"/>
  <c r="U226" i="69"/>
  <c r="T182" i="50"/>
  <c r="O182" i="50"/>
  <c r="AF225" i="69"/>
  <c r="Q225" i="69"/>
  <c r="O242" i="57"/>
  <c r="AG242" i="57" s="1"/>
  <c r="P242" i="57"/>
  <c r="AC223" i="69"/>
  <c r="AD223" i="69"/>
  <c r="AB224" i="69"/>
  <c r="AG224" i="69"/>
  <c r="AO226" i="69"/>
  <c r="O227" i="69"/>
  <c r="AK182" i="50"/>
  <c r="AY225" i="69"/>
  <c r="L242" i="57"/>
  <c r="N242" i="57"/>
  <c r="AH225" i="69"/>
  <c r="H182" i="50"/>
  <c r="I182" i="50"/>
  <c r="G182" i="50"/>
  <c r="M182" i="50"/>
  <c r="N182" i="50"/>
  <c r="A182" i="50"/>
  <c r="Q182" i="50" s="1"/>
  <c r="P182" i="50" s="1"/>
  <c r="F182" i="50"/>
  <c r="L182" i="50"/>
  <c r="B182" i="50"/>
  <c r="R182" i="50" s="1"/>
  <c r="S182" i="50" s="1"/>
  <c r="J182" i="50"/>
  <c r="K182" i="50"/>
  <c r="J242" i="57"/>
  <c r="F242" i="57"/>
  <c r="C242" i="57"/>
  <c r="M242" i="57" s="1"/>
  <c r="I242" i="57"/>
  <c r="E242" i="57"/>
  <c r="K242" i="57"/>
  <c r="H242" i="57"/>
  <c r="D242" i="57"/>
  <c r="G242" i="57"/>
  <c r="AN241" i="55" a="1"/>
  <c r="AN241" i="55"/>
  <c r="B243" i="57"/>
  <c r="AR227" i="67" a="1"/>
  <c r="AR227" i="67"/>
  <c r="B228" i="69"/>
  <c r="L228" i="69"/>
  <c r="D226" i="69"/>
  <c r="E226" i="69"/>
  <c r="F226" i="69"/>
  <c r="G226" i="69"/>
  <c r="H226" i="69"/>
  <c r="I226" i="69"/>
  <c r="J226" i="69"/>
  <c r="K226" i="69"/>
  <c r="M226" i="69"/>
  <c r="R225" i="69"/>
  <c r="S225" i="69"/>
  <c r="AE225" i="69"/>
  <c r="C227" i="69"/>
  <c r="P227" i="69"/>
  <c r="AP182" i="59" a="1"/>
  <c r="AP182" i="59"/>
  <c r="E183" i="50"/>
  <c r="AQ72" i="59" a="1"/>
  <c r="AQ72" i="59"/>
  <c r="Y225" i="69"/>
  <c r="AB225" i="69"/>
  <c r="AC225" i="69"/>
  <c r="AD225" i="69"/>
  <c r="AP227" i="69"/>
  <c r="N227" i="69"/>
  <c r="U227" i="69"/>
  <c r="T183" i="50"/>
  <c r="O183" i="50"/>
  <c r="AF226" i="69"/>
  <c r="Q226" i="69"/>
  <c r="O243" i="57"/>
  <c r="AG243" i="57" s="1"/>
  <c r="P243" i="57"/>
  <c r="AC224" i="69"/>
  <c r="AD224" i="69"/>
  <c r="O228" i="69"/>
  <c r="AO227" i="69"/>
  <c r="AK183" i="50"/>
  <c r="AY226" i="69"/>
  <c r="L243" i="57"/>
  <c r="N243" i="57"/>
  <c r="AH226" i="69"/>
  <c r="A183" i="50"/>
  <c r="Q183" i="50" s="1"/>
  <c r="P183" i="50" s="1"/>
  <c r="B183" i="50"/>
  <c r="R183" i="50" s="1"/>
  <c r="S183" i="50" s="1"/>
  <c r="L183" i="50"/>
  <c r="F183" i="50"/>
  <c r="N183" i="50"/>
  <c r="H183" i="50"/>
  <c r="K183" i="50"/>
  <c r="J183" i="50"/>
  <c r="M183" i="50"/>
  <c r="I183" i="50"/>
  <c r="G183" i="50"/>
  <c r="H243" i="57"/>
  <c r="F243" i="57"/>
  <c r="D243" i="57"/>
  <c r="K243" i="57"/>
  <c r="G243" i="57"/>
  <c r="C243" i="57"/>
  <c r="M243" i="57" s="1"/>
  <c r="AC243" i="57" s="1"/>
  <c r="J243" i="57"/>
  <c r="E243" i="57"/>
  <c r="I243" i="57"/>
  <c r="AN242" i="55" a="1"/>
  <c r="AN242" i="55"/>
  <c r="B244" i="57"/>
  <c r="AR228" i="67" a="1"/>
  <c r="AR228" i="67"/>
  <c r="B229" i="69"/>
  <c r="L229" i="69"/>
  <c r="D227" i="69"/>
  <c r="E227" i="69"/>
  <c r="F227" i="69"/>
  <c r="G227" i="69"/>
  <c r="H227" i="69"/>
  <c r="I227" i="69"/>
  <c r="J227" i="69"/>
  <c r="K227" i="69"/>
  <c r="M227" i="69"/>
  <c r="R226" i="69"/>
  <c r="S226" i="69"/>
  <c r="Y226" i="69"/>
  <c r="AE226" i="69"/>
  <c r="C228" i="69"/>
  <c r="P228" i="69"/>
  <c r="AP183" i="59" a="1"/>
  <c r="AP183" i="59"/>
  <c r="E184" i="50"/>
  <c r="AQ73" i="59" a="1"/>
  <c r="AQ73" i="59"/>
  <c r="AG225" i="69"/>
  <c r="AB226" i="69"/>
  <c r="AC226" i="69"/>
  <c r="AD226" i="69"/>
  <c r="AP228" i="69"/>
  <c r="N228" i="69"/>
  <c r="U228" i="69"/>
  <c r="T184" i="50"/>
  <c r="O184" i="50"/>
  <c r="AF227" i="69"/>
  <c r="Q227" i="69"/>
  <c r="O244" i="57"/>
  <c r="AG244" i="57" s="1"/>
  <c r="P244" i="57"/>
  <c r="O229" i="69"/>
  <c r="AO228" i="69"/>
  <c r="AG226" i="69"/>
  <c r="AK184" i="50"/>
  <c r="AY227" i="69"/>
  <c r="L244" i="57"/>
  <c r="N244" i="57"/>
  <c r="AH227" i="69"/>
  <c r="M184" i="50"/>
  <c r="F184" i="50"/>
  <c r="U184" i="50" s="1"/>
  <c r="N184" i="50"/>
  <c r="G184" i="50"/>
  <c r="H184" i="50"/>
  <c r="B184" i="50"/>
  <c r="R184" i="50" s="1"/>
  <c r="S184" i="50" s="1"/>
  <c r="L184" i="50"/>
  <c r="K184" i="50"/>
  <c r="I184" i="50"/>
  <c r="A184" i="50"/>
  <c r="Q184" i="50" s="1"/>
  <c r="P184" i="50" s="1"/>
  <c r="J184" i="50"/>
  <c r="J244" i="57"/>
  <c r="E244" i="57"/>
  <c r="H244" i="57"/>
  <c r="K244" i="57"/>
  <c r="D244" i="57"/>
  <c r="C244" i="57"/>
  <c r="M244" i="57" s="1"/>
  <c r="AD244" i="57" s="1"/>
  <c r="F244" i="57"/>
  <c r="G244" i="57"/>
  <c r="I244" i="57"/>
  <c r="AN243" i="55" a="1"/>
  <c r="AN243" i="55"/>
  <c r="B245" i="57"/>
  <c r="AR229" i="67" a="1"/>
  <c r="AR229" i="67"/>
  <c r="B230" i="69"/>
  <c r="L230" i="69"/>
  <c r="C229" i="69"/>
  <c r="P229" i="69"/>
  <c r="R227" i="69"/>
  <c r="S227" i="69"/>
  <c r="Y227" i="69"/>
  <c r="AE227" i="69"/>
  <c r="D228" i="69"/>
  <c r="E228" i="69"/>
  <c r="F228" i="69"/>
  <c r="G228" i="69"/>
  <c r="H228" i="69"/>
  <c r="I228" i="69"/>
  <c r="J228" i="69"/>
  <c r="K228" i="69"/>
  <c r="M228" i="69"/>
  <c r="AP184" i="59" a="1"/>
  <c r="AP184" i="59"/>
  <c r="E185" i="50"/>
  <c r="AQ74" i="59" a="1"/>
  <c r="AQ74" i="59"/>
  <c r="AP229" i="69"/>
  <c r="N229" i="69"/>
  <c r="U229" i="69"/>
  <c r="O185" i="50"/>
  <c r="T185" i="50"/>
  <c r="AF228" i="69"/>
  <c r="Q228" i="69"/>
  <c r="O245" i="57"/>
  <c r="AG245" i="57" s="1"/>
  <c r="P245" i="57"/>
  <c r="AB227" i="69"/>
  <c r="AG227" i="69"/>
  <c r="O230" i="69"/>
  <c r="AO229" i="69"/>
  <c r="AK185" i="50"/>
  <c r="AY228" i="69"/>
  <c r="L245" i="57"/>
  <c r="N245" i="57"/>
  <c r="AH228" i="69"/>
  <c r="G185" i="50"/>
  <c r="I185" i="50"/>
  <c r="H185" i="50"/>
  <c r="K185" i="50"/>
  <c r="M185" i="50"/>
  <c r="J185" i="50"/>
  <c r="B185" i="50"/>
  <c r="R185" i="50" s="1"/>
  <c r="S185" i="50" s="1"/>
  <c r="A185" i="50"/>
  <c r="Q185" i="50" s="1"/>
  <c r="P185" i="50" s="1"/>
  <c r="N185" i="50"/>
  <c r="L185" i="50"/>
  <c r="F185" i="50"/>
  <c r="AM185" i="50" s="1"/>
  <c r="I245" i="57"/>
  <c r="D245" i="57"/>
  <c r="E245" i="57"/>
  <c r="H245" i="57"/>
  <c r="C245" i="57"/>
  <c r="M245" i="57" s="1"/>
  <c r="K245" i="57"/>
  <c r="G245" i="57"/>
  <c r="J245" i="57"/>
  <c r="F245" i="57"/>
  <c r="AN244" i="55" a="1"/>
  <c r="AN244" i="55"/>
  <c r="B246" i="57"/>
  <c r="AR230" i="67" a="1"/>
  <c r="AR230" i="67"/>
  <c r="B231" i="69"/>
  <c r="L231" i="69"/>
  <c r="D229" i="69"/>
  <c r="E229" i="69"/>
  <c r="F229" i="69"/>
  <c r="G229" i="69"/>
  <c r="H229" i="69"/>
  <c r="I229" i="69"/>
  <c r="J229" i="69"/>
  <c r="K229" i="69"/>
  <c r="M229" i="69"/>
  <c r="AE228" i="69"/>
  <c r="R228" i="69"/>
  <c r="S228" i="69"/>
  <c r="Y228" i="69"/>
  <c r="C230" i="69"/>
  <c r="P230" i="69"/>
  <c r="AP185" i="59" a="1"/>
  <c r="AP185" i="59"/>
  <c r="E186" i="50"/>
  <c r="AQ75" i="59" a="1"/>
  <c r="AQ75" i="59"/>
  <c r="AP230" i="69"/>
  <c r="N230" i="69"/>
  <c r="U230" i="69"/>
  <c r="T186" i="50"/>
  <c r="O186" i="50"/>
  <c r="AF229" i="69"/>
  <c r="Q229" i="69"/>
  <c r="O246" i="57"/>
  <c r="AG246" i="57" s="1"/>
  <c r="P246" i="57"/>
  <c r="AC227" i="69"/>
  <c r="AD227" i="69"/>
  <c r="AB228" i="69"/>
  <c r="AG228" i="69"/>
  <c r="O231" i="69"/>
  <c r="AO230" i="69"/>
  <c r="AK186" i="50"/>
  <c r="AY229" i="69"/>
  <c r="L246" i="57"/>
  <c r="N246" i="57"/>
  <c r="AH229" i="69"/>
  <c r="K186" i="50"/>
  <c r="B186" i="50"/>
  <c r="R186" i="50" s="1"/>
  <c r="S186" i="50" s="1"/>
  <c r="A186" i="50"/>
  <c r="Q186" i="50" s="1"/>
  <c r="P186" i="50" s="1"/>
  <c r="N186" i="50"/>
  <c r="G186" i="50"/>
  <c r="L186" i="50"/>
  <c r="F186" i="50"/>
  <c r="J186" i="50"/>
  <c r="M186" i="50"/>
  <c r="H186" i="50"/>
  <c r="I186" i="50"/>
  <c r="C246" i="57"/>
  <c r="M246" i="57" s="1"/>
  <c r="AJ246" i="57" s="1"/>
  <c r="K246" i="57"/>
  <c r="J246" i="57"/>
  <c r="H246" i="57"/>
  <c r="D246" i="57"/>
  <c r="F246" i="57"/>
  <c r="I246" i="57"/>
  <c r="E246" i="57"/>
  <c r="G246" i="57"/>
  <c r="AN245" i="55" a="1"/>
  <c r="AN245" i="55"/>
  <c r="B247" i="57"/>
  <c r="C231" i="69"/>
  <c r="P231" i="69"/>
  <c r="R229" i="69"/>
  <c r="S229" i="69"/>
  <c r="Y229" i="69"/>
  <c r="AE229" i="69"/>
  <c r="D230" i="69"/>
  <c r="E230" i="69"/>
  <c r="F230" i="69"/>
  <c r="G230" i="69"/>
  <c r="H230" i="69"/>
  <c r="I230" i="69"/>
  <c r="J230" i="69"/>
  <c r="K230" i="69"/>
  <c r="M230" i="69"/>
  <c r="AR231" i="67" a="1"/>
  <c r="AR231" i="67"/>
  <c r="B232" i="69"/>
  <c r="L232" i="69"/>
  <c r="AP186" i="59" a="1"/>
  <c r="AP186" i="59"/>
  <c r="E187" i="50"/>
  <c r="AQ76" i="59" a="1"/>
  <c r="AQ76" i="59"/>
  <c r="AP231" i="69"/>
  <c r="N231" i="69"/>
  <c r="U231" i="69"/>
  <c r="T187" i="50"/>
  <c r="O187" i="50"/>
  <c r="AF230" i="69"/>
  <c r="Q230" i="69"/>
  <c r="O247" i="57"/>
  <c r="AG247" i="57" s="1"/>
  <c r="P247" i="57"/>
  <c r="AC228" i="69"/>
  <c r="AD228" i="69"/>
  <c r="AB229" i="69"/>
  <c r="AG229" i="69"/>
  <c r="O232" i="69"/>
  <c r="AO231" i="69"/>
  <c r="AK187" i="50"/>
  <c r="AY230" i="69"/>
  <c r="L247" i="57"/>
  <c r="N247" i="57"/>
  <c r="AH230" i="69"/>
  <c r="I187" i="50"/>
  <c r="G187" i="50"/>
  <c r="M187" i="50"/>
  <c r="N187" i="50"/>
  <c r="H187" i="50"/>
  <c r="J187" i="50"/>
  <c r="A187" i="50"/>
  <c r="Q187" i="50" s="1"/>
  <c r="P187" i="50" s="1"/>
  <c r="B187" i="50"/>
  <c r="R187" i="50" s="1"/>
  <c r="S187" i="50" s="1"/>
  <c r="F187" i="50"/>
  <c r="L187" i="50"/>
  <c r="K187" i="50"/>
  <c r="J247" i="57"/>
  <c r="E247" i="57"/>
  <c r="F247" i="57"/>
  <c r="I247" i="57"/>
  <c r="G247" i="57"/>
  <c r="K247" i="57"/>
  <c r="D247" i="57"/>
  <c r="H247" i="57"/>
  <c r="C247" i="57"/>
  <c r="M247" i="57" s="1"/>
  <c r="AN246" i="55" a="1"/>
  <c r="AN246" i="55"/>
  <c r="B248" i="57"/>
  <c r="AR232" i="67" a="1"/>
  <c r="AR232" i="67"/>
  <c r="B233" i="69"/>
  <c r="L233" i="69"/>
  <c r="D231" i="69"/>
  <c r="E231" i="69"/>
  <c r="F231" i="69"/>
  <c r="G231" i="69"/>
  <c r="H231" i="69"/>
  <c r="I231" i="69"/>
  <c r="J231" i="69"/>
  <c r="K231" i="69"/>
  <c r="M231" i="69"/>
  <c r="C232" i="69"/>
  <c r="P232" i="69"/>
  <c r="AE230" i="69"/>
  <c r="R230" i="69"/>
  <c r="S230" i="69"/>
  <c r="Y230" i="69"/>
  <c r="AP187" i="59" a="1"/>
  <c r="AP187" i="59"/>
  <c r="E188" i="50"/>
  <c r="AQ77" i="59" a="1"/>
  <c r="AQ77" i="59"/>
  <c r="AP232" i="69"/>
  <c r="N232" i="69"/>
  <c r="U232" i="69"/>
  <c r="T188" i="50"/>
  <c r="O188" i="50"/>
  <c r="AF231" i="69"/>
  <c r="Q231" i="69"/>
  <c r="O248" i="57"/>
  <c r="AG248" i="57" s="1"/>
  <c r="P248" i="57"/>
  <c r="AC229" i="69"/>
  <c r="AD229" i="69"/>
  <c r="AB230" i="69"/>
  <c r="AG230" i="69"/>
  <c r="O233" i="69"/>
  <c r="AO232" i="69"/>
  <c r="AK188" i="50"/>
  <c r="AY231" i="69"/>
  <c r="L248" i="57"/>
  <c r="N248" i="57"/>
  <c r="AH231" i="69"/>
  <c r="I188" i="50"/>
  <c r="B188" i="50"/>
  <c r="R188" i="50" s="1"/>
  <c r="S188" i="50" s="1"/>
  <c r="F188" i="50"/>
  <c r="U188" i="50" s="1"/>
  <c r="K188" i="50"/>
  <c r="G188" i="50"/>
  <c r="N188" i="50"/>
  <c r="H188" i="50"/>
  <c r="L188" i="50"/>
  <c r="J188" i="50"/>
  <c r="M188" i="50"/>
  <c r="A188" i="50"/>
  <c r="Q188" i="50" s="1"/>
  <c r="P188" i="50" s="1"/>
  <c r="D248" i="57"/>
  <c r="J248" i="57"/>
  <c r="G248" i="57"/>
  <c r="H248" i="57"/>
  <c r="C248" i="57"/>
  <c r="M248" i="57" s="1"/>
  <c r="R248" i="57" s="1"/>
  <c r="I248" i="57"/>
  <c r="E248" i="57"/>
  <c r="K248" i="57"/>
  <c r="F248" i="57"/>
  <c r="AN247" i="55" a="1"/>
  <c r="AN247" i="55"/>
  <c r="B249" i="57"/>
  <c r="C233" i="69"/>
  <c r="P233" i="69"/>
  <c r="D232" i="69"/>
  <c r="E232" i="69"/>
  <c r="F232" i="69"/>
  <c r="G232" i="69"/>
  <c r="H232" i="69"/>
  <c r="I232" i="69"/>
  <c r="J232" i="69"/>
  <c r="K232" i="69"/>
  <c r="M232" i="69"/>
  <c r="AE231" i="69"/>
  <c r="R231" i="69"/>
  <c r="S231" i="69"/>
  <c r="Y231" i="69"/>
  <c r="AR233" i="67" a="1"/>
  <c r="AR233" i="67"/>
  <c r="B234" i="69"/>
  <c r="L234" i="69"/>
  <c r="AP188" i="59" a="1"/>
  <c r="AP188" i="59"/>
  <c r="E189" i="50"/>
  <c r="AQ78" i="59" a="1"/>
  <c r="AQ78" i="59"/>
  <c r="AP233" i="69"/>
  <c r="N233" i="69"/>
  <c r="U233" i="69"/>
  <c r="T189" i="50"/>
  <c r="O189" i="50"/>
  <c r="AF232" i="69"/>
  <c r="Q232" i="69"/>
  <c r="O249" i="57"/>
  <c r="P249" i="57"/>
  <c r="AC230" i="69"/>
  <c r="AD230" i="69"/>
  <c r="AB231" i="69"/>
  <c r="AG231" i="69"/>
  <c r="O234" i="69"/>
  <c r="AO233" i="69"/>
  <c r="AK189" i="50"/>
  <c r="AY232" i="69"/>
  <c r="L249" i="57"/>
  <c r="N249" i="57"/>
  <c r="AH232" i="69"/>
  <c r="J189" i="50"/>
  <c r="L189" i="50"/>
  <c r="A189" i="50"/>
  <c r="Q189" i="50" s="1"/>
  <c r="P189" i="50" s="1"/>
  <c r="N189" i="50"/>
  <c r="H189" i="50"/>
  <c r="I189" i="50"/>
  <c r="G189" i="50"/>
  <c r="M189" i="50"/>
  <c r="K189" i="50"/>
  <c r="B189" i="50"/>
  <c r="R189" i="50" s="1"/>
  <c r="S189" i="50" s="1"/>
  <c r="AJ189" i="50" s="1"/>
  <c r="F189" i="50"/>
  <c r="AM189" i="50" s="1"/>
  <c r="J249" i="57"/>
  <c r="I249" i="57"/>
  <c r="F249" i="57"/>
  <c r="E249" i="57"/>
  <c r="D249" i="57"/>
  <c r="C249" i="57"/>
  <c r="M249" i="57" s="1"/>
  <c r="AK249" i="57" s="1"/>
  <c r="H249" i="57"/>
  <c r="K249" i="57"/>
  <c r="G249" i="57"/>
  <c r="AN248" i="55" a="1"/>
  <c r="AN248" i="55"/>
  <c r="B250" i="57"/>
  <c r="AR234" i="67" a="1"/>
  <c r="AR234" i="67"/>
  <c r="B235" i="69"/>
  <c r="L235" i="69"/>
  <c r="C234" i="69"/>
  <c r="P234" i="69"/>
  <c r="R232" i="69"/>
  <c r="S232" i="69"/>
  <c r="Y232" i="69"/>
  <c r="AE232" i="69"/>
  <c r="D233" i="69"/>
  <c r="E233" i="69"/>
  <c r="F233" i="69"/>
  <c r="G233" i="69"/>
  <c r="H233" i="69"/>
  <c r="I233" i="69"/>
  <c r="J233" i="69"/>
  <c r="K233" i="69"/>
  <c r="M233" i="69"/>
  <c r="AP189" i="59" a="1"/>
  <c r="AP189" i="59"/>
  <c r="E190" i="50"/>
  <c r="AQ79" i="59" a="1"/>
  <c r="AQ79" i="59"/>
  <c r="AP234" i="69"/>
  <c r="N234" i="69"/>
  <c r="U234" i="69"/>
  <c r="T190" i="50"/>
  <c r="O190" i="50"/>
  <c r="AF233" i="69"/>
  <c r="Q233" i="69"/>
  <c r="O250" i="57"/>
  <c r="AG250" i="57" s="1"/>
  <c r="P250" i="57"/>
  <c r="AC231" i="69"/>
  <c r="AD231" i="69"/>
  <c r="AB232" i="69"/>
  <c r="AG232" i="69"/>
  <c r="AO234" i="69"/>
  <c r="O235" i="69"/>
  <c r="AK190" i="50"/>
  <c r="AY233" i="69"/>
  <c r="L250" i="57"/>
  <c r="N250" i="57"/>
  <c r="AH233" i="69"/>
  <c r="A190" i="50"/>
  <c r="Q190" i="50" s="1"/>
  <c r="P190" i="50" s="1"/>
  <c r="G190" i="50"/>
  <c r="H190" i="50"/>
  <c r="J190" i="50"/>
  <c r="I190" i="50"/>
  <c r="L190" i="50"/>
  <c r="N190" i="50"/>
  <c r="F190" i="50"/>
  <c r="AM190" i="50" s="1"/>
  <c r="M190" i="50"/>
  <c r="B190" i="50"/>
  <c r="R190" i="50" s="1"/>
  <c r="S190" i="50" s="1"/>
  <c r="V190" i="50" s="1"/>
  <c r="K190" i="50"/>
  <c r="C250" i="57"/>
  <c r="M250" i="57" s="1"/>
  <c r="AE250" i="57" s="1"/>
  <c r="H250" i="57"/>
  <c r="I250" i="57"/>
  <c r="E250" i="57"/>
  <c r="D250" i="57"/>
  <c r="K250" i="57"/>
  <c r="F250" i="57"/>
  <c r="G250" i="57"/>
  <c r="J250" i="57"/>
  <c r="AN249" i="55" a="1"/>
  <c r="AN249" i="55"/>
  <c r="B251" i="57"/>
  <c r="AR235" i="67" a="1"/>
  <c r="AR235" i="67"/>
  <c r="B236" i="69"/>
  <c r="L236" i="69"/>
  <c r="R233" i="69"/>
  <c r="S233" i="69"/>
  <c r="Y233" i="69"/>
  <c r="AE233" i="69"/>
  <c r="C235" i="69"/>
  <c r="P235" i="69"/>
  <c r="D234" i="69"/>
  <c r="E234" i="69"/>
  <c r="F234" i="69"/>
  <c r="G234" i="69"/>
  <c r="H234" i="69"/>
  <c r="I234" i="69"/>
  <c r="J234" i="69"/>
  <c r="K234" i="69"/>
  <c r="M234" i="69"/>
  <c r="AP190" i="59" a="1"/>
  <c r="AP190" i="59"/>
  <c r="E191" i="50"/>
  <c r="AQ80" i="59" a="1"/>
  <c r="AQ80" i="59"/>
  <c r="AB233" i="69"/>
  <c r="AC233" i="69"/>
  <c r="AD233" i="69"/>
  <c r="AP235" i="69"/>
  <c r="N235" i="69"/>
  <c r="U235" i="69"/>
  <c r="T191" i="50"/>
  <c r="O191" i="50"/>
  <c r="AF234" i="69"/>
  <c r="Q234" i="69"/>
  <c r="O251" i="57"/>
  <c r="AG251" i="57" s="1"/>
  <c r="P251" i="57"/>
  <c r="AC232" i="69"/>
  <c r="AD232" i="69"/>
  <c r="O236" i="69"/>
  <c r="AG233" i="69"/>
  <c r="AO235" i="69"/>
  <c r="AK191" i="50"/>
  <c r="AY234" i="69"/>
  <c r="L251" i="57"/>
  <c r="N251" i="57"/>
  <c r="AH234" i="69"/>
  <c r="I191" i="50"/>
  <c r="A191" i="50"/>
  <c r="Q191" i="50" s="1"/>
  <c r="P191" i="50" s="1"/>
  <c r="M191" i="50"/>
  <c r="K191" i="50"/>
  <c r="N191" i="50"/>
  <c r="H191" i="50"/>
  <c r="B191" i="50"/>
  <c r="R191" i="50" s="1"/>
  <c r="S191" i="50" s="1"/>
  <c r="L191" i="50"/>
  <c r="F191" i="50"/>
  <c r="U191" i="50" s="1"/>
  <c r="G191" i="50"/>
  <c r="J191" i="50"/>
  <c r="H251" i="57"/>
  <c r="D251" i="57"/>
  <c r="E251" i="57"/>
  <c r="J251" i="57"/>
  <c r="F251" i="57"/>
  <c r="C251" i="57"/>
  <c r="M251" i="57" s="1"/>
  <c r="AQ251" i="57" s="1"/>
  <c r="K251" i="57"/>
  <c r="G251" i="57"/>
  <c r="I251" i="57"/>
  <c r="AN250" i="55" a="1"/>
  <c r="AN250" i="55"/>
  <c r="B252" i="57"/>
  <c r="AR236" i="67" a="1"/>
  <c r="AR236" i="67"/>
  <c r="B237" i="69"/>
  <c r="L237" i="69"/>
  <c r="D235" i="69"/>
  <c r="E235" i="69"/>
  <c r="F235" i="69"/>
  <c r="G235" i="69"/>
  <c r="H235" i="69"/>
  <c r="I235" i="69"/>
  <c r="J235" i="69"/>
  <c r="K235" i="69"/>
  <c r="M235" i="69"/>
  <c r="AE234" i="69"/>
  <c r="R234" i="69"/>
  <c r="S234" i="69"/>
  <c r="Y234" i="69"/>
  <c r="C236" i="69"/>
  <c r="P236" i="69"/>
  <c r="AP191" i="59" a="1"/>
  <c r="AP191" i="59"/>
  <c r="E192" i="50"/>
  <c r="AQ81" i="59" a="1"/>
  <c r="AQ81" i="59"/>
  <c r="AB234" i="69"/>
  <c r="AC234" i="69"/>
  <c r="AD234" i="69"/>
  <c r="AP236" i="69"/>
  <c r="N236" i="69"/>
  <c r="U236" i="69"/>
  <c r="T192" i="50"/>
  <c r="O192" i="50"/>
  <c r="AF235" i="69"/>
  <c r="Q235" i="69"/>
  <c r="O252" i="57"/>
  <c r="AG252" i="57" s="1"/>
  <c r="P252" i="57"/>
  <c r="O237" i="69"/>
  <c r="AO236" i="69"/>
  <c r="AG234" i="69"/>
  <c r="AK192" i="50"/>
  <c r="AY235" i="69"/>
  <c r="L252" i="57"/>
  <c r="N252" i="57"/>
  <c r="AH235" i="69"/>
  <c r="G192" i="50"/>
  <c r="H192" i="50"/>
  <c r="M192" i="50"/>
  <c r="F192" i="50"/>
  <c r="U192" i="50" s="1"/>
  <c r="N192" i="50"/>
  <c r="L192" i="50"/>
  <c r="B192" i="50"/>
  <c r="R192" i="50" s="1"/>
  <c r="S192" i="50" s="1"/>
  <c r="K192" i="50"/>
  <c r="I192" i="50"/>
  <c r="J192" i="50"/>
  <c r="A192" i="50"/>
  <c r="Q192" i="50" s="1"/>
  <c r="P192" i="50" s="1"/>
  <c r="F252" i="57"/>
  <c r="J252" i="57"/>
  <c r="E252" i="57"/>
  <c r="H252" i="57"/>
  <c r="K252" i="57"/>
  <c r="G252" i="57"/>
  <c r="D252" i="57"/>
  <c r="I252" i="57"/>
  <c r="C252" i="57"/>
  <c r="M252" i="57" s="1"/>
  <c r="R252" i="57" s="1"/>
  <c r="AN251" i="55" a="1"/>
  <c r="AN251" i="55"/>
  <c r="B253" i="57"/>
  <c r="C237" i="69"/>
  <c r="P237" i="69"/>
  <c r="R235" i="69"/>
  <c r="S235" i="69"/>
  <c r="AE235" i="69"/>
  <c r="D236" i="69"/>
  <c r="E236" i="69"/>
  <c r="F236" i="69"/>
  <c r="G236" i="69"/>
  <c r="H236" i="69"/>
  <c r="I236" i="69"/>
  <c r="J236" i="69"/>
  <c r="K236" i="69"/>
  <c r="M236" i="69"/>
  <c r="AR237" i="67" a="1"/>
  <c r="AR237" i="67"/>
  <c r="B238" i="69"/>
  <c r="L238" i="69"/>
  <c r="AP192" i="59" a="1"/>
  <c r="AP192" i="59"/>
  <c r="E193" i="50"/>
  <c r="AQ82" i="59" a="1"/>
  <c r="AQ82" i="59"/>
  <c r="Y235" i="69"/>
  <c r="AB235" i="69"/>
  <c r="AC235" i="69"/>
  <c r="AD235" i="69"/>
  <c r="AP237" i="69"/>
  <c r="N237" i="69"/>
  <c r="U237" i="69"/>
  <c r="O193" i="50"/>
  <c r="T193" i="50"/>
  <c r="AF236" i="69"/>
  <c r="Q236" i="69"/>
  <c r="O253" i="57"/>
  <c r="AG253" i="57" s="1"/>
  <c r="P253" i="57"/>
  <c r="O238" i="69"/>
  <c r="AO237" i="69"/>
  <c r="AK193" i="50"/>
  <c r="AY236" i="69"/>
  <c r="L253" i="57"/>
  <c r="N253" i="57"/>
  <c r="AH236" i="69"/>
  <c r="H193" i="50"/>
  <c r="B193" i="50"/>
  <c r="R193" i="50" s="1"/>
  <c r="S193" i="50" s="1"/>
  <c r="J193" i="50"/>
  <c r="I193" i="50"/>
  <c r="A193" i="50"/>
  <c r="Q193" i="50" s="1"/>
  <c r="P193" i="50" s="1"/>
  <c r="G193" i="50"/>
  <c r="M193" i="50"/>
  <c r="K193" i="50"/>
  <c r="N193" i="50"/>
  <c r="F193" i="50"/>
  <c r="L193" i="50"/>
  <c r="H253" i="57"/>
  <c r="F253" i="57"/>
  <c r="D253" i="57"/>
  <c r="I253" i="57"/>
  <c r="E253" i="57"/>
  <c r="J253" i="57"/>
  <c r="G253" i="57"/>
  <c r="K253" i="57"/>
  <c r="C253" i="57"/>
  <c r="M253" i="57" s="1"/>
  <c r="AN252" i="55" a="1"/>
  <c r="AN252" i="55"/>
  <c r="B254" i="57"/>
  <c r="D237" i="69"/>
  <c r="E237" i="69"/>
  <c r="F237" i="69"/>
  <c r="G237" i="69"/>
  <c r="H237" i="69"/>
  <c r="I237" i="69"/>
  <c r="J237" i="69"/>
  <c r="K237" i="69"/>
  <c r="M237" i="69"/>
  <c r="R236" i="69"/>
  <c r="S236" i="69"/>
  <c r="Y236" i="69"/>
  <c r="AE236" i="69"/>
  <c r="AR238" i="67" a="1"/>
  <c r="AR238" i="67"/>
  <c r="B239" i="69"/>
  <c r="L239" i="69"/>
  <c r="C238" i="69"/>
  <c r="P238" i="69"/>
  <c r="AP193" i="59" a="1"/>
  <c r="AP193" i="59"/>
  <c r="E194" i="50"/>
  <c r="AQ83" i="59" a="1"/>
  <c r="AQ83" i="59"/>
  <c r="AG235" i="69"/>
  <c r="AP238" i="69"/>
  <c r="N238" i="69"/>
  <c r="U238" i="69"/>
  <c r="T194" i="50"/>
  <c r="O194" i="50"/>
  <c r="AF237" i="69"/>
  <c r="Q237" i="69"/>
  <c r="O254" i="57"/>
  <c r="P254" i="57"/>
  <c r="AB236" i="69"/>
  <c r="AG236" i="69"/>
  <c r="AO238" i="69"/>
  <c r="O239" i="69"/>
  <c r="AK194" i="50"/>
  <c r="AY237" i="69"/>
  <c r="L254" i="57"/>
  <c r="N254" i="57"/>
  <c r="AH237" i="69"/>
  <c r="F194" i="50"/>
  <c r="AM194" i="50" s="1"/>
  <c r="A194" i="50"/>
  <c r="Q194" i="50" s="1"/>
  <c r="P194" i="50" s="1"/>
  <c r="N194" i="50"/>
  <c r="B194" i="50"/>
  <c r="R194" i="50" s="1"/>
  <c r="S194" i="50" s="1"/>
  <c r="J194" i="50"/>
  <c r="M194" i="50"/>
  <c r="L194" i="50"/>
  <c r="K194" i="50"/>
  <c r="I194" i="50"/>
  <c r="G194" i="50"/>
  <c r="H194" i="50"/>
  <c r="I254" i="57"/>
  <c r="E254" i="57"/>
  <c r="D254" i="57"/>
  <c r="K254" i="57"/>
  <c r="F254" i="57"/>
  <c r="G254" i="57"/>
  <c r="J254" i="57"/>
  <c r="C254" i="57"/>
  <c r="M254" i="57" s="1"/>
  <c r="H254" i="57"/>
  <c r="AN253" i="55" a="1"/>
  <c r="AN253" i="55"/>
  <c r="B255" i="57"/>
  <c r="AR239" i="67" a="1"/>
  <c r="AR239" i="67"/>
  <c r="B240" i="69"/>
  <c r="L240" i="69"/>
  <c r="AE237" i="69"/>
  <c r="R237" i="69"/>
  <c r="S237" i="69"/>
  <c r="Y237" i="69"/>
  <c r="C239" i="69"/>
  <c r="P239" i="69"/>
  <c r="D238" i="69"/>
  <c r="E238" i="69"/>
  <c r="F238" i="69"/>
  <c r="G238" i="69"/>
  <c r="H238" i="69"/>
  <c r="I238" i="69"/>
  <c r="J238" i="69"/>
  <c r="K238" i="69"/>
  <c r="M238" i="69"/>
  <c r="AP194" i="59" a="1"/>
  <c r="AP194" i="59"/>
  <c r="E195" i="50"/>
  <c r="AQ84" i="59" a="1"/>
  <c r="AQ84" i="59"/>
  <c r="AP239" i="69"/>
  <c r="N239" i="69"/>
  <c r="U239" i="69"/>
  <c r="T195" i="50"/>
  <c r="O195" i="50"/>
  <c r="AF238" i="69"/>
  <c r="Q238" i="69"/>
  <c r="O255" i="57"/>
  <c r="AG255" i="57" s="1"/>
  <c r="P255" i="57"/>
  <c r="AC236" i="69"/>
  <c r="AD236" i="69"/>
  <c r="AB237" i="69"/>
  <c r="AG237" i="69"/>
  <c r="O240" i="69"/>
  <c r="AO239" i="69"/>
  <c r="AK195" i="50"/>
  <c r="AY238" i="69"/>
  <c r="L255" i="57"/>
  <c r="N255" i="57"/>
  <c r="AH238" i="69"/>
  <c r="M195" i="50"/>
  <c r="G195" i="50"/>
  <c r="J195" i="50"/>
  <c r="B195" i="50"/>
  <c r="R195" i="50" s="1"/>
  <c r="S195" i="50" s="1"/>
  <c r="W195" i="50" s="1"/>
  <c r="X195" i="50" s="1"/>
  <c r="I195" i="50"/>
  <c r="K195" i="50"/>
  <c r="L195" i="50"/>
  <c r="N195" i="50"/>
  <c r="H195" i="50"/>
  <c r="F195" i="50"/>
  <c r="AM195" i="50" s="1"/>
  <c r="A195" i="50"/>
  <c r="Q195" i="50" s="1"/>
  <c r="P195" i="50" s="1"/>
  <c r="H255" i="57"/>
  <c r="D255" i="57"/>
  <c r="J255" i="57"/>
  <c r="K255" i="57"/>
  <c r="F255" i="57"/>
  <c r="I255" i="57"/>
  <c r="G255" i="57"/>
  <c r="E255" i="57"/>
  <c r="C255" i="57"/>
  <c r="M255" i="57" s="1"/>
  <c r="AJ255" i="57" s="1"/>
  <c r="AN254" i="55" a="1"/>
  <c r="AN254" i="55"/>
  <c r="B256" i="57"/>
  <c r="AR240" i="67" a="1"/>
  <c r="AR240" i="67"/>
  <c r="B241" i="69"/>
  <c r="L241" i="69"/>
  <c r="AE238" i="69"/>
  <c r="R238" i="69"/>
  <c r="S238" i="69"/>
  <c r="Y238" i="69"/>
  <c r="D239" i="69"/>
  <c r="E239" i="69"/>
  <c r="F239" i="69"/>
  <c r="G239" i="69"/>
  <c r="H239" i="69"/>
  <c r="I239" i="69"/>
  <c r="J239" i="69"/>
  <c r="K239" i="69"/>
  <c r="M239" i="69"/>
  <c r="C240" i="69"/>
  <c r="P240" i="69"/>
  <c r="AP195" i="59" a="1"/>
  <c r="AP195" i="59"/>
  <c r="E196" i="50"/>
  <c r="AQ85" i="59" a="1"/>
  <c r="AQ85" i="59"/>
  <c r="AP240" i="69"/>
  <c r="N240" i="69"/>
  <c r="U240" i="69"/>
  <c r="T196" i="50"/>
  <c r="O196" i="50"/>
  <c r="AF239" i="69"/>
  <c r="Q239" i="69"/>
  <c r="O256" i="57"/>
  <c r="AG256" i="57" s="1"/>
  <c r="P256" i="57"/>
  <c r="AC237" i="69"/>
  <c r="AD237" i="69"/>
  <c r="AB238" i="69"/>
  <c r="AG238" i="69"/>
  <c r="O241" i="69"/>
  <c r="AO240" i="69"/>
  <c r="AK196" i="50"/>
  <c r="AY239" i="69"/>
  <c r="L256" i="57"/>
  <c r="N256" i="57"/>
  <c r="AH239" i="69"/>
  <c r="I196" i="50"/>
  <c r="F196" i="50"/>
  <c r="K196" i="50"/>
  <c r="G196" i="50"/>
  <c r="M196" i="50"/>
  <c r="N196" i="50"/>
  <c r="J196" i="50"/>
  <c r="A196" i="50"/>
  <c r="Q196" i="50" s="1"/>
  <c r="P196" i="50" s="1"/>
  <c r="B196" i="50"/>
  <c r="R196" i="50" s="1"/>
  <c r="S196" i="50" s="1"/>
  <c r="H196" i="50"/>
  <c r="L196" i="50"/>
  <c r="J256" i="57"/>
  <c r="F256" i="57"/>
  <c r="D256" i="57"/>
  <c r="I256" i="57"/>
  <c r="E256" i="57"/>
  <c r="H256" i="57"/>
  <c r="C256" i="57"/>
  <c r="M256" i="57" s="1"/>
  <c r="AK256" i="57" s="1"/>
  <c r="G256" i="57"/>
  <c r="K256" i="57"/>
  <c r="AN255" i="55" a="1"/>
  <c r="AN255" i="55"/>
  <c r="B257" i="57"/>
  <c r="C241" i="69"/>
  <c r="P241" i="69"/>
  <c r="D240" i="69"/>
  <c r="E240" i="69"/>
  <c r="F240" i="69"/>
  <c r="G240" i="69"/>
  <c r="H240" i="69"/>
  <c r="I240" i="69"/>
  <c r="J240" i="69"/>
  <c r="K240" i="69"/>
  <c r="M240" i="69"/>
  <c r="AE239" i="69"/>
  <c r="R239" i="69"/>
  <c r="S239" i="69"/>
  <c r="Y239" i="69"/>
  <c r="AR241" i="67" a="1"/>
  <c r="AR241" i="67"/>
  <c r="B242" i="69"/>
  <c r="L242" i="69"/>
  <c r="AP196" i="59" a="1"/>
  <c r="AP196" i="59"/>
  <c r="E197" i="50"/>
  <c r="AQ86" i="59" a="1"/>
  <c r="AQ86" i="59"/>
  <c r="AP241" i="69"/>
  <c r="N241" i="69"/>
  <c r="U241" i="69"/>
  <c r="T197" i="50"/>
  <c r="O197" i="50"/>
  <c r="AF240" i="69"/>
  <c r="Q240" i="69"/>
  <c r="O257" i="57"/>
  <c r="AG257" i="57" s="1"/>
  <c r="P257" i="57"/>
  <c r="P258" i="57"/>
  <c r="AC238" i="69"/>
  <c r="AD238" i="69"/>
  <c r="AB239" i="69"/>
  <c r="AG239" i="69"/>
  <c r="AO241" i="69"/>
  <c r="O242" i="69"/>
  <c r="AK197" i="50"/>
  <c r="AY240" i="69"/>
  <c r="L257" i="57"/>
  <c r="N257" i="57"/>
  <c r="AH240" i="69"/>
  <c r="K197" i="50"/>
  <c r="A197" i="50"/>
  <c r="Q197" i="50" s="1"/>
  <c r="P197" i="50" s="1"/>
  <c r="M197" i="50"/>
  <c r="G197" i="50"/>
  <c r="N197" i="50"/>
  <c r="J197" i="50"/>
  <c r="B197" i="50"/>
  <c r="R197" i="50" s="1"/>
  <c r="S197" i="50" s="1"/>
  <c r="L197" i="50"/>
  <c r="F197" i="50"/>
  <c r="AM197" i="50" s="1"/>
  <c r="H197" i="50"/>
  <c r="I197" i="50"/>
  <c r="H257" i="57"/>
  <c r="F257" i="57"/>
  <c r="D257" i="57"/>
  <c r="C257" i="57"/>
  <c r="M257" i="57" s="1"/>
  <c r="I257" i="57"/>
  <c r="E257" i="57"/>
  <c r="J257" i="57"/>
  <c r="K257" i="57"/>
  <c r="G257" i="57"/>
  <c r="AN256" i="55" a="1"/>
  <c r="AN256" i="55"/>
  <c r="AN257" i="55" a="1"/>
  <c r="AN257" i="55"/>
  <c r="AR242" i="67" a="1"/>
  <c r="AR242" i="67"/>
  <c r="B243" i="69"/>
  <c r="L243" i="69"/>
  <c r="R240" i="69"/>
  <c r="S240" i="69"/>
  <c r="Y240" i="69"/>
  <c r="AE240" i="69"/>
  <c r="C242" i="69"/>
  <c r="P242" i="69"/>
  <c r="D241" i="69"/>
  <c r="E241" i="69"/>
  <c r="F241" i="69"/>
  <c r="G241" i="69"/>
  <c r="H241" i="69"/>
  <c r="I241" i="69"/>
  <c r="J241" i="69"/>
  <c r="K241" i="69"/>
  <c r="M241" i="69"/>
  <c r="AP197" i="59" a="1"/>
  <c r="AP197" i="59"/>
  <c r="E198" i="50"/>
  <c r="AQ87" i="59" a="1"/>
  <c r="AQ87" i="59"/>
  <c r="AP242" i="69"/>
  <c r="N242" i="69"/>
  <c r="U242" i="69"/>
  <c r="T198" i="50"/>
  <c r="O198" i="50"/>
  <c r="AF241" i="69"/>
  <c r="Q241" i="69"/>
  <c r="AC239" i="69"/>
  <c r="AD239" i="69"/>
  <c r="AB240" i="69"/>
  <c r="AG240" i="69"/>
  <c r="O243" i="69"/>
  <c r="AO242" i="69"/>
  <c r="AK198" i="50"/>
  <c r="AY241" i="69"/>
  <c r="AH241" i="69"/>
  <c r="A198" i="50"/>
  <c r="Q198" i="50" s="1"/>
  <c r="P198" i="50" s="1"/>
  <c r="N198" i="50"/>
  <c r="I198" i="50"/>
  <c r="F198" i="50"/>
  <c r="AM198" i="50" s="1"/>
  <c r="J198" i="50"/>
  <c r="G198" i="50"/>
  <c r="L198" i="50"/>
  <c r="H198" i="50"/>
  <c r="B198" i="50"/>
  <c r="R198" i="50" s="1"/>
  <c r="S198" i="50" s="1"/>
  <c r="Z198" i="50" s="1"/>
  <c r="M198" i="50"/>
  <c r="K198" i="50"/>
  <c r="AE241" i="69"/>
  <c r="R241" i="69"/>
  <c r="S241" i="69"/>
  <c r="Y241" i="69"/>
  <c r="D242" i="69"/>
  <c r="E242" i="69"/>
  <c r="F242" i="69"/>
  <c r="G242" i="69"/>
  <c r="H242" i="69"/>
  <c r="I242" i="69"/>
  <c r="J242" i="69"/>
  <c r="K242" i="69"/>
  <c r="M242" i="69"/>
  <c r="C243" i="69"/>
  <c r="P243" i="69"/>
  <c r="AR243" i="67" a="1"/>
  <c r="AR243" i="67"/>
  <c r="B244" i="69"/>
  <c r="L244" i="69"/>
  <c r="AP198" i="59" a="1"/>
  <c r="AP198" i="59"/>
  <c r="E199" i="50"/>
  <c r="AQ88" i="59" a="1"/>
  <c r="AQ88" i="59"/>
  <c r="AP243" i="69"/>
  <c r="N243" i="69"/>
  <c r="U243" i="69"/>
  <c r="J29" i="73"/>
  <c r="T199" i="50"/>
  <c r="O199" i="50"/>
  <c r="AF242" i="69"/>
  <c r="Q242" i="69"/>
  <c r="AC240" i="69"/>
  <c r="AD240" i="69"/>
  <c r="AB241" i="69"/>
  <c r="AG241" i="69"/>
  <c r="AO243" i="69"/>
  <c r="O244" i="69"/>
  <c r="AK199" i="50"/>
  <c r="AY242" i="69"/>
  <c r="AH242" i="69"/>
  <c r="K199" i="50"/>
  <c r="M199" i="50"/>
  <c r="I199" i="50"/>
  <c r="A199" i="50"/>
  <c r="Q199" i="50" s="1"/>
  <c r="P199" i="50" s="1"/>
  <c r="G199" i="50"/>
  <c r="H199" i="50"/>
  <c r="J199" i="50"/>
  <c r="L199" i="50"/>
  <c r="B199" i="50"/>
  <c r="R199" i="50" s="1"/>
  <c r="S199" i="50" s="1"/>
  <c r="W199" i="50" s="1"/>
  <c r="X199" i="50" s="1"/>
  <c r="N199" i="50"/>
  <c r="F199" i="50"/>
  <c r="AM199" i="50" s="1"/>
  <c r="AR244" i="67" a="1"/>
  <c r="AR244" i="67"/>
  <c r="B245" i="69"/>
  <c r="L245" i="69"/>
  <c r="D243" i="69"/>
  <c r="E243" i="69"/>
  <c r="F243" i="69"/>
  <c r="G243" i="69"/>
  <c r="H243" i="69"/>
  <c r="I243" i="69"/>
  <c r="J243" i="69"/>
  <c r="K243" i="69"/>
  <c r="M243" i="69"/>
  <c r="AE242" i="69"/>
  <c r="R242" i="69"/>
  <c r="S242" i="69"/>
  <c r="Y242" i="69"/>
  <c r="C244" i="69"/>
  <c r="P244" i="69"/>
  <c r="AP199" i="59" a="1"/>
  <c r="AP199" i="59"/>
  <c r="E200" i="50"/>
  <c r="AQ89" i="59" a="1"/>
  <c r="AQ89" i="59"/>
  <c r="AP244" i="69"/>
  <c r="N244" i="69"/>
  <c r="U244" i="69"/>
  <c r="T200" i="50"/>
  <c r="O200" i="50"/>
  <c r="AF243" i="69"/>
  <c r="Q243" i="69"/>
  <c r="AC241" i="69"/>
  <c r="AD241" i="69"/>
  <c r="AB242" i="69"/>
  <c r="AG242" i="69"/>
  <c r="AO244" i="69"/>
  <c r="O245" i="69"/>
  <c r="AK200" i="50"/>
  <c r="AY243" i="69"/>
  <c r="AH243" i="69"/>
  <c r="L200" i="50"/>
  <c r="M200" i="50"/>
  <c r="G200" i="50"/>
  <c r="B200" i="50"/>
  <c r="R200" i="50" s="1"/>
  <c r="S200" i="50" s="1"/>
  <c r="C200" i="50" s="1"/>
  <c r="N200" i="50"/>
  <c r="F200" i="50"/>
  <c r="AM200" i="50" s="1"/>
  <c r="H200" i="50"/>
  <c r="I200" i="50"/>
  <c r="J200" i="50"/>
  <c r="K200" i="50"/>
  <c r="A200" i="50"/>
  <c r="Q200" i="50" s="1"/>
  <c r="P200" i="50" s="1"/>
  <c r="AR245" i="67" a="1"/>
  <c r="AR245" i="67"/>
  <c r="B246" i="69"/>
  <c r="L246" i="69"/>
  <c r="C245" i="69"/>
  <c r="P245" i="69"/>
  <c r="D244" i="69"/>
  <c r="E244" i="69"/>
  <c r="F244" i="69"/>
  <c r="G244" i="69"/>
  <c r="H244" i="69"/>
  <c r="I244" i="69"/>
  <c r="J244" i="69"/>
  <c r="K244" i="69"/>
  <c r="M244" i="69"/>
  <c r="R243" i="69"/>
  <c r="S243" i="69"/>
  <c r="Y243" i="69"/>
  <c r="AE243" i="69"/>
  <c r="AP200" i="59" a="1"/>
  <c r="AP200" i="59"/>
  <c r="E201" i="50"/>
  <c r="AQ90" i="59" a="1"/>
  <c r="AQ90" i="59"/>
  <c r="AP245" i="69"/>
  <c r="N245" i="69"/>
  <c r="U245" i="69"/>
  <c r="O201" i="50"/>
  <c r="T201" i="50"/>
  <c r="AF244" i="69"/>
  <c r="Q244" i="69"/>
  <c r="AC242" i="69"/>
  <c r="AD242" i="69"/>
  <c r="AB243" i="69"/>
  <c r="AG243" i="69"/>
  <c r="O246" i="69"/>
  <c r="AO245" i="69"/>
  <c r="AK201" i="50"/>
  <c r="AY244" i="69"/>
  <c r="AH244" i="69"/>
  <c r="H201" i="50"/>
  <c r="B201" i="50"/>
  <c r="R201" i="50" s="1"/>
  <c r="S201" i="50" s="1"/>
  <c r="W201" i="50" s="1"/>
  <c r="X201" i="50" s="1"/>
  <c r="I201" i="50"/>
  <c r="M201" i="50"/>
  <c r="J201" i="50"/>
  <c r="A201" i="50"/>
  <c r="Q201" i="50" s="1"/>
  <c r="P201" i="50" s="1"/>
  <c r="G201" i="50"/>
  <c r="K201" i="50"/>
  <c r="F201" i="50"/>
  <c r="U201" i="50" s="1"/>
  <c r="L201" i="50"/>
  <c r="N201" i="50"/>
  <c r="AR246" i="67" a="1"/>
  <c r="AR246" i="67"/>
  <c r="B247" i="69"/>
  <c r="L247" i="69"/>
  <c r="AE244" i="69"/>
  <c r="R244" i="69"/>
  <c r="S244" i="69"/>
  <c r="Y244" i="69"/>
  <c r="D245" i="69"/>
  <c r="E245" i="69"/>
  <c r="F245" i="69"/>
  <c r="G245" i="69"/>
  <c r="H245" i="69"/>
  <c r="I245" i="69"/>
  <c r="J245" i="69"/>
  <c r="K245" i="69"/>
  <c r="M245" i="69"/>
  <c r="C246" i="69"/>
  <c r="P246" i="69"/>
  <c r="AP201" i="59" a="1"/>
  <c r="AP201" i="59"/>
  <c r="E202" i="50"/>
  <c r="AQ91" i="59" a="1"/>
  <c r="AQ91" i="59"/>
  <c r="AB244" i="69"/>
  <c r="AC244" i="69"/>
  <c r="AD244" i="69"/>
  <c r="AP246" i="69"/>
  <c r="N246" i="69"/>
  <c r="U246" i="69"/>
  <c r="T202" i="50"/>
  <c r="O202" i="50"/>
  <c r="AF245" i="69"/>
  <c r="Q245" i="69"/>
  <c r="AC243" i="69"/>
  <c r="AD243" i="69"/>
  <c r="O247" i="69"/>
  <c r="AO246" i="69"/>
  <c r="AG244" i="69"/>
  <c r="AK202" i="50"/>
  <c r="AY245" i="69"/>
  <c r="AH245" i="69"/>
  <c r="G202" i="50"/>
  <c r="F202" i="50"/>
  <c r="U202" i="50" s="1"/>
  <c r="A202" i="50"/>
  <c r="Q202" i="50" s="1"/>
  <c r="P202" i="50" s="1"/>
  <c r="M202" i="50"/>
  <c r="N202" i="50"/>
  <c r="K202" i="50"/>
  <c r="J202" i="50"/>
  <c r="L202" i="50"/>
  <c r="B202" i="50"/>
  <c r="R202" i="50" s="1"/>
  <c r="S202" i="50" s="1"/>
  <c r="I202" i="50"/>
  <c r="H202" i="50"/>
  <c r="AR247" i="67" a="1"/>
  <c r="AR247" i="67"/>
  <c r="B248" i="69"/>
  <c r="L248" i="69"/>
  <c r="R245" i="69"/>
  <c r="S245" i="69"/>
  <c r="Y245" i="69"/>
  <c r="AE245" i="69"/>
  <c r="D246" i="69"/>
  <c r="E246" i="69"/>
  <c r="F246" i="69"/>
  <c r="G246" i="69"/>
  <c r="H246" i="69"/>
  <c r="I246" i="69"/>
  <c r="J246" i="69"/>
  <c r="K246" i="69"/>
  <c r="M246" i="69"/>
  <c r="C247" i="69"/>
  <c r="P247" i="69"/>
  <c r="AP202" i="59" a="1"/>
  <c r="AP202" i="59"/>
  <c r="E203" i="50"/>
  <c r="AQ92" i="59" a="1"/>
  <c r="AQ92" i="59"/>
  <c r="AP247" i="69"/>
  <c r="N247" i="69"/>
  <c r="U247" i="69"/>
  <c r="T203" i="50"/>
  <c r="O203" i="50"/>
  <c r="AF246" i="69"/>
  <c r="Q246" i="69"/>
  <c r="AB245" i="69"/>
  <c r="AG245" i="69"/>
  <c r="O248" i="69"/>
  <c r="AO247" i="69"/>
  <c r="AK203" i="50"/>
  <c r="AY246" i="69"/>
  <c r="AH246" i="69"/>
  <c r="M203" i="50"/>
  <c r="N203" i="50"/>
  <c r="G203" i="50"/>
  <c r="I203" i="50"/>
  <c r="F203" i="50"/>
  <c r="K203" i="50"/>
  <c r="H203" i="50"/>
  <c r="J203" i="50"/>
  <c r="B203" i="50"/>
  <c r="R203" i="50" s="1"/>
  <c r="S203" i="50" s="1"/>
  <c r="A203" i="50"/>
  <c r="Q203" i="50" s="1"/>
  <c r="P203" i="50" s="1"/>
  <c r="L203" i="50"/>
  <c r="C248" i="69"/>
  <c r="P248" i="69"/>
  <c r="D247" i="69"/>
  <c r="E247" i="69"/>
  <c r="F247" i="69"/>
  <c r="G247" i="69"/>
  <c r="H247" i="69"/>
  <c r="I247" i="69"/>
  <c r="J247" i="69"/>
  <c r="K247" i="69"/>
  <c r="M247" i="69"/>
  <c r="R246" i="69"/>
  <c r="S246" i="69"/>
  <c r="Y246" i="69"/>
  <c r="AE246" i="69"/>
  <c r="AR248" i="67" a="1"/>
  <c r="AR248" i="67"/>
  <c r="B249" i="69"/>
  <c r="L249" i="69"/>
  <c r="AP203" i="59" a="1"/>
  <c r="AP203" i="59"/>
  <c r="E204" i="50"/>
  <c r="AQ93" i="59" a="1"/>
  <c r="AQ93" i="59"/>
  <c r="AP248" i="69"/>
  <c r="N248" i="69"/>
  <c r="U248" i="69"/>
  <c r="T204" i="50"/>
  <c r="O204" i="50"/>
  <c r="AF247" i="69"/>
  <c r="Q247" i="69"/>
  <c r="AC245" i="69"/>
  <c r="AD245" i="69"/>
  <c r="AB246" i="69"/>
  <c r="AG246" i="69"/>
  <c r="O249" i="69"/>
  <c r="AO248" i="69"/>
  <c r="AK204" i="50"/>
  <c r="AY247" i="69"/>
  <c r="AH247" i="69"/>
  <c r="F204" i="50"/>
  <c r="N204" i="50"/>
  <c r="B204" i="50"/>
  <c r="R204" i="50" s="1"/>
  <c r="S204" i="50" s="1"/>
  <c r="A204" i="50"/>
  <c r="Q204" i="50" s="1"/>
  <c r="P204" i="50" s="1"/>
  <c r="J204" i="50"/>
  <c r="L204" i="50"/>
  <c r="G204" i="50"/>
  <c r="M204" i="50"/>
  <c r="H204" i="50"/>
  <c r="I204" i="50"/>
  <c r="K204" i="50"/>
  <c r="AR249" i="67" a="1"/>
  <c r="AR249" i="67"/>
  <c r="B250" i="69"/>
  <c r="L250" i="69"/>
  <c r="AE247" i="69"/>
  <c r="R247" i="69"/>
  <c r="S247" i="69"/>
  <c r="Y247" i="69"/>
  <c r="C249" i="69"/>
  <c r="P249" i="69"/>
  <c r="D248" i="69"/>
  <c r="E248" i="69"/>
  <c r="F248" i="69"/>
  <c r="G248" i="69"/>
  <c r="H248" i="69"/>
  <c r="I248" i="69"/>
  <c r="J248" i="69"/>
  <c r="K248" i="69"/>
  <c r="M248" i="69"/>
  <c r="AP204" i="59" a="1"/>
  <c r="AP204" i="59"/>
  <c r="E205" i="50"/>
  <c r="AQ94" i="59" a="1"/>
  <c r="AQ94" i="59"/>
  <c r="AB247" i="69"/>
  <c r="AC247" i="69"/>
  <c r="AD247" i="69"/>
  <c r="AP249" i="69"/>
  <c r="N249" i="69"/>
  <c r="U249" i="69"/>
  <c r="T205" i="50"/>
  <c r="O205" i="50"/>
  <c r="AF248" i="69"/>
  <c r="Q248" i="69"/>
  <c r="AC246" i="69"/>
  <c r="AD246" i="69"/>
  <c r="AG247" i="69"/>
  <c r="O250" i="69"/>
  <c r="AO249" i="69"/>
  <c r="AK205" i="50"/>
  <c r="AY248" i="69"/>
  <c r="AH248" i="69"/>
  <c r="K205" i="50"/>
  <c r="F205" i="50"/>
  <c r="AM205" i="50" s="1"/>
  <c r="M205" i="50"/>
  <c r="G205" i="50"/>
  <c r="B205" i="50"/>
  <c r="R205" i="50" s="1"/>
  <c r="S205" i="50" s="1"/>
  <c r="W205" i="50" s="1"/>
  <c r="X205" i="50" s="1"/>
  <c r="L205" i="50"/>
  <c r="N205" i="50"/>
  <c r="H205" i="50"/>
  <c r="I205" i="50"/>
  <c r="A205" i="50"/>
  <c r="Q205" i="50" s="1"/>
  <c r="P205" i="50" s="1"/>
  <c r="J205" i="50"/>
  <c r="D249" i="69"/>
  <c r="E249" i="69"/>
  <c r="F249" i="69"/>
  <c r="G249" i="69"/>
  <c r="H249" i="69"/>
  <c r="I249" i="69"/>
  <c r="J249" i="69"/>
  <c r="K249" i="69"/>
  <c r="M249" i="69"/>
  <c r="AR250" i="67" a="1"/>
  <c r="AR250" i="67"/>
  <c r="B251" i="69"/>
  <c r="L251" i="69"/>
  <c r="R248" i="69"/>
  <c r="S248" i="69"/>
  <c r="Y248" i="69"/>
  <c r="AE248" i="69"/>
  <c r="C250" i="69"/>
  <c r="P250" i="69"/>
  <c r="AP205" i="59" a="1"/>
  <c r="AP205" i="59"/>
  <c r="E206" i="50"/>
  <c r="AQ95" i="59" a="1"/>
  <c r="AQ95" i="59"/>
  <c r="AB248" i="69"/>
  <c r="AC248" i="69"/>
  <c r="AD248" i="69"/>
  <c r="AP250" i="69"/>
  <c r="N250" i="69"/>
  <c r="U250" i="69"/>
  <c r="T206" i="50"/>
  <c r="O206" i="50"/>
  <c r="AF249" i="69"/>
  <c r="Q249" i="69"/>
  <c r="AG248" i="69"/>
  <c r="O251" i="69"/>
  <c r="AO250" i="69"/>
  <c r="AK206" i="50"/>
  <c r="AY249" i="69"/>
  <c r="AH249" i="69"/>
  <c r="I206" i="50"/>
  <c r="G206" i="50"/>
  <c r="H206" i="50"/>
  <c r="A206" i="50"/>
  <c r="Q206" i="50" s="1"/>
  <c r="P206" i="50" s="1"/>
  <c r="N206" i="50"/>
  <c r="L206" i="50"/>
  <c r="F206" i="50"/>
  <c r="M206" i="50"/>
  <c r="J206" i="50"/>
  <c r="B206" i="50"/>
  <c r="R206" i="50" s="1"/>
  <c r="S206" i="50" s="1"/>
  <c r="K206" i="50"/>
  <c r="D250" i="69"/>
  <c r="E250" i="69"/>
  <c r="F250" i="69"/>
  <c r="G250" i="69"/>
  <c r="H250" i="69"/>
  <c r="I250" i="69"/>
  <c r="J250" i="69"/>
  <c r="K250" i="69"/>
  <c r="M250" i="69"/>
  <c r="AE249" i="69"/>
  <c r="R249" i="69"/>
  <c r="S249" i="69"/>
  <c r="Y249" i="69"/>
  <c r="C251" i="69"/>
  <c r="P251" i="69"/>
  <c r="AR251" i="67" a="1"/>
  <c r="AR251" i="67"/>
  <c r="B252" i="69"/>
  <c r="L252" i="69"/>
  <c r="AP206" i="59" a="1"/>
  <c r="AP206" i="59"/>
  <c r="E207" i="50"/>
  <c r="AQ96" i="59" a="1"/>
  <c r="AQ96" i="59"/>
  <c r="AP251" i="69"/>
  <c r="N251" i="69"/>
  <c r="U251" i="69"/>
  <c r="T207" i="50"/>
  <c r="O207" i="50"/>
  <c r="AF250" i="69"/>
  <c r="Q250" i="69"/>
  <c r="AB249" i="69"/>
  <c r="AG249" i="69"/>
  <c r="O252" i="69"/>
  <c r="AO251" i="69"/>
  <c r="AK207" i="50"/>
  <c r="AY250" i="69"/>
  <c r="AH250" i="69"/>
  <c r="I207" i="50"/>
  <c r="K207" i="50"/>
  <c r="A207" i="50"/>
  <c r="Q207" i="50" s="1"/>
  <c r="P207" i="50" s="1"/>
  <c r="B207" i="50"/>
  <c r="R207" i="50" s="1"/>
  <c r="S207" i="50" s="1"/>
  <c r="Z207" i="50" s="1"/>
  <c r="G207" i="50"/>
  <c r="M207" i="50"/>
  <c r="H207" i="50"/>
  <c r="J207" i="50"/>
  <c r="L207" i="50"/>
  <c r="F207" i="50"/>
  <c r="U207" i="50" s="1"/>
  <c r="N207" i="50"/>
  <c r="C252" i="69"/>
  <c r="P252" i="69"/>
  <c r="AR252" i="67" a="1"/>
  <c r="AR252" i="67"/>
  <c r="B253" i="69"/>
  <c r="L253" i="69"/>
  <c r="AE250" i="69"/>
  <c r="R250" i="69"/>
  <c r="S250" i="69"/>
  <c r="Y250" i="69"/>
  <c r="D251" i="69"/>
  <c r="E251" i="69"/>
  <c r="F251" i="69"/>
  <c r="G251" i="69"/>
  <c r="H251" i="69"/>
  <c r="I251" i="69"/>
  <c r="J251" i="69"/>
  <c r="K251" i="69"/>
  <c r="M251" i="69"/>
  <c r="AP207" i="59" a="1"/>
  <c r="AP207" i="59"/>
  <c r="E208" i="50"/>
  <c r="AQ97" i="59" a="1"/>
  <c r="AQ97" i="59"/>
  <c r="AP252" i="69"/>
  <c r="N252" i="69"/>
  <c r="U252" i="69"/>
  <c r="T208" i="50"/>
  <c r="O208" i="50"/>
  <c r="AF251" i="69"/>
  <c r="Q251" i="69"/>
  <c r="AC249" i="69"/>
  <c r="AD249" i="69"/>
  <c r="AB250" i="69"/>
  <c r="AG250" i="69"/>
  <c r="AO252" i="69"/>
  <c r="O253" i="69"/>
  <c r="AK208" i="50"/>
  <c r="AY251" i="69"/>
  <c r="AH251" i="69"/>
  <c r="F208" i="50"/>
  <c r="U208" i="50" s="1"/>
  <c r="G208" i="50"/>
  <c r="N208" i="50"/>
  <c r="J208" i="50"/>
  <c r="M208" i="50"/>
  <c r="B208" i="50"/>
  <c r="R208" i="50" s="1"/>
  <c r="S208" i="50" s="1"/>
  <c r="C208" i="50" s="1"/>
  <c r="K208" i="50"/>
  <c r="L208" i="50"/>
  <c r="A208" i="50"/>
  <c r="Q208" i="50" s="1"/>
  <c r="P208" i="50" s="1"/>
  <c r="I208" i="50"/>
  <c r="H208" i="50"/>
  <c r="AR253" i="67" a="1"/>
  <c r="AR253" i="67"/>
  <c r="B254" i="69"/>
  <c r="L254" i="69"/>
  <c r="C253" i="69"/>
  <c r="P253" i="69"/>
  <c r="R251" i="69"/>
  <c r="S251" i="69"/>
  <c r="Y251" i="69"/>
  <c r="AE251" i="69"/>
  <c r="D252" i="69"/>
  <c r="E252" i="69"/>
  <c r="F252" i="69"/>
  <c r="G252" i="69"/>
  <c r="H252" i="69"/>
  <c r="I252" i="69"/>
  <c r="J252" i="69"/>
  <c r="K252" i="69"/>
  <c r="M252" i="69"/>
  <c r="AP208" i="59" a="1"/>
  <c r="AP208" i="59"/>
  <c r="E209" i="50"/>
  <c r="AQ98" i="59" a="1"/>
  <c r="AQ98" i="59"/>
  <c r="AP253" i="69"/>
  <c r="N253" i="69"/>
  <c r="U253" i="69"/>
  <c r="O209" i="50"/>
  <c r="T209" i="50"/>
  <c r="AF252" i="69"/>
  <c r="Q252" i="69"/>
  <c r="AC250" i="69"/>
  <c r="AD250" i="69"/>
  <c r="AB251" i="69"/>
  <c r="AG251" i="69"/>
  <c r="AO253" i="69"/>
  <c r="O254" i="69"/>
  <c r="AK209" i="50"/>
  <c r="AY252" i="69"/>
  <c r="AH252" i="69"/>
  <c r="B209" i="50"/>
  <c r="R209" i="50" s="1"/>
  <c r="S209" i="50" s="1"/>
  <c r="Z209" i="50" s="1"/>
  <c r="M209" i="50"/>
  <c r="K209" i="50"/>
  <c r="G209" i="50"/>
  <c r="H209" i="50"/>
  <c r="A209" i="50"/>
  <c r="Q209" i="50" s="1"/>
  <c r="P209" i="50" s="1"/>
  <c r="J209" i="50"/>
  <c r="I209" i="50"/>
  <c r="N209" i="50"/>
  <c r="F209" i="50"/>
  <c r="U209" i="50" s="1"/>
  <c r="L209" i="50"/>
  <c r="AR254" i="67" a="1"/>
  <c r="AR254" i="67"/>
  <c r="B255" i="69"/>
  <c r="L255" i="69"/>
  <c r="AE252" i="69"/>
  <c r="R252" i="69"/>
  <c r="S252" i="69"/>
  <c r="Y252" i="69"/>
  <c r="D253" i="69"/>
  <c r="E253" i="69"/>
  <c r="F253" i="69"/>
  <c r="G253" i="69"/>
  <c r="H253" i="69"/>
  <c r="I253" i="69"/>
  <c r="J253" i="69"/>
  <c r="K253" i="69"/>
  <c r="M253" i="69"/>
  <c r="C254" i="69"/>
  <c r="P254" i="69"/>
  <c r="AP209" i="59" a="1"/>
  <c r="AP209" i="59"/>
  <c r="E210" i="50"/>
  <c r="AQ99" i="59" a="1"/>
  <c r="AQ99" i="59"/>
  <c r="AP254" i="69"/>
  <c r="N254" i="69"/>
  <c r="U254" i="69"/>
  <c r="T210" i="50"/>
  <c r="O210" i="50"/>
  <c r="AF253" i="69"/>
  <c r="Q253" i="69"/>
  <c r="AC251" i="69"/>
  <c r="AD251" i="69"/>
  <c r="AB252" i="69"/>
  <c r="AG252" i="69"/>
  <c r="AO254" i="69"/>
  <c r="O255" i="69"/>
  <c r="AK210" i="50"/>
  <c r="AY253" i="69"/>
  <c r="AH253" i="69"/>
  <c r="F210" i="50"/>
  <c r="AM210" i="50" s="1"/>
  <c r="L210" i="50"/>
  <c r="K210" i="50"/>
  <c r="H210" i="50"/>
  <c r="J210" i="50"/>
  <c r="I210" i="50"/>
  <c r="B210" i="50"/>
  <c r="R210" i="50" s="1"/>
  <c r="S210" i="50" s="1"/>
  <c r="AJ210" i="50" s="1"/>
  <c r="M210" i="50"/>
  <c r="A210" i="50"/>
  <c r="Q210" i="50" s="1"/>
  <c r="P210" i="50" s="1"/>
  <c r="N210" i="50"/>
  <c r="G210" i="50"/>
  <c r="AR255" i="67" a="1"/>
  <c r="AR255" i="67"/>
  <c r="B256" i="69"/>
  <c r="L256" i="69"/>
  <c r="AE253" i="69"/>
  <c r="R253" i="69"/>
  <c r="S253" i="69"/>
  <c r="Y253" i="69"/>
  <c r="D254" i="69"/>
  <c r="E254" i="69"/>
  <c r="F254" i="69"/>
  <c r="G254" i="69"/>
  <c r="H254" i="69"/>
  <c r="I254" i="69"/>
  <c r="J254" i="69"/>
  <c r="K254" i="69"/>
  <c r="M254" i="69"/>
  <c r="C255" i="69"/>
  <c r="P255" i="69"/>
  <c r="AP210" i="59" a="1"/>
  <c r="AP210" i="59"/>
  <c r="E211" i="50"/>
  <c r="AQ100" i="59" a="1"/>
  <c r="AQ100" i="59"/>
  <c r="AP255" i="69"/>
  <c r="N255" i="69"/>
  <c r="U255" i="69"/>
  <c r="T211" i="50"/>
  <c r="O211" i="50"/>
  <c r="AF254" i="69"/>
  <c r="Q254" i="69"/>
  <c r="AC252" i="69"/>
  <c r="AD252" i="69"/>
  <c r="AB253" i="69"/>
  <c r="AG253" i="69"/>
  <c r="O256" i="69"/>
  <c r="AO255" i="69"/>
  <c r="AK211" i="50"/>
  <c r="AY254" i="69"/>
  <c r="AH254" i="69"/>
  <c r="M211" i="50"/>
  <c r="F211" i="50"/>
  <c r="U211" i="50" s="1"/>
  <c r="G211" i="50"/>
  <c r="I211" i="50"/>
  <c r="B211" i="50"/>
  <c r="R211" i="50" s="1"/>
  <c r="S211" i="50" s="1"/>
  <c r="AJ211" i="50" s="1"/>
  <c r="H211" i="50"/>
  <c r="L211" i="50"/>
  <c r="N211" i="50"/>
  <c r="J211" i="50"/>
  <c r="K211" i="50"/>
  <c r="A211" i="50"/>
  <c r="Q211" i="50" s="1"/>
  <c r="P211" i="50" s="1"/>
  <c r="D255" i="69"/>
  <c r="E255" i="69"/>
  <c r="F255" i="69"/>
  <c r="G255" i="69"/>
  <c r="H255" i="69"/>
  <c r="I255" i="69"/>
  <c r="J255" i="69"/>
  <c r="K255" i="69"/>
  <c r="M255" i="69"/>
  <c r="AE254" i="69"/>
  <c r="R254" i="69"/>
  <c r="S254" i="69"/>
  <c r="Y254" i="69"/>
  <c r="C256" i="69"/>
  <c r="P256" i="69"/>
  <c r="AR256" i="67" a="1"/>
  <c r="AR256" i="67"/>
  <c r="AR257" i="67" a="1"/>
  <c r="AR257" i="67"/>
  <c r="B257" i="69"/>
  <c r="L257" i="69"/>
  <c r="AP211" i="59" a="1"/>
  <c r="AP211" i="59"/>
  <c r="E212" i="50"/>
  <c r="AQ101" i="59" a="1"/>
  <c r="AQ101" i="59"/>
  <c r="AP256" i="69"/>
  <c r="N256" i="69"/>
  <c r="U256" i="69"/>
  <c r="T212" i="50"/>
  <c r="O212" i="50"/>
  <c r="AF255" i="69"/>
  <c r="Q255" i="69"/>
  <c r="AC253" i="69"/>
  <c r="AD253" i="69"/>
  <c r="AB254" i="69"/>
  <c r="AG254" i="69"/>
  <c r="O257" i="69"/>
  <c r="AO256" i="69"/>
  <c r="AK212" i="50"/>
  <c r="AY255" i="69"/>
  <c r="AH255" i="69"/>
  <c r="I212" i="50"/>
  <c r="N212" i="50"/>
  <c r="H212" i="50"/>
  <c r="M212" i="50"/>
  <c r="L212" i="50"/>
  <c r="G212" i="50"/>
  <c r="A212" i="50"/>
  <c r="Q212" i="50" s="1"/>
  <c r="P212" i="50" s="1"/>
  <c r="J212" i="50"/>
  <c r="F212" i="50"/>
  <c r="AM212" i="50" s="1"/>
  <c r="K212" i="50"/>
  <c r="B212" i="50"/>
  <c r="R212" i="50" s="1"/>
  <c r="S212" i="50" s="1"/>
  <c r="D256" i="69"/>
  <c r="E256" i="69"/>
  <c r="F256" i="69"/>
  <c r="G256" i="69"/>
  <c r="H256" i="69"/>
  <c r="I256" i="69"/>
  <c r="J256" i="69"/>
  <c r="K256" i="69"/>
  <c r="M256" i="69"/>
  <c r="C257" i="69"/>
  <c r="R255" i="69"/>
  <c r="S255" i="69"/>
  <c r="Y255" i="69"/>
  <c r="AE255" i="69"/>
  <c r="AP212" i="59" a="1"/>
  <c r="AP212" i="59"/>
  <c r="E213" i="50"/>
  <c r="AQ102" i="59" a="1"/>
  <c r="AQ102" i="59"/>
  <c r="N257" i="69"/>
  <c r="P257" i="69"/>
  <c r="AP257" i="69"/>
  <c r="AP258" i="69"/>
  <c r="T213" i="50"/>
  <c r="O213" i="50"/>
  <c r="AF256" i="69"/>
  <c r="Q256" i="69"/>
  <c r="AC254" i="69"/>
  <c r="AD254" i="69"/>
  <c r="AB255" i="69"/>
  <c r="AG255" i="69"/>
  <c r="AO257" i="69"/>
  <c r="AK213" i="50"/>
  <c r="AY256" i="69"/>
  <c r="AH256" i="69"/>
  <c r="F213" i="50"/>
  <c r="U213" i="50" s="1"/>
  <c r="N213" i="50"/>
  <c r="K213" i="50"/>
  <c r="G213" i="50"/>
  <c r="A213" i="50"/>
  <c r="Q213" i="50" s="1"/>
  <c r="P213" i="50" s="1"/>
  <c r="L213" i="50"/>
  <c r="H213" i="50"/>
  <c r="B213" i="50"/>
  <c r="R213" i="50" s="1"/>
  <c r="S213" i="50" s="1"/>
  <c r="Z213" i="50" s="1"/>
  <c r="I213" i="50"/>
  <c r="J213" i="50"/>
  <c r="M213" i="50"/>
  <c r="R256" i="69"/>
  <c r="S256" i="69"/>
  <c r="Y256" i="69"/>
  <c r="AE256" i="69"/>
  <c r="D257" i="69"/>
  <c r="AP213" i="59" a="1"/>
  <c r="AP213" i="59"/>
  <c r="E214" i="50"/>
  <c r="AQ103" i="59" a="1"/>
  <c r="AQ103" i="59"/>
  <c r="U257" i="69"/>
  <c r="Z174" i="22"/>
  <c r="AB174" i="22"/>
  <c r="Z175" i="22"/>
  <c r="AB175" i="22"/>
  <c r="Z176" i="22"/>
  <c r="AB176" i="22"/>
  <c r="Z172" i="22"/>
  <c r="AB172" i="22"/>
  <c r="Z173" i="22"/>
  <c r="AB173" i="22"/>
  <c r="T214" i="50"/>
  <c r="O214" i="50"/>
  <c r="AF257" i="69"/>
  <c r="Q257" i="69"/>
  <c r="AC255" i="69"/>
  <c r="AD255" i="69"/>
  <c r="AB256" i="69"/>
  <c r="AG256" i="69"/>
  <c r="AK214" i="50"/>
  <c r="Y172" i="22"/>
  <c r="AA172" i="22"/>
  <c r="Y173" i="22"/>
  <c r="AA173" i="22"/>
  <c r="Y175" i="22"/>
  <c r="AA175" i="22"/>
  <c r="Y174" i="22"/>
  <c r="AA174" i="22"/>
  <c r="Y176" i="22"/>
  <c r="AA176" i="22"/>
  <c r="AY257" i="69"/>
  <c r="AH257" i="69"/>
  <c r="A214" i="50"/>
  <c r="Q214" i="50" s="1"/>
  <c r="P214" i="50" s="1"/>
  <c r="G214" i="50"/>
  <c r="L214" i="50"/>
  <c r="N214" i="50"/>
  <c r="F214" i="50"/>
  <c r="J214" i="50"/>
  <c r="I214" i="50"/>
  <c r="B214" i="50"/>
  <c r="R214" i="50" s="1"/>
  <c r="S214" i="50" s="1"/>
  <c r="W214" i="50" s="1"/>
  <c r="X214" i="50" s="1"/>
  <c r="M214" i="50"/>
  <c r="K214" i="50"/>
  <c r="H214" i="50"/>
  <c r="E257" i="69"/>
  <c r="F257" i="69"/>
  <c r="G257" i="69"/>
  <c r="H257" i="69"/>
  <c r="I257" i="69"/>
  <c r="J257" i="69"/>
  <c r="K257" i="69"/>
  <c r="M257" i="69"/>
  <c r="D258" i="69"/>
  <c r="R257" i="69"/>
  <c r="S257" i="69"/>
  <c r="AE257" i="69"/>
  <c r="AP214" i="59" a="1"/>
  <c r="AP214" i="59"/>
  <c r="E215" i="50"/>
  <c r="AQ104" i="59" a="1"/>
  <c r="AQ104" i="59"/>
  <c r="Y257" i="69"/>
  <c r="AD173" i="22"/>
  <c r="D22" i="105"/>
  <c r="F184" i="36"/>
  <c r="H184" i="36"/>
  <c r="AD174" i="22"/>
  <c r="D30" i="105"/>
  <c r="F185" i="36"/>
  <c r="H185" i="36"/>
  <c r="F183" i="36"/>
  <c r="AD176" i="22"/>
  <c r="D42" i="105"/>
  <c r="D43" i="105"/>
  <c r="F187" i="36"/>
  <c r="H187" i="36"/>
  <c r="AD175" i="22"/>
  <c r="D31" i="105"/>
  <c r="F186" i="36"/>
  <c r="H186" i="36"/>
  <c r="T215" i="50"/>
  <c r="O215" i="50"/>
  <c r="AC256" i="69"/>
  <c r="AD256" i="69"/>
  <c r="AK215" i="50"/>
  <c r="AC176" i="22"/>
  <c r="E187" i="36"/>
  <c r="G187" i="36"/>
  <c r="AC174" i="22"/>
  <c r="E185" i="36"/>
  <c r="G185" i="36"/>
  <c r="AC175" i="22"/>
  <c r="E186" i="36"/>
  <c r="G186" i="36"/>
  <c r="E184" i="36"/>
  <c r="G184" i="36"/>
  <c r="AC173" i="22"/>
  <c r="AC172" i="22"/>
  <c r="E183" i="36"/>
  <c r="G183" i="36"/>
  <c r="Q258" i="69"/>
  <c r="K215" i="50"/>
  <c r="I215" i="50"/>
  <c r="M215" i="50"/>
  <c r="H215" i="50"/>
  <c r="J215" i="50"/>
  <c r="L215" i="50"/>
  <c r="B215" i="50"/>
  <c r="R215" i="50" s="1"/>
  <c r="S215" i="50" s="1"/>
  <c r="C215" i="50" s="1"/>
  <c r="A215" i="50"/>
  <c r="Q215" i="50" s="1"/>
  <c r="P215" i="50" s="1"/>
  <c r="F215" i="50"/>
  <c r="U215" i="50" s="1"/>
  <c r="G215" i="50"/>
  <c r="N215" i="50"/>
  <c r="AP215" i="59" a="1"/>
  <c r="AP215" i="59"/>
  <c r="E216" i="50"/>
  <c r="AQ105" i="59" a="1"/>
  <c r="AQ105" i="59"/>
  <c r="D32" i="105"/>
  <c r="T216" i="50"/>
  <c r="O216" i="50"/>
  <c r="AB257" i="69"/>
  <c r="AG257" i="69"/>
  <c r="AK216" i="50"/>
  <c r="AO258" i="69"/>
  <c r="L216" i="50"/>
  <c r="M216" i="50"/>
  <c r="N216" i="50"/>
  <c r="G216" i="50"/>
  <c r="F216" i="50"/>
  <c r="U216" i="50" s="1"/>
  <c r="I216" i="50"/>
  <c r="H216" i="50"/>
  <c r="J216" i="50"/>
  <c r="K216" i="50"/>
  <c r="A216" i="50"/>
  <c r="Q216" i="50" s="1"/>
  <c r="P216" i="50" s="1"/>
  <c r="B216" i="50"/>
  <c r="R216" i="50" s="1"/>
  <c r="S216" i="50" s="1"/>
  <c r="Z216" i="50" s="1"/>
  <c r="AP216" i="59" a="1"/>
  <c r="AP216" i="59"/>
  <c r="E217" i="50"/>
  <c r="AQ106" i="59" a="1"/>
  <c r="AQ106" i="59"/>
  <c r="O217" i="50"/>
  <c r="T217" i="50"/>
  <c r="AC257" i="69"/>
  <c r="Y2" i="69"/>
  <c r="AK217" i="50"/>
  <c r="B217" i="50"/>
  <c r="R217" i="50" s="1"/>
  <c r="S217" i="50" s="1"/>
  <c r="G217" i="50"/>
  <c r="I217" i="50"/>
  <c r="H217" i="50"/>
  <c r="A217" i="50"/>
  <c r="Q217" i="50" s="1"/>
  <c r="P217" i="50" s="1"/>
  <c r="K217" i="50"/>
  <c r="J217" i="50"/>
  <c r="M217" i="50"/>
  <c r="F217" i="50"/>
  <c r="U217" i="50" s="1"/>
  <c r="L217" i="50"/>
  <c r="N217" i="50"/>
  <c r="AP217" i="59" a="1"/>
  <c r="AP217" i="59"/>
  <c r="E218" i="50"/>
  <c r="AQ107" i="59" a="1"/>
  <c r="AQ107" i="59"/>
  <c r="T218" i="50"/>
  <c r="O218" i="50"/>
  <c r="AD257" i="69"/>
  <c r="AK218" i="50"/>
  <c r="F218" i="50"/>
  <c r="B218" i="50"/>
  <c r="R218" i="50" s="1"/>
  <c r="S218" i="50" s="1"/>
  <c r="Z218" i="50" s="1"/>
  <c r="A218" i="50"/>
  <c r="Q218" i="50" s="1"/>
  <c r="P218" i="50" s="1"/>
  <c r="J218" i="50"/>
  <c r="N218" i="50"/>
  <c r="K218" i="50"/>
  <c r="G218" i="50"/>
  <c r="H218" i="50"/>
  <c r="I218" i="50"/>
  <c r="L218" i="50"/>
  <c r="M218" i="50"/>
  <c r="AP218" i="59" a="1"/>
  <c r="AP218" i="59"/>
  <c r="E219" i="50"/>
  <c r="AQ108" i="59" a="1"/>
  <c r="AQ108" i="59"/>
  <c r="T219" i="50"/>
  <c r="O219" i="50"/>
  <c r="AK219" i="50"/>
  <c r="N219" i="50"/>
  <c r="K219" i="50"/>
  <c r="J219" i="50"/>
  <c r="B219" i="50"/>
  <c r="R219" i="50" s="1"/>
  <c r="S219" i="50" s="1"/>
  <c r="A219" i="50"/>
  <c r="Q219" i="50" s="1"/>
  <c r="P219" i="50" s="1"/>
  <c r="L219" i="50"/>
  <c r="M219" i="50"/>
  <c r="I219" i="50"/>
  <c r="F219" i="50"/>
  <c r="U219" i="50" s="1"/>
  <c r="G219" i="50"/>
  <c r="H219" i="50"/>
  <c r="AP219" i="59" a="1"/>
  <c r="AP219" i="59"/>
  <c r="E220" i="50"/>
  <c r="AQ109" i="59" a="1"/>
  <c r="AQ109" i="59"/>
  <c r="T220" i="50"/>
  <c r="O220" i="50"/>
  <c r="AK220" i="50"/>
  <c r="I220" i="50"/>
  <c r="J220" i="50"/>
  <c r="G220" i="50"/>
  <c r="A220" i="50"/>
  <c r="Q220" i="50" s="1"/>
  <c r="P220" i="50" s="1"/>
  <c r="L220" i="50"/>
  <c r="H220" i="50"/>
  <c r="N220" i="50"/>
  <c r="F220" i="50"/>
  <c r="K220" i="50"/>
  <c r="B220" i="50"/>
  <c r="R220" i="50" s="1"/>
  <c r="S220" i="50" s="1"/>
  <c r="Z220" i="50" s="1"/>
  <c r="M220" i="50"/>
  <c r="AP220" i="59" a="1"/>
  <c r="AP220" i="59"/>
  <c r="E221" i="50"/>
  <c r="AQ110" i="59" a="1"/>
  <c r="AQ110" i="59"/>
  <c r="T221" i="50"/>
  <c r="O221" i="50"/>
  <c r="AK221" i="50"/>
  <c r="N221" i="50"/>
  <c r="G221" i="50"/>
  <c r="M221" i="50"/>
  <c r="F221" i="50"/>
  <c r="AM221" i="50" s="1"/>
  <c r="K221" i="50"/>
  <c r="B221" i="50"/>
  <c r="R221" i="50" s="1"/>
  <c r="S221" i="50" s="1"/>
  <c r="C221" i="50" s="1"/>
  <c r="A221" i="50"/>
  <c r="Q221" i="50" s="1"/>
  <c r="P221" i="50" s="1"/>
  <c r="L221" i="50"/>
  <c r="H221" i="50"/>
  <c r="I221" i="50"/>
  <c r="J221" i="50"/>
  <c r="AP221" i="59" a="1"/>
  <c r="AP221" i="59"/>
  <c r="E222" i="50"/>
  <c r="AQ111" i="59" a="1"/>
  <c r="AQ111" i="59"/>
  <c r="T222" i="50"/>
  <c r="O222" i="50"/>
  <c r="AK222" i="50"/>
  <c r="H222" i="50"/>
  <c r="L222" i="50"/>
  <c r="M222" i="50"/>
  <c r="K222" i="50"/>
  <c r="A222" i="50"/>
  <c r="Q222" i="50" s="1"/>
  <c r="P222" i="50" s="1"/>
  <c r="F222" i="50"/>
  <c r="U222" i="50" s="1"/>
  <c r="G222" i="50"/>
  <c r="J222" i="50"/>
  <c r="B222" i="50"/>
  <c r="R222" i="50" s="1"/>
  <c r="S222" i="50" s="1"/>
  <c r="N222" i="50"/>
  <c r="I222" i="50"/>
  <c r="AP222" i="59" a="1"/>
  <c r="AP222" i="59"/>
  <c r="E223" i="50"/>
  <c r="AQ112" i="59" a="1"/>
  <c r="AQ112" i="59"/>
  <c r="T223" i="50"/>
  <c r="O223" i="50"/>
  <c r="AK223" i="50"/>
  <c r="G223" i="50"/>
  <c r="K223" i="50"/>
  <c r="J223" i="50"/>
  <c r="I223" i="50"/>
  <c r="F223" i="50"/>
  <c r="B223" i="50"/>
  <c r="R223" i="50" s="1"/>
  <c r="S223" i="50" s="1"/>
  <c r="H223" i="50"/>
  <c r="M223" i="50"/>
  <c r="A223" i="50"/>
  <c r="Q223" i="50" s="1"/>
  <c r="P223" i="50" s="1"/>
  <c r="N223" i="50"/>
  <c r="L223" i="50"/>
  <c r="AP223" i="59" a="1"/>
  <c r="AP223" i="59"/>
  <c r="E224" i="50"/>
  <c r="AQ113" i="59" a="1"/>
  <c r="AQ113" i="59"/>
  <c r="T224" i="50"/>
  <c r="O224" i="50"/>
  <c r="AK224" i="50"/>
  <c r="L224" i="50"/>
  <c r="N224" i="50"/>
  <c r="J224" i="50"/>
  <c r="F224" i="50"/>
  <c r="AM224" i="50" s="1"/>
  <c r="H224" i="50"/>
  <c r="M224" i="50"/>
  <c r="G224" i="50"/>
  <c r="K224" i="50"/>
  <c r="I224" i="50"/>
  <c r="B224" i="50"/>
  <c r="R224" i="50" s="1"/>
  <c r="S224" i="50" s="1"/>
  <c r="Z224" i="50" s="1"/>
  <c r="A224" i="50"/>
  <c r="Q224" i="50" s="1"/>
  <c r="P224" i="50" s="1"/>
  <c r="AP224" i="59" a="1"/>
  <c r="AP224" i="59"/>
  <c r="E225" i="50"/>
  <c r="AQ114" i="59" a="1"/>
  <c r="AQ114" i="59"/>
  <c r="O225" i="50"/>
  <c r="T225" i="50"/>
  <c r="AK225" i="50"/>
  <c r="F225" i="50"/>
  <c r="U225" i="50" s="1"/>
  <c r="N225" i="50"/>
  <c r="M225" i="50"/>
  <c r="G225" i="50"/>
  <c r="H225" i="50"/>
  <c r="A225" i="50"/>
  <c r="Q225" i="50" s="1"/>
  <c r="P225" i="50" s="1"/>
  <c r="L225" i="50"/>
  <c r="K225" i="50"/>
  <c r="B225" i="50"/>
  <c r="R225" i="50" s="1"/>
  <c r="S225" i="50" s="1"/>
  <c r="J225" i="50"/>
  <c r="I225" i="50"/>
  <c r="AP225" i="59" a="1"/>
  <c r="AP225" i="59"/>
  <c r="E226" i="50"/>
  <c r="AQ115" i="59" a="1"/>
  <c r="AQ115" i="59"/>
  <c r="T226" i="50"/>
  <c r="O226" i="50"/>
  <c r="AK226" i="50"/>
  <c r="I226" i="50"/>
  <c r="M226" i="50"/>
  <c r="H226" i="50"/>
  <c r="J226" i="50"/>
  <c r="F226" i="50"/>
  <c r="U226" i="50" s="1"/>
  <c r="G226" i="50"/>
  <c r="L226" i="50"/>
  <c r="B226" i="50"/>
  <c r="R226" i="50" s="1"/>
  <c r="S226" i="50" s="1"/>
  <c r="A226" i="50"/>
  <c r="Q226" i="50" s="1"/>
  <c r="P226" i="50" s="1"/>
  <c r="N226" i="50"/>
  <c r="K226" i="50"/>
  <c r="AP226" i="59" a="1"/>
  <c r="AP226" i="59"/>
  <c r="E227" i="50"/>
  <c r="AQ116" i="59" a="1"/>
  <c r="AQ116" i="59"/>
  <c r="T227" i="50"/>
  <c r="O227" i="50"/>
  <c r="AK227" i="50"/>
  <c r="M227" i="50"/>
  <c r="K227" i="50"/>
  <c r="N227" i="50"/>
  <c r="F227" i="50"/>
  <c r="U227" i="50" s="1"/>
  <c r="H227" i="50"/>
  <c r="G227" i="50"/>
  <c r="L227" i="50"/>
  <c r="A227" i="50"/>
  <c r="Q227" i="50" s="1"/>
  <c r="P227" i="50" s="1"/>
  <c r="J227" i="50"/>
  <c r="I227" i="50"/>
  <c r="B227" i="50"/>
  <c r="R227" i="50" s="1"/>
  <c r="S227" i="50" s="1"/>
  <c r="AP227" i="59" a="1"/>
  <c r="AP227" i="59"/>
  <c r="E228" i="50"/>
  <c r="AQ117" i="59" a="1"/>
  <c r="AQ117" i="59"/>
  <c r="T228" i="50"/>
  <c r="O228" i="50"/>
  <c r="AK228" i="50"/>
  <c r="F228" i="50"/>
  <c r="U228" i="50" s="1"/>
  <c r="H228" i="50"/>
  <c r="J228" i="50"/>
  <c r="I228" i="50"/>
  <c r="A228" i="50"/>
  <c r="Q228" i="50" s="1"/>
  <c r="P228" i="50" s="1"/>
  <c r="L228" i="50"/>
  <c r="B228" i="50"/>
  <c r="R228" i="50" s="1"/>
  <c r="S228" i="50" s="1"/>
  <c r="M228" i="50"/>
  <c r="N228" i="50"/>
  <c r="G228" i="50"/>
  <c r="K228" i="50"/>
  <c r="AP228" i="59" a="1"/>
  <c r="AP228" i="59"/>
  <c r="E229" i="50"/>
  <c r="AQ118" i="59" a="1"/>
  <c r="AQ118" i="59"/>
  <c r="T229" i="50"/>
  <c r="O229" i="50"/>
  <c r="AK229" i="50"/>
  <c r="A229" i="50"/>
  <c r="Q229" i="50" s="1"/>
  <c r="P229" i="50" s="1"/>
  <c r="M229" i="50"/>
  <c r="I229" i="50"/>
  <c r="J229" i="50"/>
  <c r="H229" i="50"/>
  <c r="L229" i="50"/>
  <c r="B229" i="50"/>
  <c r="R229" i="50" s="1"/>
  <c r="S229" i="50" s="1"/>
  <c r="Z229" i="50" s="1"/>
  <c r="N229" i="50"/>
  <c r="K229" i="50"/>
  <c r="F229" i="50"/>
  <c r="AM229" i="50" s="1"/>
  <c r="G229" i="50"/>
  <c r="AP229" i="59" a="1"/>
  <c r="AP229" i="59"/>
  <c r="E230" i="50"/>
  <c r="AQ119" i="59" a="1"/>
  <c r="AQ119" i="59"/>
  <c r="T230" i="50"/>
  <c r="O230" i="50"/>
  <c r="AK230" i="50"/>
  <c r="G230" i="50"/>
  <c r="M230" i="50"/>
  <c r="K230" i="50"/>
  <c r="F230" i="50"/>
  <c r="I230" i="50"/>
  <c r="L230" i="50"/>
  <c r="N230" i="50"/>
  <c r="A230" i="50"/>
  <c r="Q230" i="50" s="1"/>
  <c r="P230" i="50" s="1"/>
  <c r="H230" i="50"/>
  <c r="B230" i="50"/>
  <c r="R230" i="50" s="1"/>
  <c r="S230" i="50" s="1"/>
  <c r="Z230" i="50" s="1"/>
  <c r="J230" i="50"/>
  <c r="AP230" i="59" a="1"/>
  <c r="AP230" i="59"/>
  <c r="E231" i="50"/>
  <c r="AQ120" i="59" a="1"/>
  <c r="AQ120" i="59"/>
  <c r="T231" i="50"/>
  <c r="O231" i="50"/>
  <c r="AK231" i="50"/>
  <c r="G231" i="50"/>
  <c r="K231" i="50"/>
  <c r="N231" i="50"/>
  <c r="M231" i="50"/>
  <c r="I231" i="50"/>
  <c r="A231" i="50"/>
  <c r="Q231" i="50" s="1"/>
  <c r="P231" i="50" s="1"/>
  <c r="B231" i="50"/>
  <c r="R231" i="50" s="1"/>
  <c r="S231" i="50" s="1"/>
  <c r="V231" i="50" s="1"/>
  <c r="H231" i="50"/>
  <c r="J231" i="50"/>
  <c r="F231" i="50"/>
  <c r="U231" i="50" s="1"/>
  <c r="L231" i="50"/>
  <c r="AP231" i="59" a="1"/>
  <c r="AP231" i="59"/>
  <c r="E232" i="50"/>
  <c r="AQ121" i="59" a="1"/>
  <c r="AQ121" i="59"/>
  <c r="T232" i="50"/>
  <c r="O232" i="50"/>
  <c r="AK232" i="50"/>
  <c r="F232" i="50"/>
  <c r="M232" i="50"/>
  <c r="J232" i="50"/>
  <c r="N232" i="50"/>
  <c r="B232" i="50"/>
  <c r="R232" i="50" s="1"/>
  <c r="S232" i="50" s="1"/>
  <c r="K232" i="50"/>
  <c r="A232" i="50"/>
  <c r="Q232" i="50" s="1"/>
  <c r="P232" i="50" s="1"/>
  <c r="I232" i="50"/>
  <c r="G232" i="50"/>
  <c r="L232" i="50"/>
  <c r="H232" i="50"/>
  <c r="AP232" i="59" a="1"/>
  <c r="AP232" i="59"/>
  <c r="E233" i="50"/>
  <c r="AQ122" i="59" a="1"/>
  <c r="AQ122" i="59"/>
  <c r="O233" i="50"/>
  <c r="T233" i="50"/>
  <c r="AK233" i="50"/>
  <c r="G233" i="50"/>
  <c r="A233" i="50"/>
  <c r="Q233" i="50" s="1"/>
  <c r="P233" i="50" s="1"/>
  <c r="F233" i="50"/>
  <c r="L233" i="50"/>
  <c r="B233" i="50"/>
  <c r="R233" i="50" s="1"/>
  <c r="S233" i="50" s="1"/>
  <c r="V233" i="50" s="1"/>
  <c r="I233" i="50"/>
  <c r="N233" i="50"/>
  <c r="M233" i="50"/>
  <c r="K233" i="50"/>
  <c r="H233" i="50"/>
  <c r="J233" i="50"/>
  <c r="AP233" i="59" a="1"/>
  <c r="AP233" i="59"/>
  <c r="E234" i="50"/>
  <c r="AQ123" i="59" a="1"/>
  <c r="AQ123" i="59"/>
  <c r="T234" i="50"/>
  <c r="O234" i="50"/>
  <c r="AK234" i="50"/>
  <c r="B234" i="50"/>
  <c r="R234" i="50" s="1"/>
  <c r="S234" i="50" s="1"/>
  <c r="M234" i="50"/>
  <c r="L234" i="50"/>
  <c r="K234" i="50"/>
  <c r="F234" i="50"/>
  <c r="I234" i="50"/>
  <c r="A234" i="50"/>
  <c r="Q234" i="50" s="1"/>
  <c r="P234" i="50" s="1"/>
  <c r="H234" i="50"/>
  <c r="J234" i="50"/>
  <c r="G234" i="50"/>
  <c r="N234" i="50"/>
  <c r="AP234" i="59" a="1"/>
  <c r="AP234" i="59"/>
  <c r="E235" i="50"/>
  <c r="AQ124" i="59" a="1"/>
  <c r="AQ124" i="59"/>
  <c r="T235" i="50"/>
  <c r="O235" i="50"/>
  <c r="AK235" i="50"/>
  <c r="H235" i="50"/>
  <c r="M235" i="50"/>
  <c r="G235" i="50"/>
  <c r="K235" i="50"/>
  <c r="N235" i="50"/>
  <c r="F235" i="50"/>
  <c r="U235" i="50" s="1"/>
  <c r="B235" i="50"/>
  <c r="R235" i="50" s="1"/>
  <c r="S235" i="50" s="1"/>
  <c r="AJ235" i="50" s="1"/>
  <c r="I235" i="50"/>
  <c r="J235" i="50"/>
  <c r="A235" i="50"/>
  <c r="Q235" i="50" s="1"/>
  <c r="P235" i="50" s="1"/>
  <c r="L235" i="50"/>
  <c r="AP235" i="59" a="1"/>
  <c r="AP235" i="59"/>
  <c r="E236" i="50"/>
  <c r="AQ125" i="59" a="1"/>
  <c r="AQ125" i="59"/>
  <c r="T236" i="50"/>
  <c r="O236" i="50"/>
  <c r="AK236" i="50"/>
  <c r="A236" i="50"/>
  <c r="Q236" i="50" s="1"/>
  <c r="P236" i="50" s="1"/>
  <c r="F236" i="50"/>
  <c r="H236" i="50"/>
  <c r="J236" i="50"/>
  <c r="I236" i="50"/>
  <c r="N236" i="50"/>
  <c r="M236" i="50"/>
  <c r="L236" i="50"/>
  <c r="B236" i="50"/>
  <c r="R236" i="50" s="1"/>
  <c r="S236" i="50" s="1"/>
  <c r="W236" i="50" s="1"/>
  <c r="X236" i="50" s="1"/>
  <c r="G236" i="50"/>
  <c r="K236" i="50"/>
  <c r="AP236" i="59" a="1"/>
  <c r="AP236" i="59"/>
  <c r="E237" i="50"/>
  <c r="AQ126" i="59" a="1"/>
  <c r="AQ126" i="59"/>
  <c r="T237" i="50"/>
  <c r="O237" i="50"/>
  <c r="AK237" i="50"/>
  <c r="A237" i="50"/>
  <c r="Q237" i="50" s="1"/>
  <c r="P237" i="50" s="1"/>
  <c r="M237" i="50"/>
  <c r="I237" i="50"/>
  <c r="H237" i="50"/>
  <c r="G237" i="50"/>
  <c r="K237" i="50"/>
  <c r="J237" i="50"/>
  <c r="L237" i="50"/>
  <c r="B237" i="50"/>
  <c r="R237" i="50" s="1"/>
  <c r="S237" i="50" s="1"/>
  <c r="F237" i="50"/>
  <c r="N237" i="50"/>
  <c r="AP237" i="59" a="1"/>
  <c r="AP237" i="59"/>
  <c r="E238" i="50"/>
  <c r="AQ127" i="59" a="1"/>
  <c r="AQ127" i="59"/>
  <c r="T238" i="50"/>
  <c r="O238" i="50"/>
  <c r="AK238" i="50"/>
  <c r="I238" i="50"/>
  <c r="L238" i="50"/>
  <c r="M238" i="50"/>
  <c r="B238" i="50"/>
  <c r="R238" i="50" s="1"/>
  <c r="S238" i="50" s="1"/>
  <c r="A238" i="50"/>
  <c r="Q238" i="50" s="1"/>
  <c r="P238" i="50" s="1"/>
  <c r="K238" i="50"/>
  <c r="H238" i="50"/>
  <c r="F238" i="50"/>
  <c r="U238" i="50" s="1"/>
  <c r="N238" i="50"/>
  <c r="G238" i="50"/>
  <c r="J238" i="50"/>
  <c r="AP238" i="59" a="1"/>
  <c r="AP238" i="59"/>
  <c r="E239" i="50"/>
  <c r="AQ128" i="59" a="1"/>
  <c r="AQ128" i="59"/>
  <c r="T239" i="50"/>
  <c r="O239" i="50"/>
  <c r="AK239" i="50"/>
  <c r="B239" i="50"/>
  <c r="R239" i="50" s="1"/>
  <c r="S239" i="50" s="1"/>
  <c r="V239" i="50" s="1"/>
  <c r="A239" i="50"/>
  <c r="Q239" i="50" s="1"/>
  <c r="P239" i="50" s="1"/>
  <c r="K239" i="50"/>
  <c r="H239" i="50"/>
  <c r="I239" i="50"/>
  <c r="N239" i="50"/>
  <c r="M239" i="50"/>
  <c r="F239" i="50"/>
  <c r="G239" i="50"/>
  <c r="J239" i="50"/>
  <c r="L239" i="50"/>
  <c r="AP239" i="59" a="1"/>
  <c r="AP239" i="59"/>
  <c r="E240" i="50"/>
  <c r="AQ129" i="59" a="1"/>
  <c r="AQ129" i="59"/>
  <c r="T240" i="50"/>
  <c r="O240" i="50"/>
  <c r="AK240" i="50"/>
  <c r="B240" i="50"/>
  <c r="R240" i="50" s="1"/>
  <c r="S240" i="50" s="1"/>
  <c r="AJ240" i="50" s="1"/>
  <c r="F240" i="50"/>
  <c r="N240" i="50"/>
  <c r="M240" i="50"/>
  <c r="H240" i="50"/>
  <c r="J240" i="50"/>
  <c r="G240" i="50"/>
  <c r="K240" i="50"/>
  <c r="L240" i="50"/>
  <c r="A240" i="50"/>
  <c r="Q240" i="50" s="1"/>
  <c r="P240" i="50" s="1"/>
  <c r="I240" i="50"/>
  <c r="AP240" i="59" a="1"/>
  <c r="AP240" i="59"/>
  <c r="E241" i="50"/>
  <c r="AQ130" i="59" a="1"/>
  <c r="AQ130" i="59"/>
  <c r="O241" i="50"/>
  <c r="T241" i="50"/>
  <c r="AK241" i="50"/>
  <c r="G241" i="50"/>
  <c r="M241" i="50"/>
  <c r="L241" i="50"/>
  <c r="N241" i="50"/>
  <c r="F241" i="50"/>
  <c r="U241" i="50" s="1"/>
  <c r="J241" i="50"/>
  <c r="I241" i="50"/>
  <c r="B241" i="50"/>
  <c r="R241" i="50" s="1"/>
  <c r="S241" i="50" s="1"/>
  <c r="K241" i="50"/>
  <c r="H241" i="50"/>
  <c r="A241" i="50"/>
  <c r="Q241" i="50" s="1"/>
  <c r="P241" i="50" s="1"/>
  <c r="AP241" i="59" a="1"/>
  <c r="AP241" i="59"/>
  <c r="E242" i="50"/>
  <c r="AQ131" i="59" a="1"/>
  <c r="AQ131" i="59"/>
  <c r="T242" i="50"/>
  <c r="O242" i="50"/>
  <c r="AK242" i="50"/>
  <c r="B242" i="50"/>
  <c r="R242" i="50" s="1"/>
  <c r="S242" i="50" s="1"/>
  <c r="W242" i="50" s="1"/>
  <c r="X242" i="50" s="1"/>
  <c r="G242" i="50"/>
  <c r="A242" i="50"/>
  <c r="Q242" i="50" s="1"/>
  <c r="P242" i="50" s="1"/>
  <c r="K242" i="50"/>
  <c r="I242" i="50"/>
  <c r="J242" i="50"/>
  <c r="F242" i="50"/>
  <c r="N242" i="50"/>
  <c r="M242" i="50"/>
  <c r="L242" i="50"/>
  <c r="H242" i="50"/>
  <c r="AP242" i="59" a="1"/>
  <c r="AP242" i="59"/>
  <c r="E243" i="50"/>
  <c r="AQ132" i="59" a="1"/>
  <c r="AQ132" i="59"/>
  <c r="T243" i="50"/>
  <c r="O243" i="50"/>
  <c r="AK243" i="50"/>
  <c r="H243" i="50"/>
  <c r="F243" i="50"/>
  <c r="AM243" i="50" s="1"/>
  <c r="G243" i="50"/>
  <c r="A243" i="50"/>
  <c r="Q243" i="50" s="1"/>
  <c r="P243" i="50" s="1"/>
  <c r="K243" i="50"/>
  <c r="B243" i="50"/>
  <c r="R243" i="50" s="1"/>
  <c r="S243" i="50" s="1"/>
  <c r="M243" i="50"/>
  <c r="N243" i="50"/>
  <c r="J243" i="50"/>
  <c r="I243" i="50"/>
  <c r="L243" i="50"/>
  <c r="AP243" i="59" a="1"/>
  <c r="AP243" i="59"/>
  <c r="E244" i="50"/>
  <c r="AQ133" i="59" a="1"/>
  <c r="AQ133" i="59"/>
  <c r="T244" i="50"/>
  <c r="O244" i="50"/>
  <c r="AK244" i="50"/>
  <c r="A244" i="50"/>
  <c r="Q244" i="50" s="1"/>
  <c r="P244" i="50" s="1"/>
  <c r="J244" i="50"/>
  <c r="I244" i="50"/>
  <c r="F244" i="50"/>
  <c r="U244" i="50" s="1"/>
  <c r="H244" i="50"/>
  <c r="G244" i="50"/>
  <c r="K244" i="50"/>
  <c r="M244" i="50"/>
  <c r="L244" i="50"/>
  <c r="N244" i="50"/>
  <c r="B244" i="50"/>
  <c r="R244" i="50" s="1"/>
  <c r="S244" i="50" s="1"/>
  <c r="AP244" i="59" a="1"/>
  <c r="AP244" i="59"/>
  <c r="E245" i="50"/>
  <c r="AQ134" i="59" a="1"/>
  <c r="AQ134" i="59"/>
  <c r="T245" i="50"/>
  <c r="O245" i="50"/>
  <c r="AK245" i="50"/>
  <c r="A245" i="50"/>
  <c r="Q245" i="50" s="1"/>
  <c r="P245" i="50" s="1"/>
  <c r="I245" i="50"/>
  <c r="M245" i="50"/>
  <c r="F245" i="50"/>
  <c r="H245" i="50"/>
  <c r="G245" i="50"/>
  <c r="L245" i="50"/>
  <c r="J245" i="50"/>
  <c r="B245" i="50"/>
  <c r="R245" i="50" s="1"/>
  <c r="S245" i="50" s="1"/>
  <c r="Z245" i="50" s="1"/>
  <c r="K245" i="50"/>
  <c r="N245" i="50"/>
  <c r="AP245" i="59" a="1"/>
  <c r="AP245" i="59"/>
  <c r="E246" i="50"/>
  <c r="AQ135" i="59" a="1"/>
  <c r="AQ135" i="59"/>
  <c r="T246" i="50"/>
  <c r="O246" i="50"/>
  <c r="AK246" i="50"/>
  <c r="I246" i="50"/>
  <c r="H246" i="50"/>
  <c r="M246" i="50"/>
  <c r="K246" i="50"/>
  <c r="N246" i="50"/>
  <c r="A246" i="50"/>
  <c r="Q246" i="50" s="1"/>
  <c r="P246" i="50" s="1"/>
  <c r="B246" i="50"/>
  <c r="R246" i="50" s="1"/>
  <c r="S246" i="50" s="1"/>
  <c r="G246" i="50"/>
  <c r="F246" i="50"/>
  <c r="AM246" i="50" s="1"/>
  <c r="J246" i="50"/>
  <c r="L246" i="50"/>
  <c r="AP246" i="59" a="1"/>
  <c r="AP246" i="59"/>
  <c r="E247" i="50"/>
  <c r="AQ136" i="59" a="1"/>
  <c r="AQ136" i="59"/>
  <c r="T247" i="50"/>
  <c r="O247" i="50"/>
  <c r="AK247" i="50"/>
  <c r="B247" i="50"/>
  <c r="R247" i="50" s="1"/>
  <c r="S247" i="50" s="1"/>
  <c r="V247" i="50" s="1"/>
  <c r="F247" i="50"/>
  <c r="G247" i="50"/>
  <c r="J247" i="50"/>
  <c r="N247" i="50"/>
  <c r="K247" i="50"/>
  <c r="I247" i="50"/>
  <c r="H247" i="50"/>
  <c r="A247" i="50"/>
  <c r="Q247" i="50" s="1"/>
  <c r="P247" i="50" s="1"/>
  <c r="M247" i="50"/>
  <c r="L247" i="50"/>
  <c r="AP247" i="59" a="1"/>
  <c r="AP247" i="59"/>
  <c r="E248" i="50"/>
  <c r="AQ137" i="59" a="1"/>
  <c r="AQ137" i="59"/>
  <c r="T248" i="50"/>
  <c r="O248" i="50"/>
  <c r="AK248" i="50"/>
  <c r="B248" i="50"/>
  <c r="R248" i="50" s="1"/>
  <c r="S248" i="50" s="1"/>
  <c r="M248" i="50"/>
  <c r="F248" i="50"/>
  <c r="U248" i="50" s="1"/>
  <c r="N248" i="50"/>
  <c r="J248" i="50"/>
  <c r="I248" i="50"/>
  <c r="H248" i="50"/>
  <c r="K248" i="50"/>
  <c r="A248" i="50"/>
  <c r="Q248" i="50" s="1"/>
  <c r="P248" i="50" s="1"/>
  <c r="G248" i="50"/>
  <c r="L248" i="50"/>
  <c r="AP248" i="59" a="1"/>
  <c r="AP248" i="59"/>
  <c r="E249" i="50"/>
  <c r="AQ138" i="59" a="1"/>
  <c r="AQ138" i="59"/>
  <c r="O249" i="50"/>
  <c r="T249" i="50"/>
  <c r="AK249" i="50"/>
  <c r="G249" i="50"/>
  <c r="F249" i="50"/>
  <c r="U249" i="50" s="1"/>
  <c r="L249" i="50"/>
  <c r="B249" i="50"/>
  <c r="R249" i="50" s="1"/>
  <c r="S249" i="50" s="1"/>
  <c r="AJ249" i="50" s="1"/>
  <c r="N249" i="50"/>
  <c r="I249" i="50"/>
  <c r="H249" i="50"/>
  <c r="K249" i="50"/>
  <c r="M249" i="50"/>
  <c r="A249" i="50"/>
  <c r="Q249" i="50" s="1"/>
  <c r="P249" i="50" s="1"/>
  <c r="J249" i="50"/>
  <c r="AP249" i="59" a="1"/>
  <c r="AP249" i="59"/>
  <c r="E250" i="50"/>
  <c r="AQ139" i="59" a="1"/>
  <c r="AQ139" i="59"/>
  <c r="T250" i="50"/>
  <c r="O250" i="50"/>
  <c r="AK250" i="50"/>
  <c r="F250" i="50"/>
  <c r="AM250" i="50" s="1"/>
  <c r="G250" i="50"/>
  <c r="B250" i="50"/>
  <c r="R250" i="50" s="1"/>
  <c r="S250" i="50" s="1"/>
  <c r="M250" i="50"/>
  <c r="L250" i="50"/>
  <c r="K250" i="50"/>
  <c r="A250" i="50"/>
  <c r="Q250" i="50" s="1"/>
  <c r="P250" i="50" s="1"/>
  <c r="J250" i="50"/>
  <c r="H250" i="50"/>
  <c r="I250" i="50"/>
  <c r="N250" i="50"/>
  <c r="AP250" i="59" a="1"/>
  <c r="AP250" i="59"/>
  <c r="E251" i="50"/>
  <c r="AQ140" i="59" a="1"/>
  <c r="AQ140" i="59"/>
  <c r="T251" i="50"/>
  <c r="O251" i="50"/>
  <c r="AK251" i="50"/>
  <c r="H251" i="50"/>
  <c r="M251" i="50"/>
  <c r="A251" i="50"/>
  <c r="Q251" i="50" s="1"/>
  <c r="P251" i="50" s="1"/>
  <c r="N251" i="50"/>
  <c r="F251" i="50"/>
  <c r="U251" i="50" s="1"/>
  <c r="K251" i="50"/>
  <c r="G251" i="50"/>
  <c r="L251" i="50"/>
  <c r="J251" i="50"/>
  <c r="B251" i="50"/>
  <c r="R251" i="50" s="1"/>
  <c r="S251" i="50" s="1"/>
  <c r="I251" i="50"/>
  <c r="AP251" i="59" a="1"/>
  <c r="AP251" i="59"/>
  <c r="E252" i="50"/>
  <c r="AQ141" i="59" a="1"/>
  <c r="AQ141" i="59"/>
  <c r="T252" i="50"/>
  <c r="O252" i="50"/>
  <c r="AK252" i="50"/>
  <c r="A252" i="50"/>
  <c r="Q252" i="50" s="1"/>
  <c r="P252" i="50" s="1"/>
  <c r="N252" i="50"/>
  <c r="J252" i="50"/>
  <c r="I252" i="50"/>
  <c r="H252" i="50"/>
  <c r="M252" i="50"/>
  <c r="B252" i="50"/>
  <c r="R252" i="50" s="1"/>
  <c r="S252" i="50" s="1"/>
  <c r="G252" i="50"/>
  <c r="K252" i="50"/>
  <c r="F252" i="50"/>
  <c r="AM252" i="50" s="1"/>
  <c r="L252" i="50"/>
  <c r="AP252" i="59" a="1"/>
  <c r="AP252" i="59"/>
  <c r="E253" i="50"/>
  <c r="AQ142" i="59" a="1"/>
  <c r="AQ142" i="59"/>
  <c r="T253" i="50"/>
  <c r="O253" i="50"/>
  <c r="AK253" i="50"/>
  <c r="A253" i="50"/>
  <c r="Q253" i="50" s="1"/>
  <c r="P253" i="50" s="1"/>
  <c r="I253" i="50"/>
  <c r="M253" i="50"/>
  <c r="F253" i="50"/>
  <c r="B253" i="50"/>
  <c r="R253" i="50" s="1"/>
  <c r="S253" i="50" s="1"/>
  <c r="N253" i="50"/>
  <c r="G253" i="50"/>
  <c r="K253" i="50"/>
  <c r="H253" i="50"/>
  <c r="J253" i="50"/>
  <c r="L253" i="50"/>
  <c r="AP253" i="59" a="1"/>
  <c r="AP253" i="59"/>
  <c r="E254" i="50"/>
  <c r="AQ143" i="59" a="1"/>
  <c r="AQ143" i="59"/>
  <c r="T254" i="50"/>
  <c r="O254" i="50"/>
  <c r="AK254" i="50"/>
  <c r="I254" i="50"/>
  <c r="F254" i="50"/>
  <c r="A254" i="50"/>
  <c r="Q254" i="50" s="1"/>
  <c r="P254" i="50" s="1"/>
  <c r="G254" i="50"/>
  <c r="H254" i="50"/>
  <c r="L254" i="50"/>
  <c r="K254" i="50"/>
  <c r="M254" i="50"/>
  <c r="N254" i="50"/>
  <c r="B254" i="50"/>
  <c r="R254" i="50" s="1"/>
  <c r="S254" i="50" s="1"/>
  <c r="J254" i="50"/>
  <c r="AP254" i="59" a="1"/>
  <c r="AP254" i="59"/>
  <c r="E255" i="50"/>
  <c r="AQ144" i="59" a="1"/>
  <c r="AQ144" i="59"/>
  <c r="T255" i="50"/>
  <c r="O255" i="50"/>
  <c r="AK255" i="50"/>
  <c r="B255" i="50"/>
  <c r="R255" i="50" s="1"/>
  <c r="S255" i="50" s="1"/>
  <c r="F255" i="50"/>
  <c r="U255" i="50" s="1"/>
  <c r="G255" i="50"/>
  <c r="J255" i="50"/>
  <c r="N255" i="50"/>
  <c r="H255" i="50"/>
  <c r="I255" i="50"/>
  <c r="A255" i="50"/>
  <c r="Q255" i="50" s="1"/>
  <c r="P255" i="50" s="1"/>
  <c r="K255" i="50"/>
  <c r="M255" i="50"/>
  <c r="L255" i="50"/>
  <c r="AP255" i="59" a="1"/>
  <c r="AP255" i="59"/>
  <c r="E256" i="50"/>
  <c r="AQ145" i="59" a="1"/>
  <c r="AQ145" i="59"/>
  <c r="T256" i="50"/>
  <c r="O256" i="50"/>
  <c r="AK256" i="50"/>
  <c r="B256" i="50"/>
  <c r="R256" i="50" s="1"/>
  <c r="S256" i="50" s="1"/>
  <c r="M256" i="50"/>
  <c r="N256" i="50"/>
  <c r="J256" i="50"/>
  <c r="I256" i="50"/>
  <c r="K256" i="50"/>
  <c r="G256" i="50"/>
  <c r="H256" i="50"/>
  <c r="L256" i="50"/>
  <c r="A256" i="50"/>
  <c r="Q256" i="50" s="1"/>
  <c r="P256" i="50" s="1"/>
  <c r="F256" i="50"/>
  <c r="AM256" i="50" s="1"/>
  <c r="AP256" i="59" a="1"/>
  <c r="AP256" i="59"/>
  <c r="E257" i="50"/>
  <c r="AQ146" i="59" a="1"/>
  <c r="AQ146" i="59"/>
  <c r="O257" i="50"/>
  <c r="T257" i="50"/>
  <c r="AK257" i="50"/>
  <c r="G257" i="50"/>
  <c r="J257" i="50"/>
  <c r="A257" i="50"/>
  <c r="Q257" i="50" s="1"/>
  <c r="P257" i="50" s="1"/>
  <c r="N257" i="50"/>
  <c r="F257" i="50"/>
  <c r="U257" i="50" s="1"/>
  <c r="L257" i="50"/>
  <c r="I257" i="50"/>
  <c r="B257" i="50"/>
  <c r="R257" i="50" s="1"/>
  <c r="S257" i="50" s="1"/>
  <c r="M257" i="50"/>
  <c r="K257" i="50"/>
  <c r="H257" i="50"/>
  <c r="AP257" i="59" a="1"/>
  <c r="AP257" i="59"/>
  <c r="E258" i="50"/>
  <c r="AQ147" i="59" a="1"/>
  <c r="AQ147" i="59"/>
  <c r="R6" i="50" a="1"/>
  <c r="R6" i="50"/>
  <c r="T258" i="50"/>
  <c r="O258" i="50"/>
  <c r="AK258" i="50"/>
  <c r="F258" i="50"/>
  <c r="U258" i="50" s="1"/>
  <c r="N258" i="50"/>
  <c r="L258" i="50"/>
  <c r="B258" i="50"/>
  <c r="R258" i="50" s="1"/>
  <c r="S258" i="50" s="1"/>
  <c r="I258" i="50"/>
  <c r="M258" i="50"/>
  <c r="J258" i="50"/>
  <c r="G258" i="50"/>
  <c r="H258" i="50"/>
  <c r="K258" i="50"/>
  <c r="A258" i="50"/>
  <c r="Q258" i="50" s="1"/>
  <c r="P258" i="50" s="1"/>
  <c r="AP258" i="59" a="1"/>
  <c r="AP258" i="59"/>
  <c r="AQ148" i="59" a="1"/>
  <c r="AQ148" i="59"/>
  <c r="AQ149" i="59" a="1"/>
  <c r="AQ149" i="59"/>
  <c r="AQ150" i="59" a="1"/>
  <c r="AQ150" i="59"/>
  <c r="AQ151" i="59" a="1"/>
  <c r="AQ151" i="59"/>
  <c r="AQ152" i="59" a="1"/>
  <c r="AQ152" i="59"/>
  <c r="AQ259" i="50"/>
  <c r="H24" i="73" s="1"/>
  <c r="H28" i="73" s="1"/>
  <c r="AQ153" i="59" a="1"/>
  <c r="AQ153" i="59"/>
  <c r="J28" i="73"/>
  <c r="AQ154" i="59" a="1"/>
  <c r="AQ154" i="59"/>
  <c r="AQ155" i="59" a="1"/>
  <c r="AQ155" i="59"/>
  <c r="AQ156" i="59" a="1"/>
  <c r="AQ156" i="59"/>
  <c r="AQ157" i="59" a="1"/>
  <c r="AQ157" i="59"/>
  <c r="AQ158" i="59" a="1"/>
  <c r="AQ158" i="59"/>
  <c r="AQ159" i="59" a="1"/>
  <c r="AQ159" i="59"/>
  <c r="AQ160" i="59" a="1"/>
  <c r="AQ160" i="59"/>
  <c r="AQ161" i="59" a="1"/>
  <c r="AQ161" i="59"/>
  <c r="AQ162" i="59" a="1"/>
  <c r="AQ162" i="59"/>
  <c r="AQ163" i="59" a="1"/>
  <c r="AQ163" i="59"/>
  <c r="AQ164" i="59" a="1"/>
  <c r="AQ164" i="59"/>
  <c r="AQ165" i="59" a="1"/>
  <c r="AQ165" i="59"/>
  <c r="AQ166" i="59" a="1"/>
  <c r="AQ166" i="59"/>
  <c r="AQ167" i="59" a="1"/>
  <c r="AQ167" i="59"/>
  <c r="AQ168" i="59" a="1"/>
  <c r="AQ168" i="59"/>
  <c r="AQ169" i="59" a="1"/>
  <c r="AQ169" i="59"/>
  <c r="AQ170" i="59" a="1"/>
  <c r="AQ170" i="59"/>
  <c r="AQ171" i="59" a="1"/>
  <c r="AQ171" i="59"/>
  <c r="AQ172" i="59" a="1"/>
  <c r="AQ172" i="59"/>
  <c r="AQ173" i="59" a="1"/>
  <c r="AQ173" i="59"/>
  <c r="AQ174" i="59" a="1"/>
  <c r="AQ174" i="59"/>
  <c r="AQ175" i="59" a="1"/>
  <c r="AQ175" i="59"/>
  <c r="AQ176" i="59" a="1"/>
  <c r="AQ176" i="59"/>
  <c r="AQ177" i="59" a="1"/>
  <c r="AQ177" i="59"/>
  <c r="AQ178" i="59" a="1"/>
  <c r="AQ178" i="59"/>
  <c r="AQ179" i="59" a="1"/>
  <c r="AQ179" i="59"/>
  <c r="AQ180" i="59" a="1"/>
  <c r="AQ180" i="59"/>
  <c r="AQ181" i="59" a="1"/>
  <c r="AQ181" i="59"/>
  <c r="AQ182" i="59" a="1"/>
  <c r="AQ182" i="59"/>
  <c r="AQ183" i="59" a="1"/>
  <c r="AQ183" i="59"/>
  <c r="AQ184" i="59" a="1"/>
  <c r="AQ184" i="59"/>
  <c r="AQ185" i="59" a="1"/>
  <c r="AQ185" i="59"/>
  <c r="AQ186" i="59" a="1"/>
  <c r="AQ186" i="59"/>
  <c r="AQ187" i="59" a="1"/>
  <c r="AQ187" i="59"/>
  <c r="AQ188" i="59" a="1"/>
  <c r="AQ188" i="59"/>
  <c r="AQ189" i="59" a="1"/>
  <c r="AQ189" i="59"/>
  <c r="AQ190" i="59" a="1"/>
  <c r="AQ190" i="59"/>
  <c r="AQ191" i="59" a="1"/>
  <c r="AQ191" i="59"/>
  <c r="AQ192" i="59" a="1"/>
  <c r="AQ192" i="59"/>
  <c r="AQ193" i="59" a="1"/>
  <c r="AQ193" i="59"/>
  <c r="AQ194" i="59" a="1"/>
  <c r="AQ194" i="59"/>
  <c r="AQ195" i="59" a="1"/>
  <c r="AQ195" i="59"/>
  <c r="AQ196" i="59" a="1"/>
  <c r="AQ196" i="59"/>
  <c r="AQ197" i="59" a="1"/>
  <c r="AQ197" i="59"/>
  <c r="AQ198" i="59" a="1"/>
  <c r="AQ198" i="59"/>
  <c r="AQ199" i="59" a="1"/>
  <c r="AQ199" i="59"/>
  <c r="AQ200" i="59" a="1"/>
  <c r="AQ200" i="59"/>
  <c r="AQ201" i="59" a="1"/>
  <c r="AQ201" i="59"/>
  <c r="AQ202" i="59" a="1"/>
  <c r="AQ202" i="59"/>
  <c r="AQ203" i="59" a="1"/>
  <c r="AQ203" i="59"/>
  <c r="AQ204" i="59" a="1"/>
  <c r="AQ204" i="59"/>
  <c r="AQ205" i="59" a="1"/>
  <c r="AQ205" i="59"/>
  <c r="AQ206" i="59" a="1"/>
  <c r="AQ206" i="59"/>
  <c r="AQ207" i="59" a="1"/>
  <c r="AQ207" i="59"/>
  <c r="AQ208" i="59" a="1"/>
  <c r="AQ208" i="59"/>
  <c r="AQ209" i="59" a="1"/>
  <c r="AQ209" i="59"/>
  <c r="AQ210" i="59" a="1"/>
  <c r="AQ210" i="59"/>
  <c r="AQ211" i="59" a="1"/>
  <c r="AQ211" i="59"/>
  <c r="AQ212" i="59" a="1"/>
  <c r="AQ212" i="59"/>
  <c r="AQ213" i="59" a="1"/>
  <c r="AQ213" i="59"/>
  <c r="AQ214" i="59" a="1"/>
  <c r="AQ214" i="59"/>
  <c r="AQ215" i="59" a="1"/>
  <c r="AQ215" i="59"/>
  <c r="AQ216" i="59" a="1"/>
  <c r="AQ216" i="59"/>
  <c r="AQ217" i="59" a="1"/>
  <c r="AQ217" i="59"/>
  <c r="AQ218" i="59" a="1"/>
  <c r="AQ218" i="59"/>
  <c r="AQ219" i="59" a="1"/>
  <c r="AQ219" i="59"/>
  <c r="AQ220" i="59" a="1"/>
  <c r="AQ220" i="59"/>
  <c r="AQ221" i="59" a="1"/>
  <c r="AQ221" i="59"/>
  <c r="AQ222" i="59" a="1"/>
  <c r="AQ222" i="59"/>
  <c r="AQ223" i="59" a="1"/>
  <c r="AQ223" i="59"/>
  <c r="AQ224" i="59" a="1"/>
  <c r="AQ224" i="59"/>
  <c r="AQ225" i="59" a="1"/>
  <c r="AQ225" i="59"/>
  <c r="AQ226" i="59" a="1"/>
  <c r="AQ226" i="59"/>
  <c r="AQ227" i="59" a="1"/>
  <c r="AQ227" i="59"/>
  <c r="AQ228" i="59" a="1"/>
  <c r="AQ228" i="59"/>
  <c r="AQ229" i="59" a="1"/>
  <c r="AQ229" i="59"/>
  <c r="AQ230" i="59" a="1"/>
  <c r="AQ230" i="59"/>
  <c r="AQ231" i="59" a="1"/>
  <c r="AQ231" i="59"/>
  <c r="AQ232" i="59" a="1"/>
  <c r="AQ232" i="59"/>
  <c r="AQ233" i="59" a="1"/>
  <c r="AQ233" i="59"/>
  <c r="AQ234" i="59" a="1"/>
  <c r="AQ234" i="59"/>
  <c r="AQ235" i="59" a="1"/>
  <c r="AQ235" i="59"/>
  <c r="AQ236" i="59" a="1"/>
  <c r="AQ236" i="59"/>
  <c r="AQ237" i="59" a="1"/>
  <c r="AQ237" i="59"/>
  <c r="AQ238" i="59" a="1"/>
  <c r="AQ238" i="59"/>
  <c r="AQ239" i="59" a="1"/>
  <c r="AQ239" i="59"/>
  <c r="AQ240" i="59" a="1"/>
  <c r="AQ240" i="59"/>
  <c r="AQ241" i="59" a="1"/>
  <c r="AQ241" i="59"/>
  <c r="AQ242" i="59" a="1"/>
  <c r="AQ242" i="59"/>
  <c r="AQ243" i="59" a="1"/>
  <c r="AQ243" i="59"/>
  <c r="AQ244" i="59" a="1"/>
  <c r="AQ244" i="59"/>
  <c r="AQ245" i="59" a="1"/>
  <c r="AQ245" i="59"/>
  <c r="AQ246" i="59" a="1"/>
  <c r="AQ246" i="59"/>
  <c r="AQ247" i="59" a="1"/>
  <c r="AQ247" i="59"/>
  <c r="AQ248" i="59" a="1"/>
  <c r="AQ248" i="59"/>
  <c r="AQ249" i="59" a="1"/>
  <c r="AQ249" i="59"/>
  <c r="AQ250" i="59" a="1"/>
  <c r="AQ250" i="59"/>
  <c r="AQ251" i="59" a="1"/>
  <c r="AQ251" i="59"/>
  <c r="AQ252" i="59" a="1"/>
  <c r="AQ252" i="59"/>
  <c r="AQ253" i="59" a="1"/>
  <c r="AQ253" i="59"/>
  <c r="AQ254" i="59" a="1"/>
  <c r="AQ254" i="59"/>
  <c r="AQ255" i="59" a="1"/>
  <c r="AQ255" i="59"/>
  <c r="AQ256" i="59" a="1"/>
  <c r="AQ256" i="59"/>
  <c r="AQ257" i="59" a="1"/>
  <c r="AQ257" i="59"/>
  <c r="AQ258" i="59" a="1"/>
  <c r="AQ258" i="59"/>
  <c r="D23" i="105"/>
  <c r="AF93" i="11"/>
  <c r="G83" i="22"/>
  <c r="AC93" i="11"/>
  <c r="H83" i="22"/>
  <c r="AK11" i="11" a="1"/>
  <c r="AK11" i="11" s="1"/>
  <c r="AQ93" i="11"/>
  <c r="J25" i="22"/>
  <c r="AX34" i="22" s="1"/>
  <c r="I83" i="22"/>
  <c r="BG13" i="22" s="1"/>
  <c r="BG9" i="22"/>
  <c r="J83" i="22"/>
  <c r="AX13" i="22" s="1"/>
  <c r="AL10" i="22"/>
  <c r="D45" i="36" s="1"/>
  <c r="D84" i="36" s="1"/>
  <c r="D65" i="36"/>
  <c r="C49" i="36"/>
  <c r="C88" i="36" s="1"/>
  <c r="D48" i="36"/>
  <c r="D87" i="36" s="1"/>
  <c r="C45" i="36"/>
  <c r="C84" i="36" s="1"/>
  <c r="D47" i="36"/>
  <c r="D86" i="36" s="1"/>
  <c r="C43" i="36"/>
  <c r="C82" i="36" s="1"/>
  <c r="C46" i="36"/>
  <c r="C85" i="36" s="1"/>
  <c r="C47" i="36"/>
  <c r="C86" i="36" s="1"/>
  <c r="B125" i="72"/>
  <c r="AW113" i="22"/>
  <c r="H172" i="22"/>
  <c r="H173" i="22"/>
  <c r="G174" i="22"/>
  <c r="H176" i="22"/>
  <c r="G176" i="22"/>
  <c r="G173" i="22"/>
  <c r="G172" i="22"/>
  <c r="G175" i="22"/>
  <c r="AJ14" i="63"/>
  <c r="AO10" i="63"/>
  <c r="AI14" i="63"/>
  <c r="AN10" i="63" a="1"/>
  <c r="AN10" i="63" s="1"/>
  <c r="F14" i="63"/>
  <c r="E172" i="22"/>
  <c r="C163" i="36" s="1"/>
  <c r="C203" i="36" s="1"/>
  <c r="E176" i="22"/>
  <c r="C167" i="36" s="1"/>
  <c r="C207" i="36" s="1"/>
  <c r="E173" i="22"/>
  <c r="C164" i="36" s="1"/>
  <c r="C204" i="36" s="1"/>
  <c r="E175" i="22"/>
  <c r="C166" i="36"/>
  <c r="C206" i="36"/>
  <c r="E174" i="22"/>
  <c r="C165" i="36"/>
  <c r="C205" i="36" s="1"/>
  <c r="J172" i="22"/>
  <c r="F172" i="22"/>
  <c r="D163" i="36" s="1"/>
  <c r="J176" i="22"/>
  <c r="F176" i="22"/>
  <c r="D167" i="36" s="1"/>
  <c r="D207" i="36" s="1"/>
  <c r="I172" i="22"/>
  <c r="Q14" i="63"/>
  <c r="I175" i="22"/>
  <c r="AQ14" i="63"/>
  <c r="I173" i="22"/>
  <c r="I174" i="22"/>
  <c r="I176" i="22"/>
  <c r="AE14" i="63"/>
  <c r="AD14" i="63"/>
  <c r="G14" i="63"/>
  <c r="V14" i="63"/>
  <c r="H174" i="22"/>
  <c r="F174" i="22"/>
  <c r="D165" i="36"/>
  <c r="D205" i="36" s="1"/>
  <c r="W14" i="63"/>
  <c r="J175" i="22"/>
  <c r="J174" i="22"/>
  <c r="F175" i="22"/>
  <c r="D166" i="36" s="1"/>
  <c r="D206" i="36" s="1"/>
  <c r="H175" i="22"/>
  <c r="T172" i="22"/>
  <c r="AD172" i="22"/>
  <c r="D13" i="105"/>
  <c r="D14" i="105"/>
  <c r="AB10" i="67"/>
  <c r="D183" i="36"/>
  <c r="D203" i="36"/>
  <c r="H183" i="36"/>
  <c r="G25" i="63" l="1"/>
  <c r="V25" i="63" s="1"/>
  <c r="K168" i="36"/>
  <c r="L168" i="36" s="1"/>
  <c r="K170" i="36"/>
  <c r="L170" i="36" s="1"/>
  <c r="K166" i="36"/>
  <c r="K164" i="36"/>
  <c r="T5" i="63"/>
  <c r="AE256" i="63"/>
  <c r="AD256" i="63"/>
  <c r="AD248" i="63"/>
  <c r="AE248" i="63"/>
  <c r="AE240" i="63"/>
  <c r="AD240" i="63"/>
  <c r="AE224" i="63"/>
  <c r="AD224" i="63"/>
  <c r="AD216" i="63"/>
  <c r="AE216" i="63"/>
  <c r="AE208" i="63"/>
  <c r="AD208" i="63"/>
  <c r="AE192" i="63"/>
  <c r="AD192" i="63"/>
  <c r="AD184" i="63"/>
  <c r="AE184" i="63"/>
  <c r="AE176" i="63"/>
  <c r="AD176" i="63"/>
  <c r="AE160" i="63"/>
  <c r="AD160" i="63"/>
  <c r="AD152" i="63"/>
  <c r="AE152" i="63"/>
  <c r="AE144" i="63"/>
  <c r="AD144" i="63"/>
  <c r="AE128" i="63"/>
  <c r="AD128" i="63"/>
  <c r="AD120" i="63"/>
  <c r="AE120" i="63"/>
  <c r="AE112" i="63"/>
  <c r="AD112" i="63"/>
  <c r="AD96" i="63"/>
  <c r="AE96" i="63"/>
  <c r="AE88" i="63"/>
  <c r="AD88" i="63"/>
  <c r="AE80" i="63"/>
  <c r="AD80" i="63"/>
  <c r="AE64" i="63"/>
  <c r="AD64" i="63"/>
  <c r="AD56" i="63"/>
  <c r="AE56" i="63"/>
  <c r="AE48" i="63"/>
  <c r="AD48" i="63"/>
  <c r="AD32" i="63"/>
  <c r="AE32" i="63"/>
  <c r="AD24" i="63"/>
  <c r="AE24" i="63"/>
  <c r="AN11" i="63" a="1"/>
  <c r="AN11" i="63" s="1"/>
  <c r="B12" i="65"/>
  <c r="AO11" i="63" a="1"/>
  <c r="AO11" i="63" s="1"/>
  <c r="AM235" i="50"/>
  <c r="Z139" i="50"/>
  <c r="V34" i="11"/>
  <c r="F33" i="22"/>
  <c r="AL6" i="22" s="1"/>
  <c r="D41" i="36" s="1"/>
  <c r="D80" i="36" s="1"/>
  <c r="U34" i="11"/>
  <c r="H33" i="22" s="1"/>
  <c r="S233" i="52"/>
  <c r="S105" i="52"/>
  <c r="S225" i="52"/>
  <c r="S97" i="52"/>
  <c r="R153" i="52"/>
  <c r="N41" i="52"/>
  <c r="U41" i="52" s="1"/>
  <c r="U19" i="52"/>
  <c r="R68" i="52"/>
  <c r="R132" i="52"/>
  <c r="R196" i="52"/>
  <c r="R66" i="52"/>
  <c r="R130" i="52"/>
  <c r="R194" i="52"/>
  <c r="R252" i="52"/>
  <c r="R92" i="52"/>
  <c r="R156" i="52"/>
  <c r="R220" i="52"/>
  <c r="R74" i="52"/>
  <c r="R138" i="52"/>
  <c r="R202" i="52"/>
  <c r="N84" i="52"/>
  <c r="U84" i="52" s="1"/>
  <c r="N124" i="52"/>
  <c r="U124" i="52" s="1"/>
  <c r="N44" i="52"/>
  <c r="U44" i="52" s="1"/>
  <c r="N170" i="52"/>
  <c r="U170" i="52" s="1"/>
  <c r="U16" i="52"/>
  <c r="N68" i="52"/>
  <c r="U68" i="52" s="1"/>
  <c r="N186" i="52"/>
  <c r="U186" i="52" s="1"/>
  <c r="N194" i="52"/>
  <c r="U194" i="52" s="1"/>
  <c r="K109" i="36"/>
  <c r="L109" i="36" s="1"/>
  <c r="R241" i="52"/>
  <c r="R113" i="52"/>
  <c r="R201" i="52"/>
  <c r="R73" i="52"/>
  <c r="R193" i="52"/>
  <c r="R65" i="52"/>
  <c r="S153" i="52"/>
  <c r="N73" i="52"/>
  <c r="U73" i="52" s="1"/>
  <c r="N177" i="52"/>
  <c r="U177" i="52" s="1"/>
  <c r="N201" i="52"/>
  <c r="U201" i="52" s="1"/>
  <c r="S132" i="52"/>
  <c r="S196" i="52"/>
  <c r="S66" i="52"/>
  <c r="S130" i="52"/>
  <c r="S252" i="52"/>
  <c r="S92" i="52"/>
  <c r="S156" i="52"/>
  <c r="S220" i="52"/>
  <c r="S74" i="52"/>
  <c r="S138" i="52"/>
  <c r="S202" i="52"/>
  <c r="N82" i="52"/>
  <c r="U82" i="52" s="1"/>
  <c r="N180" i="52"/>
  <c r="U180" i="52" s="1"/>
  <c r="N36" i="52"/>
  <c r="U36" i="52" s="1"/>
  <c r="N204" i="52"/>
  <c r="U204" i="52" s="1"/>
  <c r="U26" i="52"/>
  <c r="S241" i="52"/>
  <c r="S113" i="52"/>
  <c r="S193" i="52"/>
  <c r="R249" i="52"/>
  <c r="R121" i="52"/>
  <c r="N129" i="52"/>
  <c r="U129" i="52" s="1"/>
  <c r="N257" i="52"/>
  <c r="U257" i="52" s="1"/>
  <c r="R84" i="52"/>
  <c r="R148" i="52"/>
  <c r="R212" i="52"/>
  <c r="R82" i="52"/>
  <c r="R146" i="52"/>
  <c r="R210" i="52"/>
  <c r="R44" i="52"/>
  <c r="R108" i="52"/>
  <c r="R172" i="52"/>
  <c r="R236" i="52"/>
  <c r="R90" i="52"/>
  <c r="R154" i="52"/>
  <c r="R218" i="52"/>
  <c r="N178" i="52"/>
  <c r="U178" i="52" s="1"/>
  <c r="N76" i="52"/>
  <c r="U76" i="52" s="1"/>
  <c r="N42" i="52"/>
  <c r="U42" i="52" s="1"/>
  <c r="N164" i="52"/>
  <c r="U164" i="52" s="1"/>
  <c r="R209" i="52"/>
  <c r="R81" i="52"/>
  <c r="R169" i="52"/>
  <c r="R41" i="52"/>
  <c r="R161" i="52"/>
  <c r="N49" i="52"/>
  <c r="U49" i="52" s="1"/>
  <c r="N81" i="52"/>
  <c r="U81" i="52" s="1"/>
  <c r="N185" i="52"/>
  <c r="U185" i="52" s="1"/>
  <c r="N209" i="52"/>
  <c r="U209" i="52" s="1"/>
  <c r="S148" i="52"/>
  <c r="S146" i="52"/>
  <c r="S108" i="52"/>
  <c r="S236" i="52"/>
  <c r="S90" i="52"/>
  <c r="S154" i="52"/>
  <c r="S218" i="52"/>
  <c r="N50" i="52"/>
  <c r="U50" i="52" s="1"/>
  <c r="N188" i="52"/>
  <c r="U188" i="52" s="1"/>
  <c r="N98" i="52"/>
  <c r="U98" i="52" s="1"/>
  <c r="N52" i="52"/>
  <c r="U52" i="52" s="1"/>
  <c r="N234" i="52"/>
  <c r="U234" i="52" s="1"/>
  <c r="N122" i="52"/>
  <c r="U122" i="52" s="1"/>
  <c r="N228" i="52"/>
  <c r="U228" i="52" s="1"/>
  <c r="N100" i="52"/>
  <c r="U100" i="52" s="1"/>
  <c r="U11" i="52"/>
  <c r="S161" i="52"/>
  <c r="R217" i="52"/>
  <c r="R89" i="52"/>
  <c r="R36" i="52"/>
  <c r="R100" i="52"/>
  <c r="R164" i="52"/>
  <c r="R228" i="52"/>
  <c r="R34" i="52"/>
  <c r="R98" i="52"/>
  <c r="R162" i="52"/>
  <c r="R226" i="52"/>
  <c r="R60" i="52"/>
  <c r="R124" i="52"/>
  <c r="R188" i="52"/>
  <c r="R42" i="52"/>
  <c r="R106" i="52"/>
  <c r="R170" i="52"/>
  <c r="R234" i="52"/>
  <c r="U20" i="52"/>
  <c r="N60" i="52"/>
  <c r="U60" i="52" s="1"/>
  <c r="N226" i="52"/>
  <c r="U226" i="52" s="1"/>
  <c r="R177" i="52"/>
  <c r="R49" i="52"/>
  <c r="R137" i="52"/>
  <c r="R257" i="52"/>
  <c r="R129" i="52"/>
  <c r="S217" i="52"/>
  <c r="S89" i="52"/>
  <c r="U17" i="52"/>
  <c r="N57" i="52"/>
  <c r="U57" i="52" s="1"/>
  <c r="N137" i="52"/>
  <c r="U137" i="52" s="1"/>
  <c r="S162" i="52"/>
  <c r="S106" i="52"/>
  <c r="N242" i="52"/>
  <c r="U242" i="52" s="1"/>
  <c r="N244" i="52"/>
  <c r="U244" i="52" s="1"/>
  <c r="N250" i="52"/>
  <c r="U250" i="52" s="1"/>
  <c r="N140" i="52"/>
  <c r="U140" i="52" s="1"/>
  <c r="U27" i="52"/>
  <c r="R116" i="52"/>
  <c r="U25" i="52"/>
  <c r="U28" i="52"/>
  <c r="U14" i="52"/>
  <c r="U24" i="52"/>
  <c r="F154" i="22"/>
  <c r="D104" i="36" s="1"/>
  <c r="D144" i="36" s="1"/>
  <c r="U22" i="52"/>
  <c r="K105" i="36"/>
  <c r="K107" i="36"/>
  <c r="L107" i="36" s="1"/>
  <c r="K101" i="36"/>
  <c r="L101" i="36" s="1"/>
  <c r="U23" i="52"/>
  <c r="U12" i="52"/>
  <c r="U15" i="52"/>
  <c r="R14" i="42"/>
  <c r="W14" i="42" s="1"/>
  <c r="T14" i="42"/>
  <c r="U14" i="42" s="1"/>
  <c r="R64" i="57"/>
  <c r="AQ64" i="57"/>
  <c r="T13" i="42"/>
  <c r="U13" i="42" s="1"/>
  <c r="R13" i="42"/>
  <c r="W13" i="42" s="1"/>
  <c r="AQ79" i="57"/>
  <c r="R12" i="42"/>
  <c r="W12" i="42" s="1"/>
  <c r="M3" i="42"/>
  <c r="T12" i="42"/>
  <c r="U12" i="42" s="1"/>
  <c r="Y12" i="63"/>
  <c r="J173" i="22" s="1"/>
  <c r="R258" i="63"/>
  <c r="F173" i="22"/>
  <c r="D164" i="36" s="1"/>
  <c r="D204" i="36" s="1"/>
  <c r="L154" i="22"/>
  <c r="Q198" i="57"/>
  <c r="T198" i="57" s="1"/>
  <c r="U258" i="52"/>
  <c r="F31" i="36" s="1"/>
  <c r="R258" i="52" a="1"/>
  <c r="R258" i="52" s="1"/>
  <c r="F25" i="36" s="1"/>
  <c r="S258" i="52" a="1"/>
  <c r="S258" i="52" s="1"/>
  <c r="F28" i="36" s="1"/>
  <c r="B12" i="53"/>
  <c r="AK11" i="52" a="1"/>
  <c r="AK11" i="52" s="1"/>
  <c r="AJ11" i="52" a="1"/>
  <c r="AJ11" i="52" s="1"/>
  <c r="F153" i="22"/>
  <c r="D103" i="36" s="1"/>
  <c r="D143" i="36" s="1"/>
  <c r="AQ29" i="11"/>
  <c r="J47" i="22"/>
  <c r="AX44" i="22" s="1"/>
  <c r="AQ31" i="11"/>
  <c r="J55" i="22"/>
  <c r="AX151" i="22" s="1"/>
  <c r="AM12" i="11" a="1"/>
  <c r="AM12" i="11" s="1"/>
  <c r="U101" i="11"/>
  <c r="U122" i="11"/>
  <c r="V229" i="11"/>
  <c r="V87" i="11"/>
  <c r="V168" i="11"/>
  <c r="V143" i="11"/>
  <c r="V230" i="11"/>
  <c r="U194" i="11"/>
  <c r="AL7" i="22"/>
  <c r="D42" i="36" s="1"/>
  <c r="D81" i="36" s="1"/>
  <c r="U46" i="11"/>
  <c r="U82" i="11"/>
  <c r="V74" i="11"/>
  <c r="AE28" i="57"/>
  <c r="AL8" i="22"/>
  <c r="D43" i="36" s="1"/>
  <c r="D82" i="36" s="1"/>
  <c r="U242" i="11"/>
  <c r="U167" i="11"/>
  <c r="AK66" i="57"/>
  <c r="AQ66" i="57"/>
  <c r="AE79" i="57"/>
  <c r="AD79" i="57"/>
  <c r="AQ198" i="57"/>
  <c r="Q79" i="57"/>
  <c r="T79" i="57" s="1"/>
  <c r="V28" i="11"/>
  <c r="U28" i="11"/>
  <c r="X28" i="11" s="1"/>
  <c r="AQ28" i="11" s="1"/>
  <c r="X27" i="11"/>
  <c r="AQ27" i="11" s="1"/>
  <c r="U27" i="11"/>
  <c r="AM37" i="50"/>
  <c r="U26" i="11"/>
  <c r="X26" i="11" s="1"/>
  <c r="AQ26" i="11" s="1"/>
  <c r="V25" i="11"/>
  <c r="X25" i="11" s="1"/>
  <c r="AQ25" i="11" s="1"/>
  <c r="K6" i="46"/>
  <c r="V24" i="11"/>
  <c r="U24" i="11"/>
  <c r="V23" i="11"/>
  <c r="U23" i="11"/>
  <c r="X22" i="11"/>
  <c r="AQ22" i="11" s="1"/>
  <c r="U22" i="11"/>
  <c r="U59" i="50"/>
  <c r="AD186" i="57"/>
  <c r="AC246" i="57"/>
  <c r="AE137" i="57"/>
  <c r="AQ137" i="57"/>
  <c r="AM87" i="50"/>
  <c r="Z180" i="50"/>
  <c r="V21" i="11"/>
  <c r="AK238" i="57"/>
  <c r="U83" i="50"/>
  <c r="AD83" i="50" s="1"/>
  <c r="U21" i="11"/>
  <c r="X21" i="11" s="1"/>
  <c r="AQ21" i="11" s="1"/>
  <c r="C213" i="50"/>
  <c r="Q246" i="57"/>
  <c r="T246" i="57" s="1"/>
  <c r="AM133" i="50"/>
  <c r="AJ239" i="50"/>
  <c r="U193" i="50"/>
  <c r="AM193" i="50"/>
  <c r="U163" i="50"/>
  <c r="AM85" i="50"/>
  <c r="U85" i="50"/>
  <c r="AD85" i="50" s="1"/>
  <c r="E12" i="32"/>
  <c r="AL12" i="11" a="1"/>
  <c r="AL12" i="11" s="1"/>
  <c r="AJ25" i="57"/>
  <c r="AQ25" i="57"/>
  <c r="AC104" i="57"/>
  <c r="AK9" i="22"/>
  <c r="C44" i="36" s="1"/>
  <c r="C83" i="36" s="1"/>
  <c r="AD22" i="50"/>
  <c r="V20" i="11"/>
  <c r="U20" i="11"/>
  <c r="AK12" i="11" a="1"/>
  <c r="AK12" i="11" s="1"/>
  <c r="AK13" i="11" a="1"/>
  <c r="AK13" i="11" s="1"/>
  <c r="AE252" i="57"/>
  <c r="AM140" i="50"/>
  <c r="AE155" i="57"/>
  <c r="Q19" i="11"/>
  <c r="X19" i="11" s="1"/>
  <c r="AQ19" i="11" s="1"/>
  <c r="AM143" i="50"/>
  <c r="C103" i="50"/>
  <c r="AD201" i="50"/>
  <c r="AG201" i="50" s="1"/>
  <c r="AH201" i="50" s="1"/>
  <c r="AI201" i="50" s="1"/>
  <c r="Q176" i="57"/>
  <c r="T176" i="57" s="1"/>
  <c r="AM132" i="50"/>
  <c r="AD176" i="57"/>
  <c r="AQ163" i="57"/>
  <c r="AD57" i="50"/>
  <c r="L6" i="71"/>
  <c r="AQ176" i="57"/>
  <c r="V19" i="11"/>
  <c r="AM159" i="50"/>
  <c r="AD12" i="50"/>
  <c r="AG12" i="50" s="1"/>
  <c r="AH12" i="50" s="1"/>
  <c r="AI12" i="50" s="1"/>
  <c r="AD172" i="57"/>
  <c r="AC164" i="57"/>
  <c r="U99" i="50"/>
  <c r="AD99" i="50" s="1"/>
  <c r="AG99" i="50" s="1"/>
  <c r="AH99" i="50" s="1"/>
  <c r="AI99" i="50" s="1"/>
  <c r="AM97" i="50"/>
  <c r="AM66" i="50"/>
  <c r="AE238" i="57"/>
  <c r="U18" i="11"/>
  <c r="X18" i="11" s="1"/>
  <c r="AQ18" i="11" s="1"/>
  <c r="AD227" i="50"/>
  <c r="AG227" i="50" s="1"/>
  <c r="AH227" i="50" s="1"/>
  <c r="AI227" i="50" s="1"/>
  <c r="AQ238" i="57"/>
  <c r="AD218" i="57"/>
  <c r="U134" i="50"/>
  <c r="AD134" i="50" s="1"/>
  <c r="AG134" i="50" s="1"/>
  <c r="AH134" i="50" s="1"/>
  <c r="AI134" i="50" s="1"/>
  <c r="Q164" i="57"/>
  <c r="T164" i="57" s="1"/>
  <c r="AM71" i="50"/>
  <c r="Q238" i="57"/>
  <c r="T238" i="57" s="1"/>
  <c r="AM22" i="50"/>
  <c r="U167" i="50"/>
  <c r="AM208" i="50"/>
  <c r="V198" i="50"/>
  <c r="AM226" i="50"/>
  <c r="U190" i="50"/>
  <c r="AM155" i="50"/>
  <c r="AC79" i="57"/>
  <c r="AM14" i="50"/>
  <c r="V259" i="11" a="1"/>
  <c r="V259" i="11" s="1"/>
  <c r="D28" i="36" s="1"/>
  <c r="AM257" i="50"/>
  <c r="AD244" i="50"/>
  <c r="AG244" i="50" s="1"/>
  <c r="AH244" i="50" s="1"/>
  <c r="AI244" i="50" s="1"/>
  <c r="U187" i="50"/>
  <c r="AD187" i="50" s="1"/>
  <c r="AG187" i="50" s="1"/>
  <c r="AH187" i="50" s="1"/>
  <c r="AI187" i="50" s="1"/>
  <c r="AM187" i="50"/>
  <c r="AM203" i="50"/>
  <c r="U203" i="50"/>
  <c r="AD203" i="50" s="1"/>
  <c r="AG203" i="50" s="1"/>
  <c r="AH203" i="50" s="1"/>
  <c r="AI203" i="50" s="1"/>
  <c r="W20" i="50"/>
  <c r="X20" i="50" s="1"/>
  <c r="C20" i="50"/>
  <c r="R21" i="57"/>
  <c r="X21" i="57" s="1"/>
  <c r="Q21" i="57"/>
  <c r="T21" i="57" s="1"/>
  <c r="AJ21" i="57"/>
  <c r="AQ76" i="57"/>
  <c r="AJ76" i="57"/>
  <c r="AM244" i="50"/>
  <c r="AM172" i="50"/>
  <c r="AE246" i="57"/>
  <c r="AK246" i="57"/>
  <c r="AD240" i="57"/>
  <c r="R240" i="57"/>
  <c r="AM151" i="50"/>
  <c r="U151" i="50"/>
  <c r="AD151" i="50" s="1"/>
  <c r="AG151" i="50" s="1"/>
  <c r="AH151" i="50" s="1"/>
  <c r="AI151" i="50" s="1"/>
  <c r="AC174" i="57"/>
  <c r="AQ174" i="57"/>
  <c r="C92" i="50"/>
  <c r="Z92" i="50"/>
  <c r="AK26" i="57"/>
  <c r="AC26" i="57"/>
  <c r="AJ26" i="57"/>
  <c r="AD257" i="57"/>
  <c r="Q257" i="57"/>
  <c r="T257" i="57" s="1"/>
  <c r="V209" i="50"/>
  <c r="AM209" i="50"/>
  <c r="AK257" i="57"/>
  <c r="C180" i="50"/>
  <c r="V180" i="50"/>
  <c r="W124" i="50"/>
  <c r="X124" i="50" s="1"/>
  <c r="AM98" i="50"/>
  <c r="AJ151" i="57"/>
  <c r="Q17" i="11"/>
  <c r="AJ238" i="57"/>
  <c r="AM136" i="50"/>
  <c r="AJ184" i="57"/>
  <c r="U113" i="50"/>
  <c r="AD113" i="50" s="1"/>
  <c r="AE164" i="57"/>
  <c r="AK164" i="57"/>
  <c r="AD103" i="50"/>
  <c r="AG103" i="50" s="1"/>
  <c r="AH103" i="50" s="1"/>
  <c r="AI103" i="50" s="1"/>
  <c r="AE144" i="57"/>
  <c r="AC83" i="57"/>
  <c r="U168" i="50"/>
  <c r="AQ184" i="57"/>
  <c r="AD74" i="50"/>
  <c r="AG74" i="50" s="1"/>
  <c r="AH74" i="50" s="1"/>
  <c r="AI74" i="50" s="1"/>
  <c r="U73" i="50"/>
  <c r="AD73" i="50" s="1"/>
  <c r="U137" i="50"/>
  <c r="AD137" i="50" s="1"/>
  <c r="AG137" i="50" s="1"/>
  <c r="AH137" i="50" s="1"/>
  <c r="AI137" i="50" s="1"/>
  <c r="U77" i="50"/>
  <c r="Z71" i="50"/>
  <c r="AD143" i="50"/>
  <c r="AG143" i="50" s="1"/>
  <c r="AH143" i="50" s="1"/>
  <c r="AI143" i="50" s="1"/>
  <c r="AJ194" i="57"/>
  <c r="W130" i="50"/>
  <c r="X130" i="50" s="1"/>
  <c r="AE176" i="57"/>
  <c r="AK176" i="57"/>
  <c r="W103" i="50"/>
  <c r="X103" i="50" s="1"/>
  <c r="AJ124" i="57"/>
  <c r="AM48" i="50"/>
  <c r="V27" i="50"/>
  <c r="AL9" i="22"/>
  <c r="D44" i="36" s="1"/>
  <c r="D83" i="36" s="1"/>
  <c r="W119" i="50"/>
  <c r="X119" i="50" s="1"/>
  <c r="AM41" i="50"/>
  <c r="AQ173" i="57"/>
  <c r="AJ173" i="57"/>
  <c r="AE173" i="57"/>
  <c r="R173" i="57"/>
  <c r="Q173" i="57"/>
  <c r="T173" i="57" s="1"/>
  <c r="AD197" i="57"/>
  <c r="AK197" i="57"/>
  <c r="AJ197" i="57"/>
  <c r="R38" i="57"/>
  <c r="AD38" i="57"/>
  <c r="AQ38" i="57"/>
  <c r="C239" i="50"/>
  <c r="W239" i="50"/>
  <c r="X239" i="50" s="1"/>
  <c r="U182" i="50"/>
  <c r="AD182" i="50" s="1"/>
  <c r="AG182" i="50" s="1"/>
  <c r="AH182" i="50" s="1"/>
  <c r="AI182" i="50" s="1"/>
  <c r="AM182" i="50"/>
  <c r="AE188" i="57"/>
  <c r="R188" i="57"/>
  <c r="AD188" i="57"/>
  <c r="AD249" i="50"/>
  <c r="AG249" i="50" s="1"/>
  <c r="AH249" i="50" s="1"/>
  <c r="AI249" i="50" s="1"/>
  <c r="W235" i="50"/>
  <c r="X235" i="50" s="1"/>
  <c r="Z214" i="50"/>
  <c r="Q225" i="57"/>
  <c r="T225" i="57" s="1"/>
  <c r="AD225" i="57"/>
  <c r="V123" i="50"/>
  <c r="Z123" i="50"/>
  <c r="U247" i="50"/>
  <c r="AD247" i="50" s="1"/>
  <c r="AM247" i="50"/>
  <c r="W211" i="50"/>
  <c r="X211" i="50" s="1"/>
  <c r="V211" i="50"/>
  <c r="AM169" i="50"/>
  <c r="U169" i="50"/>
  <c r="AL11" i="22"/>
  <c r="D46" i="36" s="1"/>
  <c r="D85" i="36" s="1"/>
  <c r="AM248" i="50"/>
  <c r="R256" i="57"/>
  <c r="AM192" i="50"/>
  <c r="AM177" i="50"/>
  <c r="AM149" i="50"/>
  <c r="AE185" i="57"/>
  <c r="U112" i="50"/>
  <c r="AD112" i="50" s="1"/>
  <c r="U111" i="50"/>
  <c r="AD111" i="50" s="1"/>
  <c r="AC163" i="57"/>
  <c r="AD153" i="57"/>
  <c r="AC153" i="57"/>
  <c r="AJ140" i="57"/>
  <c r="AQ140" i="57"/>
  <c r="AM68" i="50"/>
  <c r="U68" i="50"/>
  <c r="AD68" i="50" s="1"/>
  <c r="AG68" i="50" s="1"/>
  <c r="AH68" i="50" s="1"/>
  <c r="AI68" i="50" s="1"/>
  <c r="R163" i="57"/>
  <c r="R134" i="57"/>
  <c r="AD134" i="57"/>
  <c r="AJ134" i="57"/>
  <c r="AJ108" i="57"/>
  <c r="AE108" i="57"/>
  <c r="Q99" i="57"/>
  <c r="T99" i="57" s="1"/>
  <c r="X99" i="57" s="1"/>
  <c r="AC99" i="57"/>
  <c r="AC47" i="57"/>
  <c r="R47" i="57"/>
  <c r="AE47" i="57"/>
  <c r="W60" i="50"/>
  <c r="X60" i="50" s="1"/>
  <c r="Z60" i="50"/>
  <c r="U173" i="50"/>
  <c r="AD173" i="50" s="1"/>
  <c r="AD165" i="50"/>
  <c r="AG165" i="50" s="1"/>
  <c r="AH165" i="50" s="1"/>
  <c r="AI165" i="50" s="1"/>
  <c r="U141" i="50"/>
  <c r="AD141" i="50" s="1"/>
  <c r="Z35" i="50"/>
  <c r="C35" i="50"/>
  <c r="AE42" i="57"/>
  <c r="AC42" i="57"/>
  <c r="AQ236" i="57"/>
  <c r="V131" i="50"/>
  <c r="AC186" i="57"/>
  <c r="AM120" i="50"/>
  <c r="AM95" i="50"/>
  <c r="U95" i="50"/>
  <c r="AD95" i="50" s="1"/>
  <c r="R129" i="57"/>
  <c r="AC129" i="57"/>
  <c r="AK106" i="57"/>
  <c r="AJ106" i="57"/>
  <c r="AE106" i="57"/>
  <c r="AC106" i="57"/>
  <c r="AJ65" i="57"/>
  <c r="AE65" i="57"/>
  <c r="AD65" i="57"/>
  <c r="Q65" i="57"/>
  <c r="T65" i="57" s="1"/>
  <c r="R65" i="57"/>
  <c r="AQ65" i="57"/>
  <c r="AK65" i="57"/>
  <c r="AC65" i="57"/>
  <c r="AD211" i="50"/>
  <c r="AG211" i="50" s="1"/>
  <c r="AH211" i="50" s="1"/>
  <c r="AI211" i="50" s="1"/>
  <c r="AD246" i="57"/>
  <c r="AE243" i="57"/>
  <c r="AD127" i="50"/>
  <c r="AG127" i="50" s="1"/>
  <c r="AH127" i="50" s="1"/>
  <c r="AI127" i="50" s="1"/>
  <c r="AM119" i="50"/>
  <c r="R99" i="57"/>
  <c r="AD34" i="50"/>
  <c r="AG34" i="50" s="1"/>
  <c r="AH34" i="50" s="1"/>
  <c r="AI34" i="50" s="1"/>
  <c r="AD66" i="57"/>
  <c r="AD87" i="57"/>
  <c r="AK21" i="57"/>
  <c r="AM80" i="50"/>
  <c r="U63" i="50"/>
  <c r="AM53" i="50"/>
  <c r="AM32" i="50"/>
  <c r="AM30" i="50"/>
  <c r="Q39" i="57"/>
  <c r="T39" i="57" s="1"/>
  <c r="AQ21" i="57"/>
  <c r="R120" i="57"/>
  <c r="X120" i="57" s="1"/>
  <c r="AE66" i="57"/>
  <c r="AC39" i="57"/>
  <c r="V71" i="50"/>
  <c r="AJ65" i="50"/>
  <c r="AQ124" i="57"/>
  <c r="AD120" i="57"/>
  <c r="AQ103" i="57"/>
  <c r="AD37" i="50"/>
  <c r="AG37" i="50" s="1"/>
  <c r="AH37" i="50" s="1"/>
  <c r="AI37" i="50" s="1"/>
  <c r="AK94" i="57"/>
  <c r="AM26" i="50"/>
  <c r="AC66" i="57"/>
  <c r="AJ39" i="57"/>
  <c r="AC21" i="57"/>
  <c r="AM93" i="50"/>
  <c r="W71" i="50"/>
  <c r="X71" i="50" s="1"/>
  <c r="AM65" i="50"/>
  <c r="Q66" i="57"/>
  <c r="T66" i="57" s="1"/>
  <c r="R27" i="57"/>
  <c r="AE21" i="57"/>
  <c r="U70" i="50"/>
  <c r="AD70" i="50" s="1"/>
  <c r="AG70" i="50" s="1"/>
  <c r="AH70" i="50" s="1"/>
  <c r="AI70" i="50" s="1"/>
  <c r="AK120" i="57"/>
  <c r="U49" i="50"/>
  <c r="AM34" i="50"/>
  <c r="AJ66" i="57"/>
  <c r="R247" i="57"/>
  <c r="Q247" i="57"/>
  <c r="T247" i="57" s="1"/>
  <c r="U139" i="50"/>
  <c r="AD139" i="50" s="1"/>
  <c r="AG139" i="50" s="1"/>
  <c r="AH139" i="50" s="1"/>
  <c r="AI139" i="50" s="1"/>
  <c r="AM139" i="50"/>
  <c r="Z80" i="50"/>
  <c r="AJ80" i="50"/>
  <c r="AD241" i="50"/>
  <c r="AG241" i="50" s="1"/>
  <c r="AH241" i="50" s="1"/>
  <c r="AI241" i="50" s="1"/>
  <c r="C157" i="50"/>
  <c r="V157" i="50"/>
  <c r="AM170" i="50"/>
  <c r="U170" i="50"/>
  <c r="AQ199" i="57"/>
  <c r="AJ199" i="57"/>
  <c r="AE199" i="57"/>
  <c r="AQ254" i="57"/>
  <c r="AE254" i="57"/>
  <c r="AJ191" i="57"/>
  <c r="Q191" i="57"/>
  <c r="T191" i="57" s="1"/>
  <c r="AQ191" i="57"/>
  <c r="AD191" i="57"/>
  <c r="AK191" i="57"/>
  <c r="AJ214" i="50"/>
  <c r="U206" i="50"/>
  <c r="AD206" i="50" s="1"/>
  <c r="AG206" i="50" s="1"/>
  <c r="AH206" i="50" s="1"/>
  <c r="AI206" i="50" s="1"/>
  <c r="AM206" i="50"/>
  <c r="AM241" i="50"/>
  <c r="AM227" i="50"/>
  <c r="U181" i="50"/>
  <c r="AD181" i="50" s="1"/>
  <c r="AG181" i="50" s="1"/>
  <c r="AH181" i="50" s="1"/>
  <c r="AI181" i="50" s="1"/>
  <c r="AM181" i="50"/>
  <c r="AD235" i="57"/>
  <c r="AQ235" i="57"/>
  <c r="AJ235" i="57"/>
  <c r="AK235" i="57"/>
  <c r="V216" i="50"/>
  <c r="AM164" i="50"/>
  <c r="U164" i="50"/>
  <c r="W126" i="50"/>
  <c r="X126" i="50" s="1"/>
  <c r="V126" i="50"/>
  <c r="AJ126" i="50"/>
  <c r="C126" i="50"/>
  <c r="R230" i="57"/>
  <c r="AJ230" i="57"/>
  <c r="Q224" i="57"/>
  <c r="T224" i="57" s="1"/>
  <c r="AD224" i="57"/>
  <c r="AC207" i="57"/>
  <c r="AM184" i="50"/>
  <c r="U178" i="50"/>
  <c r="AK227" i="57"/>
  <c r="Q172" i="57"/>
  <c r="T172" i="57" s="1"/>
  <c r="AJ172" i="57"/>
  <c r="AC159" i="57"/>
  <c r="AQ159" i="57"/>
  <c r="AD145" i="57"/>
  <c r="AJ145" i="57"/>
  <c r="AQ145" i="57"/>
  <c r="AJ181" i="50"/>
  <c r="AM118" i="50"/>
  <c r="AE237" i="57"/>
  <c r="V127" i="50"/>
  <c r="U115" i="50"/>
  <c r="AD115" i="50" s="1"/>
  <c r="AL115" i="50" s="1"/>
  <c r="AM115" i="50"/>
  <c r="U82" i="50"/>
  <c r="AM82" i="50"/>
  <c r="AM201" i="50"/>
  <c r="R244" i="57"/>
  <c r="Z181" i="50"/>
  <c r="AE240" i="57"/>
  <c r="C174" i="50"/>
  <c r="AM138" i="50"/>
  <c r="U121" i="50"/>
  <c r="AD121" i="50" s="1"/>
  <c r="AG121" i="50" s="1"/>
  <c r="AH121" i="50" s="1"/>
  <c r="AI121" i="50" s="1"/>
  <c r="AM121" i="50"/>
  <c r="AK162" i="57"/>
  <c r="AE162" i="57"/>
  <c r="AJ162" i="57"/>
  <c r="AD162" i="57"/>
  <c r="Q162" i="57"/>
  <c r="T162" i="57" s="1"/>
  <c r="AQ162" i="57"/>
  <c r="R162" i="57"/>
  <c r="C102" i="50"/>
  <c r="AD102" i="50"/>
  <c r="AG102" i="50" s="1"/>
  <c r="AH102" i="50" s="1"/>
  <c r="AI102" i="50" s="1"/>
  <c r="W102" i="50"/>
  <c r="X102" i="50" s="1"/>
  <c r="U89" i="50"/>
  <c r="AD89" i="50" s="1"/>
  <c r="AG89" i="50" s="1"/>
  <c r="AH89" i="50" s="1"/>
  <c r="AI89" i="50" s="1"/>
  <c r="AM89" i="50"/>
  <c r="V83" i="50"/>
  <c r="AJ83" i="50"/>
  <c r="AJ240" i="57"/>
  <c r="R236" i="57"/>
  <c r="X236" i="57" s="1"/>
  <c r="AM175" i="50"/>
  <c r="AM165" i="50"/>
  <c r="AC219" i="57"/>
  <c r="AD235" i="50"/>
  <c r="AG235" i="50" s="1"/>
  <c r="AH235" i="50" s="1"/>
  <c r="AI235" i="50" s="1"/>
  <c r="AD217" i="50"/>
  <c r="AG217" i="50" s="1"/>
  <c r="AH217" i="50" s="1"/>
  <c r="AI217" i="50" s="1"/>
  <c r="AD209" i="50"/>
  <c r="AG209" i="50" s="1"/>
  <c r="AH209" i="50" s="1"/>
  <c r="AI209" i="50" s="1"/>
  <c r="AK243" i="57"/>
  <c r="Q240" i="57"/>
  <c r="T240" i="57" s="1"/>
  <c r="AK237" i="57"/>
  <c r="AJ221" i="57"/>
  <c r="AD152" i="50"/>
  <c r="AG152" i="50" s="1"/>
  <c r="AH152" i="50" s="1"/>
  <c r="AI152" i="50" s="1"/>
  <c r="AM146" i="50"/>
  <c r="AD142" i="50"/>
  <c r="AG142" i="50" s="1"/>
  <c r="AH142" i="50" s="1"/>
  <c r="AI142" i="50" s="1"/>
  <c r="AQ185" i="57"/>
  <c r="AD184" i="57"/>
  <c r="AE184" i="57"/>
  <c r="V112" i="50"/>
  <c r="AK173" i="57"/>
  <c r="AC173" i="57"/>
  <c r="R158" i="57"/>
  <c r="Q158" i="57"/>
  <c r="T158" i="57" s="1"/>
  <c r="AD119" i="50"/>
  <c r="AL119" i="50" s="1"/>
  <c r="AD164" i="57"/>
  <c r="AD155" i="57"/>
  <c r="AK155" i="57"/>
  <c r="AE115" i="57"/>
  <c r="AJ115" i="57"/>
  <c r="V38" i="50"/>
  <c r="C38" i="50"/>
  <c r="U105" i="50"/>
  <c r="AE141" i="57"/>
  <c r="R141" i="57"/>
  <c r="AQ57" i="57"/>
  <c r="Q57" i="57"/>
  <c r="T57" i="57" s="1"/>
  <c r="AC57" i="57"/>
  <c r="AM103" i="50"/>
  <c r="U79" i="50"/>
  <c r="AM79" i="50"/>
  <c r="AQ127" i="57"/>
  <c r="R176" i="57"/>
  <c r="AM110" i="50"/>
  <c r="Q163" i="57"/>
  <c r="T163" i="57" s="1"/>
  <c r="V37" i="50"/>
  <c r="Z37" i="50"/>
  <c r="AE85" i="57"/>
  <c r="R85" i="57"/>
  <c r="AK77" i="57"/>
  <c r="R77" i="57"/>
  <c r="AD77" i="57"/>
  <c r="Q77" i="57"/>
  <c r="T77" i="57" s="1"/>
  <c r="AE77" i="57"/>
  <c r="AE86" i="57"/>
  <c r="R86" i="57"/>
  <c r="AC86" i="57"/>
  <c r="AK86" i="57"/>
  <c r="AD86" i="57"/>
  <c r="AJ86" i="57"/>
  <c r="AD82" i="57"/>
  <c r="AE82" i="57"/>
  <c r="AD100" i="50"/>
  <c r="AD151" i="57"/>
  <c r="Q151" i="57"/>
  <c r="T151" i="57" s="1"/>
  <c r="AD38" i="50"/>
  <c r="AG38" i="50" s="1"/>
  <c r="AH38" i="50" s="1"/>
  <c r="AI38" i="50" s="1"/>
  <c r="R153" i="57"/>
  <c r="U91" i="50"/>
  <c r="AD91" i="50" s="1"/>
  <c r="AM91" i="50"/>
  <c r="R114" i="57"/>
  <c r="AC114" i="57"/>
  <c r="Q114" i="57"/>
  <c r="T114" i="57" s="1"/>
  <c r="AK67" i="57"/>
  <c r="AJ67" i="57"/>
  <c r="AC107" i="57"/>
  <c r="AD69" i="50"/>
  <c r="AG69" i="50" s="1"/>
  <c r="AH69" i="50" s="1"/>
  <c r="AI69" i="50" s="1"/>
  <c r="AE124" i="57"/>
  <c r="AM57" i="50"/>
  <c r="AQ83" i="57"/>
  <c r="AQ47" i="57"/>
  <c r="AE30" i="57"/>
  <c r="AM51" i="50"/>
  <c r="AM38" i="50"/>
  <c r="AD99" i="57"/>
  <c r="Q90" i="57"/>
  <c r="T90" i="57" s="1"/>
  <c r="Z30" i="50"/>
  <c r="AE89" i="57"/>
  <c r="AQ70" i="57"/>
  <c r="AQ31" i="57"/>
  <c r="Q108" i="57"/>
  <c r="T108" i="57" s="1"/>
  <c r="AJ99" i="57"/>
  <c r="AJ51" i="57"/>
  <c r="AJ30" i="57"/>
  <c r="U54" i="50"/>
  <c r="AD54" i="50" s="1"/>
  <c r="AG54" i="50" s="1"/>
  <c r="AH54" i="50" s="1"/>
  <c r="AI54" i="50" s="1"/>
  <c r="R106" i="57"/>
  <c r="AM40" i="50"/>
  <c r="AQ96" i="57"/>
  <c r="AQ93" i="57"/>
  <c r="R88" i="57"/>
  <c r="U29" i="50"/>
  <c r="AD29" i="50" s="1"/>
  <c r="AM21" i="50"/>
  <c r="AK83" i="57"/>
  <c r="AD20" i="50"/>
  <c r="AG20" i="50" s="1"/>
  <c r="AH20" i="50" s="1"/>
  <c r="AI20" i="50" s="1"/>
  <c r="AD17" i="50"/>
  <c r="AG17" i="50" s="1"/>
  <c r="AH17" i="50" s="1"/>
  <c r="AI17" i="50" s="1"/>
  <c r="AK76" i="57"/>
  <c r="AD71" i="57"/>
  <c r="R66" i="57"/>
  <c r="AE107" i="57"/>
  <c r="AD45" i="50"/>
  <c r="AD35" i="50"/>
  <c r="AG35" i="50" s="1"/>
  <c r="AH35" i="50" s="1"/>
  <c r="AI35" i="50" s="1"/>
  <c r="V252" i="50"/>
  <c r="AJ252" i="50"/>
  <c r="AJ246" i="50"/>
  <c r="V246" i="50"/>
  <c r="AD258" i="50"/>
  <c r="AG258" i="50" s="1"/>
  <c r="AH258" i="50" s="1"/>
  <c r="AI258" i="50" s="1"/>
  <c r="U253" i="50"/>
  <c r="AD253" i="50" s="1"/>
  <c r="AM253" i="50"/>
  <c r="Z247" i="50"/>
  <c r="W247" i="50"/>
  <c r="X247" i="50" s="1"/>
  <c r="C185" i="50"/>
  <c r="Z185" i="50"/>
  <c r="U256" i="50"/>
  <c r="AD256" i="50" s="1"/>
  <c r="U237" i="50"/>
  <c r="AD237" i="50" s="1"/>
  <c r="AG237" i="50" s="1"/>
  <c r="AH237" i="50" s="1"/>
  <c r="AI237" i="50" s="1"/>
  <c r="AM237" i="50"/>
  <c r="Z193" i="50"/>
  <c r="AJ193" i="50"/>
  <c r="W193" i="50"/>
  <c r="X193" i="50" s="1"/>
  <c r="AD223" i="57"/>
  <c r="AE223" i="57"/>
  <c r="AJ223" i="57"/>
  <c r="AQ223" i="57"/>
  <c r="Y150" i="22"/>
  <c r="AA150" i="22" s="1"/>
  <c r="Q223" i="57"/>
  <c r="T223" i="57" s="1"/>
  <c r="AC223" i="57"/>
  <c r="Y156" i="22"/>
  <c r="AA156" i="22" s="1"/>
  <c r="Y158" i="22"/>
  <c r="AA158" i="22" s="1"/>
  <c r="Y153" i="22"/>
  <c r="AA153" i="22" s="1"/>
  <c r="AK223" i="57"/>
  <c r="Z150" i="22"/>
  <c r="AB150" i="22" s="1"/>
  <c r="Z159" i="22"/>
  <c r="AB159" i="22" s="1"/>
  <c r="AK242" i="57"/>
  <c r="AC242" i="57"/>
  <c r="R242" i="57"/>
  <c r="Z249" i="50"/>
  <c r="C249" i="50"/>
  <c r="C247" i="50"/>
  <c r="AM238" i="50"/>
  <c r="AM231" i="50"/>
  <c r="AK253" i="57"/>
  <c r="AE253" i="57"/>
  <c r="AJ253" i="57"/>
  <c r="Q253" i="57"/>
  <c r="T253" i="57" s="1"/>
  <c r="C256" i="50"/>
  <c r="AJ256" i="50"/>
  <c r="AM236" i="50"/>
  <c r="U236" i="50"/>
  <c r="AD236" i="50" s="1"/>
  <c r="AG236" i="50" s="1"/>
  <c r="AH236" i="50" s="1"/>
  <c r="AI236" i="50" s="1"/>
  <c r="U234" i="50"/>
  <c r="AD234" i="50" s="1"/>
  <c r="AG234" i="50" s="1"/>
  <c r="AH234" i="50" s="1"/>
  <c r="AI234" i="50" s="1"/>
  <c r="AM234" i="50"/>
  <c r="U230" i="50"/>
  <c r="AD230" i="50" s="1"/>
  <c r="AM230" i="50"/>
  <c r="AJ150" i="50"/>
  <c r="V150" i="50"/>
  <c r="V244" i="50"/>
  <c r="U242" i="50"/>
  <c r="AD242" i="50" s="1"/>
  <c r="AM242" i="50"/>
  <c r="W240" i="50"/>
  <c r="X240" i="50" s="1"/>
  <c r="C240" i="50"/>
  <c r="V240" i="50"/>
  <c r="Z236" i="50"/>
  <c r="V236" i="50"/>
  <c r="C236" i="50"/>
  <c r="AJ236" i="50"/>
  <c r="C212" i="50"/>
  <c r="AJ212" i="50"/>
  <c r="W212" i="50"/>
  <c r="X212" i="50" s="1"/>
  <c r="V212" i="50"/>
  <c r="R234" i="57"/>
  <c r="Q234" i="57"/>
  <c r="T234" i="57" s="1"/>
  <c r="AQ234" i="57"/>
  <c r="AC233" i="57"/>
  <c r="AD233" i="57"/>
  <c r="AJ233" i="57"/>
  <c r="R233" i="57"/>
  <c r="U254" i="50"/>
  <c r="AM254" i="50"/>
  <c r="V217" i="50"/>
  <c r="C217" i="50"/>
  <c r="Z217" i="50"/>
  <c r="AD245" i="57"/>
  <c r="AQ245" i="57"/>
  <c r="AC245" i="57"/>
  <c r="AD251" i="50"/>
  <c r="AG251" i="50" s="1"/>
  <c r="AH251" i="50" s="1"/>
  <c r="AI251" i="50" s="1"/>
  <c r="V230" i="50"/>
  <c r="U221" i="50"/>
  <c r="AM215" i="50"/>
  <c r="AM213" i="50"/>
  <c r="U199" i="50"/>
  <c r="AD199" i="50" s="1"/>
  <c r="AG199" i="50" s="1"/>
  <c r="AH199" i="50" s="1"/>
  <c r="AI199" i="50" s="1"/>
  <c r="U198" i="50"/>
  <c r="AD198" i="50" s="1"/>
  <c r="AG198" i="50" s="1"/>
  <c r="AH198" i="50" s="1"/>
  <c r="AI198" i="50" s="1"/>
  <c r="U197" i="50"/>
  <c r="U189" i="50"/>
  <c r="U185" i="50"/>
  <c r="AD185" i="50" s="1"/>
  <c r="AG185" i="50" s="1"/>
  <c r="AH185" i="50" s="1"/>
  <c r="AI185" i="50" s="1"/>
  <c r="Z171" i="50"/>
  <c r="AJ171" i="50"/>
  <c r="U162" i="50"/>
  <c r="AD162" i="50" s="1"/>
  <c r="AG162" i="50" s="1"/>
  <c r="AH162" i="50" s="1"/>
  <c r="AI162" i="50" s="1"/>
  <c r="AM162" i="50"/>
  <c r="AD155" i="50"/>
  <c r="AG155" i="50" s="1"/>
  <c r="AH155" i="50" s="1"/>
  <c r="AI155" i="50" s="1"/>
  <c r="V145" i="50"/>
  <c r="C145" i="50"/>
  <c r="AJ145" i="50"/>
  <c r="W145" i="50"/>
  <c r="X145" i="50" s="1"/>
  <c r="AD207" i="50"/>
  <c r="AG207" i="50" s="1"/>
  <c r="AH207" i="50" s="1"/>
  <c r="AI207" i="50" s="1"/>
  <c r="U180" i="50"/>
  <c r="AM180" i="50"/>
  <c r="AC237" i="57"/>
  <c r="AJ175" i="50"/>
  <c r="W171" i="50"/>
  <c r="X171" i="50" s="1"/>
  <c r="AJ231" i="57"/>
  <c r="AD160" i="50"/>
  <c r="AD202" i="57"/>
  <c r="AJ202" i="57"/>
  <c r="Q202" i="57"/>
  <c r="T202" i="57" s="1"/>
  <c r="AM202" i="50"/>
  <c r="Z200" i="50"/>
  <c r="AE247" i="57"/>
  <c r="AQ246" i="57"/>
  <c r="AJ243" i="57"/>
  <c r="AQ237" i="57"/>
  <c r="V173" i="50"/>
  <c r="C173" i="50"/>
  <c r="AC231" i="57"/>
  <c r="AJ232" i="57"/>
  <c r="AC232" i="57"/>
  <c r="AD169" i="50"/>
  <c r="AG169" i="50" s="1"/>
  <c r="AH169" i="50" s="1"/>
  <c r="AI169" i="50" s="1"/>
  <c r="W160" i="50"/>
  <c r="X160" i="50" s="1"/>
  <c r="Z239" i="50"/>
  <c r="U229" i="50"/>
  <c r="AD229" i="50" s="1"/>
  <c r="AD226" i="50"/>
  <c r="AG226" i="50" s="1"/>
  <c r="AH226" i="50" s="1"/>
  <c r="AI226" i="50" s="1"/>
  <c r="AJ213" i="50"/>
  <c r="AJ207" i="50"/>
  <c r="U195" i="50"/>
  <c r="AD195" i="50" s="1"/>
  <c r="AG195" i="50" s="1"/>
  <c r="AH195" i="50" s="1"/>
  <c r="AI195" i="50" s="1"/>
  <c r="R246" i="57"/>
  <c r="AD238" i="57"/>
  <c r="AC238" i="57"/>
  <c r="AJ173" i="50"/>
  <c r="AM156" i="50"/>
  <c r="U156" i="50"/>
  <c r="AD156" i="50" s="1"/>
  <c r="AE212" i="57"/>
  <c r="AK212" i="57"/>
  <c r="R212" i="57"/>
  <c r="AJ212" i="57"/>
  <c r="AD212" i="57"/>
  <c r="AC212" i="57"/>
  <c r="AM225" i="50"/>
  <c r="AM216" i="50"/>
  <c r="U212" i="50"/>
  <c r="AD212" i="50" s="1"/>
  <c r="U205" i="50"/>
  <c r="AD205" i="50" s="1"/>
  <c r="AG205" i="50" s="1"/>
  <c r="AH205" i="50" s="1"/>
  <c r="AI205" i="50" s="1"/>
  <c r="W200" i="50"/>
  <c r="X200" i="50" s="1"/>
  <c r="AM191" i="50"/>
  <c r="AJ166" i="50"/>
  <c r="C166" i="50"/>
  <c r="Z166" i="50"/>
  <c r="W166" i="50"/>
  <c r="X166" i="50" s="1"/>
  <c r="AM161" i="50"/>
  <c r="U161" i="50"/>
  <c r="AD161" i="50" s="1"/>
  <c r="Z142" i="50"/>
  <c r="C142" i="50"/>
  <c r="AM219" i="50"/>
  <c r="AM217" i="50"/>
  <c r="AD208" i="50"/>
  <c r="AG208" i="50" s="1"/>
  <c r="AH208" i="50" s="1"/>
  <c r="AI208" i="50" s="1"/>
  <c r="AJ248" i="57"/>
  <c r="AK220" i="57"/>
  <c r="AE220" i="57"/>
  <c r="Q220" i="57"/>
  <c r="T220" i="57" s="1"/>
  <c r="R216" i="57"/>
  <c r="AC216" i="57"/>
  <c r="AK216" i="57"/>
  <c r="AD216" i="57"/>
  <c r="AE216" i="57"/>
  <c r="AJ216" i="57"/>
  <c r="C155" i="50"/>
  <c r="V155" i="50"/>
  <c r="AJ155" i="50"/>
  <c r="Z155" i="50"/>
  <c r="AD175" i="50"/>
  <c r="AG175" i="50" s="1"/>
  <c r="AH175" i="50" s="1"/>
  <c r="AI175" i="50" s="1"/>
  <c r="AK231" i="57"/>
  <c r="AD231" i="57"/>
  <c r="U171" i="50"/>
  <c r="AD171" i="50" s="1"/>
  <c r="AM171" i="50"/>
  <c r="Z169" i="50"/>
  <c r="R214" i="57"/>
  <c r="Q214" i="57"/>
  <c r="T214" i="57" s="1"/>
  <c r="AJ214" i="57"/>
  <c r="Q204" i="57"/>
  <c r="T204" i="57" s="1"/>
  <c r="AC204" i="57"/>
  <c r="AJ204" i="57"/>
  <c r="AQ204" i="57"/>
  <c r="R235" i="57"/>
  <c r="Q235" i="57"/>
  <c r="T235" i="57" s="1"/>
  <c r="AE235" i="57"/>
  <c r="AM174" i="50"/>
  <c r="U174" i="50"/>
  <c r="AD174" i="50" s="1"/>
  <c r="R218" i="57"/>
  <c r="AE218" i="57"/>
  <c r="AQ218" i="57"/>
  <c r="AJ218" i="57"/>
  <c r="AC218" i="57"/>
  <c r="AK208" i="57"/>
  <c r="AC208" i="57"/>
  <c r="AJ208" i="57"/>
  <c r="Q208" i="57"/>
  <c r="T208" i="57" s="1"/>
  <c r="AJ236" i="57"/>
  <c r="U176" i="50"/>
  <c r="U166" i="50"/>
  <c r="AD166" i="50" s="1"/>
  <c r="AG166" i="50" s="1"/>
  <c r="AH166" i="50" s="1"/>
  <c r="AI166" i="50" s="1"/>
  <c r="AK203" i="57"/>
  <c r="AM142" i="50"/>
  <c r="AK198" i="57"/>
  <c r="AJ198" i="57"/>
  <c r="AE198" i="57"/>
  <c r="R198" i="57"/>
  <c r="AD198" i="57"/>
  <c r="AM152" i="50"/>
  <c r="Q207" i="57"/>
  <c r="T207" i="57" s="1"/>
  <c r="X207" i="57" s="1"/>
  <c r="AC203" i="57"/>
  <c r="Q199" i="57"/>
  <c r="T199" i="57" s="1"/>
  <c r="AK199" i="57"/>
  <c r="AD199" i="57"/>
  <c r="R199" i="57"/>
  <c r="C132" i="50"/>
  <c r="Z132" i="50"/>
  <c r="AJ181" i="57"/>
  <c r="AD181" i="57"/>
  <c r="AE177" i="57"/>
  <c r="AQ177" i="57"/>
  <c r="AE110" i="57"/>
  <c r="Q110" i="57"/>
  <c r="T110" i="57" s="1"/>
  <c r="R110" i="57"/>
  <c r="AQ110" i="57"/>
  <c r="AQ100" i="57"/>
  <c r="AE100" i="57"/>
  <c r="AK100" i="57"/>
  <c r="AD100" i="57"/>
  <c r="R168" i="57"/>
  <c r="AD168" i="57"/>
  <c r="AJ168" i="57"/>
  <c r="AQ157" i="57"/>
  <c r="Q157" i="57"/>
  <c r="T157" i="57" s="1"/>
  <c r="R157" i="57"/>
  <c r="AK157" i="57"/>
  <c r="AE157" i="57"/>
  <c r="V91" i="50"/>
  <c r="AJ91" i="50"/>
  <c r="Z91" i="50"/>
  <c r="C91" i="50"/>
  <c r="U158" i="50"/>
  <c r="AD158" i="50" s="1"/>
  <c r="AG158" i="50" s="1"/>
  <c r="AH158" i="50" s="1"/>
  <c r="AI158" i="50" s="1"/>
  <c r="U154" i="50"/>
  <c r="AD154" i="50" s="1"/>
  <c r="AQ206" i="57"/>
  <c r="U147" i="50"/>
  <c r="AD147" i="50" s="1"/>
  <c r="AG147" i="50" s="1"/>
  <c r="AH147" i="50" s="1"/>
  <c r="AI147" i="50" s="1"/>
  <c r="AJ201" i="57"/>
  <c r="Q201" i="57"/>
  <c r="T201" i="57" s="1"/>
  <c r="AC193" i="57"/>
  <c r="AD193" i="57"/>
  <c r="AQ193" i="57"/>
  <c r="AK178" i="57"/>
  <c r="AC178" i="57"/>
  <c r="R178" i="57"/>
  <c r="Q178" i="57"/>
  <c r="T178" i="57" s="1"/>
  <c r="AJ178" i="57"/>
  <c r="AE206" i="57"/>
  <c r="AJ125" i="50"/>
  <c r="W125" i="50"/>
  <c r="X125" i="50" s="1"/>
  <c r="AD182" i="57"/>
  <c r="AC182" i="57"/>
  <c r="AK182" i="57"/>
  <c r="AJ177" i="57"/>
  <c r="AC171" i="57"/>
  <c r="AQ171" i="57"/>
  <c r="R171" i="57"/>
  <c r="AJ171" i="57"/>
  <c r="Q171" i="57"/>
  <c r="T171" i="57" s="1"/>
  <c r="W161" i="50"/>
  <c r="X161" i="50" s="1"/>
  <c r="AQ178" i="57"/>
  <c r="U144" i="50"/>
  <c r="AD144" i="50" s="1"/>
  <c r="AM144" i="50"/>
  <c r="AQ203" i="57"/>
  <c r="AD203" i="57"/>
  <c r="R203" i="57"/>
  <c r="X203" i="57" s="1"/>
  <c r="AE203" i="57"/>
  <c r="Z141" i="50"/>
  <c r="W141" i="50"/>
  <c r="X141" i="50" s="1"/>
  <c r="V141" i="50"/>
  <c r="AJ141" i="50"/>
  <c r="AQ183" i="57"/>
  <c r="AJ183" i="57"/>
  <c r="AD183" i="57"/>
  <c r="AK183" i="57"/>
  <c r="AE183" i="57"/>
  <c r="R183" i="57"/>
  <c r="Q183" i="57"/>
  <c r="T183" i="57" s="1"/>
  <c r="C111" i="50"/>
  <c r="W111" i="50"/>
  <c r="X111" i="50" s="1"/>
  <c r="Z111" i="50"/>
  <c r="AJ111" i="50"/>
  <c r="V104" i="50"/>
  <c r="C104" i="50"/>
  <c r="W104" i="50"/>
  <c r="X104" i="50" s="1"/>
  <c r="AQ207" i="57"/>
  <c r="AQ195" i="57"/>
  <c r="AE195" i="57"/>
  <c r="U135" i="50"/>
  <c r="AD135" i="50" s="1"/>
  <c r="AG135" i="50" s="1"/>
  <c r="AH135" i="50" s="1"/>
  <c r="AI135" i="50" s="1"/>
  <c r="AM135" i="50"/>
  <c r="V125" i="50"/>
  <c r="AM117" i="50"/>
  <c r="U117" i="50"/>
  <c r="AD117" i="50" s="1"/>
  <c r="AG117" i="50" s="1"/>
  <c r="AH117" i="50" s="1"/>
  <c r="AI117" i="50" s="1"/>
  <c r="Q175" i="57"/>
  <c r="T175" i="57" s="1"/>
  <c r="AC175" i="57"/>
  <c r="AQ175" i="57"/>
  <c r="AD175" i="57"/>
  <c r="R175" i="57"/>
  <c r="AE175" i="57"/>
  <c r="AE174" i="57"/>
  <c r="AK174" i="57"/>
  <c r="Q174" i="57"/>
  <c r="T174" i="57" s="1"/>
  <c r="AJ174" i="57"/>
  <c r="AD174" i="57"/>
  <c r="R174" i="57"/>
  <c r="U114" i="50"/>
  <c r="AM114" i="50"/>
  <c r="AK165" i="57"/>
  <c r="AE165" i="57"/>
  <c r="AQ165" i="57"/>
  <c r="AE197" i="57"/>
  <c r="AD131" i="50"/>
  <c r="AG131" i="50" s="1"/>
  <c r="AH131" i="50" s="1"/>
  <c r="AI131" i="50" s="1"/>
  <c r="U130" i="50"/>
  <c r="AD129" i="50"/>
  <c r="AG129" i="50" s="1"/>
  <c r="AH129" i="50" s="1"/>
  <c r="AI129" i="50" s="1"/>
  <c r="AM126" i="50"/>
  <c r="Q184" i="57"/>
  <c r="T184" i="57" s="1"/>
  <c r="AD122" i="50"/>
  <c r="AG122" i="50" s="1"/>
  <c r="AH122" i="50" s="1"/>
  <c r="AI122" i="50" s="1"/>
  <c r="AK166" i="57"/>
  <c r="AQ166" i="57"/>
  <c r="AE166" i="57"/>
  <c r="AJ166" i="57"/>
  <c r="AC187" i="57"/>
  <c r="AD118" i="50"/>
  <c r="AG118" i="50" s="1"/>
  <c r="AH118" i="50" s="1"/>
  <c r="AI118" i="50" s="1"/>
  <c r="U104" i="50"/>
  <c r="AD104" i="50" s="1"/>
  <c r="AG104" i="50" s="1"/>
  <c r="AH104" i="50" s="1"/>
  <c r="AI104" i="50" s="1"/>
  <c r="AM104" i="50"/>
  <c r="AQ154" i="57"/>
  <c r="R154" i="57"/>
  <c r="Q154" i="57"/>
  <c r="T154" i="57" s="1"/>
  <c r="C94" i="50"/>
  <c r="AJ94" i="50"/>
  <c r="AJ139" i="57"/>
  <c r="AK139" i="57"/>
  <c r="AQ139" i="57"/>
  <c r="AD139" i="57"/>
  <c r="AE139" i="57"/>
  <c r="Q139" i="57"/>
  <c r="T139" i="57" s="1"/>
  <c r="R139" i="57"/>
  <c r="Z78" i="50"/>
  <c r="C78" i="50"/>
  <c r="AD136" i="50"/>
  <c r="AG136" i="50" s="1"/>
  <c r="AH136" i="50" s="1"/>
  <c r="AI136" i="50" s="1"/>
  <c r="R191" i="57"/>
  <c r="AD187" i="57"/>
  <c r="R184" i="57"/>
  <c r="R167" i="57"/>
  <c r="X167" i="57" s="1"/>
  <c r="AJ167" i="57"/>
  <c r="AD167" i="57"/>
  <c r="Z88" i="50"/>
  <c r="AJ88" i="50"/>
  <c r="AL88" i="50" s="1"/>
  <c r="C88" i="50"/>
  <c r="W88" i="50"/>
  <c r="X88" i="50" s="1"/>
  <c r="V88" i="50"/>
  <c r="AC191" i="57"/>
  <c r="AD132" i="50"/>
  <c r="AG132" i="50" s="1"/>
  <c r="AH132" i="50" s="1"/>
  <c r="AI132" i="50" s="1"/>
  <c r="AJ187" i="57"/>
  <c r="Z126" i="50"/>
  <c r="AM109" i="50"/>
  <c r="U109" i="50"/>
  <c r="AD109" i="50" s="1"/>
  <c r="AG109" i="50" s="1"/>
  <c r="AH109" i="50" s="1"/>
  <c r="AI109" i="50" s="1"/>
  <c r="AD145" i="50"/>
  <c r="AG145" i="50" s="1"/>
  <c r="AH145" i="50" s="1"/>
  <c r="AI145" i="50" s="1"/>
  <c r="AE191" i="57"/>
  <c r="Z112" i="50"/>
  <c r="C112" i="50"/>
  <c r="W112" i="50"/>
  <c r="X112" i="50" s="1"/>
  <c r="U92" i="50"/>
  <c r="AD92" i="50" s="1"/>
  <c r="AG92" i="50" s="1"/>
  <c r="AH92" i="50" s="1"/>
  <c r="AI92" i="50" s="1"/>
  <c r="AM92" i="50"/>
  <c r="AC139" i="57"/>
  <c r="AC152" i="57"/>
  <c r="AJ152" i="57"/>
  <c r="AQ152" i="57"/>
  <c r="Q152" i="57"/>
  <c r="T152" i="57" s="1"/>
  <c r="AD152" i="57"/>
  <c r="AJ150" i="57"/>
  <c r="AK150" i="57"/>
  <c r="AD150" i="57"/>
  <c r="AE150" i="57"/>
  <c r="AQ150" i="57"/>
  <c r="AD147" i="57"/>
  <c r="AC147" i="57"/>
  <c r="AE147" i="57"/>
  <c r="AK147" i="57"/>
  <c r="Q147" i="57"/>
  <c r="T147" i="57" s="1"/>
  <c r="AQ147" i="57"/>
  <c r="AJ147" i="57"/>
  <c r="AK138" i="57"/>
  <c r="AQ138" i="57"/>
  <c r="C72" i="50"/>
  <c r="AJ72" i="50"/>
  <c r="Z72" i="50"/>
  <c r="AM67" i="50"/>
  <c r="U67" i="50"/>
  <c r="V49" i="50"/>
  <c r="C49" i="50"/>
  <c r="Z49" i="50"/>
  <c r="Z39" i="50"/>
  <c r="C39" i="50"/>
  <c r="W39" i="50"/>
  <c r="X39" i="50" s="1"/>
  <c r="V39" i="50"/>
  <c r="W24" i="50"/>
  <c r="X24" i="50" s="1"/>
  <c r="Z24" i="50"/>
  <c r="AD173" i="57"/>
  <c r="AE172" i="57"/>
  <c r="AE160" i="57"/>
  <c r="AK160" i="57"/>
  <c r="Q160" i="57"/>
  <c r="T160" i="57" s="1"/>
  <c r="AD160" i="57"/>
  <c r="R160" i="57"/>
  <c r="AM94" i="50"/>
  <c r="U94" i="50"/>
  <c r="AD94" i="50" s="1"/>
  <c r="AG94" i="50" s="1"/>
  <c r="AH94" i="50" s="1"/>
  <c r="AI94" i="50" s="1"/>
  <c r="AJ93" i="50"/>
  <c r="V93" i="50"/>
  <c r="U88" i="50"/>
  <c r="AD88" i="50" s="1"/>
  <c r="AG88" i="50" s="1"/>
  <c r="AH88" i="50" s="1"/>
  <c r="AI88" i="50" s="1"/>
  <c r="AM88" i="50"/>
  <c r="AG139" i="57"/>
  <c r="V72" i="50"/>
  <c r="R133" i="57"/>
  <c r="Q133" i="57"/>
  <c r="T133" i="57" s="1"/>
  <c r="AD133" i="57"/>
  <c r="AC133" i="57"/>
  <c r="AQ133" i="57"/>
  <c r="W67" i="50"/>
  <c r="X67" i="50" s="1"/>
  <c r="Z67" i="50"/>
  <c r="AJ67" i="50"/>
  <c r="C67" i="50"/>
  <c r="AJ112" i="57"/>
  <c r="AQ112" i="57"/>
  <c r="AJ109" i="57"/>
  <c r="AE109" i="57"/>
  <c r="AD109" i="57"/>
  <c r="AQ109" i="57"/>
  <c r="AJ160" i="57"/>
  <c r="U90" i="50"/>
  <c r="AD90" i="50" s="1"/>
  <c r="AM90" i="50"/>
  <c r="AC148" i="57"/>
  <c r="AD148" i="57"/>
  <c r="W86" i="50"/>
  <c r="X86" i="50" s="1"/>
  <c r="C86" i="50"/>
  <c r="V86" i="50"/>
  <c r="Z86" i="50"/>
  <c r="Z81" i="50"/>
  <c r="W81" i="50"/>
  <c r="X81" i="50" s="1"/>
  <c r="AQ135" i="57"/>
  <c r="AE135" i="57"/>
  <c r="AC135" i="57"/>
  <c r="AK135" i="57"/>
  <c r="AJ135" i="57"/>
  <c r="R135" i="57"/>
  <c r="Q135" i="57"/>
  <c r="T135" i="57" s="1"/>
  <c r="AQ160" i="57"/>
  <c r="R147" i="57"/>
  <c r="AD135" i="57"/>
  <c r="AC150" i="57"/>
  <c r="AC172" i="57"/>
  <c r="Z102" i="50"/>
  <c r="AJ102" i="50"/>
  <c r="R152" i="57"/>
  <c r="AD142" i="57"/>
  <c r="Q142" i="57"/>
  <c r="T142" i="57" s="1"/>
  <c r="AJ142" i="57"/>
  <c r="Q130" i="57"/>
  <c r="T130" i="57" s="1"/>
  <c r="X130" i="57" s="1"/>
  <c r="AE130" i="57"/>
  <c r="AD130" i="57"/>
  <c r="R130" i="57"/>
  <c r="AQ130" i="57"/>
  <c r="AE159" i="57"/>
  <c r="AQ151" i="57"/>
  <c r="AQ141" i="57"/>
  <c r="Q140" i="57"/>
  <c r="T140" i="57" s="1"/>
  <c r="AE134" i="57"/>
  <c r="Z64" i="50"/>
  <c r="W64" i="50"/>
  <c r="X64" i="50" s="1"/>
  <c r="W62" i="50"/>
  <c r="X62" i="50" s="1"/>
  <c r="V62" i="50"/>
  <c r="U61" i="50"/>
  <c r="AD61" i="50" s="1"/>
  <c r="AM61" i="50"/>
  <c r="U50" i="50"/>
  <c r="AD50" i="50" s="1"/>
  <c r="AM50" i="50"/>
  <c r="AM35" i="50"/>
  <c r="AD59" i="57"/>
  <c r="AQ59" i="57"/>
  <c r="AJ59" i="57"/>
  <c r="Q59" i="57"/>
  <c r="T59" i="57" s="1"/>
  <c r="U101" i="50"/>
  <c r="AQ153" i="57"/>
  <c r="AE151" i="57"/>
  <c r="AK151" i="57"/>
  <c r="AD141" i="57"/>
  <c r="AD140" i="57"/>
  <c r="AM75" i="50"/>
  <c r="AK134" i="57"/>
  <c r="AD129" i="57"/>
  <c r="AK129" i="57"/>
  <c r="Q129" i="57"/>
  <c r="T129" i="57" s="1"/>
  <c r="AE125" i="57"/>
  <c r="AD125" i="57"/>
  <c r="AC125" i="57"/>
  <c r="AQ125" i="57"/>
  <c r="Q121" i="57"/>
  <c r="T121" i="57" s="1"/>
  <c r="AQ121" i="57"/>
  <c r="AC121" i="57"/>
  <c r="AK118" i="57"/>
  <c r="AC118" i="57"/>
  <c r="AE118" i="57"/>
  <c r="AQ81" i="57"/>
  <c r="AE81" i="57"/>
  <c r="AJ81" i="57"/>
  <c r="AQ75" i="57"/>
  <c r="AE75" i="57"/>
  <c r="Q75" i="57"/>
  <c r="T75" i="57" s="1"/>
  <c r="AK33" i="57"/>
  <c r="Q33" i="57"/>
  <c r="T33" i="57" s="1"/>
  <c r="AD33" i="57"/>
  <c r="AE33" i="57"/>
  <c r="R33" i="57"/>
  <c r="X33" i="57" s="1"/>
  <c r="AC33" i="57"/>
  <c r="AQ33" i="57"/>
  <c r="AJ33" i="57"/>
  <c r="Q141" i="57"/>
  <c r="T141" i="57" s="1"/>
  <c r="R140" i="57"/>
  <c r="AM74" i="50"/>
  <c r="AC128" i="57"/>
  <c r="AQ128" i="57"/>
  <c r="AJ128" i="57"/>
  <c r="R102" i="57"/>
  <c r="Z41" i="50"/>
  <c r="AJ41" i="50"/>
  <c r="C32" i="50"/>
  <c r="U31" i="50"/>
  <c r="AD31" i="50" s="1"/>
  <c r="AM31" i="50"/>
  <c r="AJ22" i="50"/>
  <c r="W22" i="50"/>
  <c r="X22" i="50" s="1"/>
  <c r="AD78" i="57"/>
  <c r="AQ78" i="57"/>
  <c r="AK78" i="57"/>
  <c r="AJ78" i="57"/>
  <c r="AC78" i="57"/>
  <c r="AC155" i="57"/>
  <c r="R151" i="57"/>
  <c r="AD144" i="57"/>
  <c r="AC137" i="57"/>
  <c r="AK137" i="57"/>
  <c r="AD72" i="50"/>
  <c r="AG72" i="50" s="1"/>
  <c r="AH72" i="50" s="1"/>
  <c r="AI72" i="50" s="1"/>
  <c r="R127" i="57"/>
  <c r="AE114" i="57"/>
  <c r="AD114" i="57"/>
  <c r="AK114" i="57"/>
  <c r="AQ114" i="57"/>
  <c r="V41" i="50"/>
  <c r="Q92" i="57"/>
  <c r="T92" i="57" s="1"/>
  <c r="X92" i="57" s="1"/>
  <c r="AQ92" i="57"/>
  <c r="AD92" i="57"/>
  <c r="AQ85" i="57"/>
  <c r="AC85" i="57"/>
  <c r="AJ85" i="57"/>
  <c r="AC81" i="57"/>
  <c r="AC140" i="57"/>
  <c r="AE140" i="57"/>
  <c r="AK140" i="57"/>
  <c r="AD75" i="50"/>
  <c r="AJ46" i="50"/>
  <c r="Z46" i="50"/>
  <c r="AK104" i="57"/>
  <c r="AD104" i="57"/>
  <c r="AQ104" i="57"/>
  <c r="AE104" i="57"/>
  <c r="U39" i="50"/>
  <c r="AD39" i="50" s="1"/>
  <c r="AG39" i="50" s="1"/>
  <c r="AH39" i="50" s="1"/>
  <c r="AI39" i="50" s="1"/>
  <c r="AM39" i="50"/>
  <c r="AQ94" i="57"/>
  <c r="R94" i="57"/>
  <c r="AD24" i="50"/>
  <c r="AG24" i="50" s="1"/>
  <c r="AH24" i="50" s="1"/>
  <c r="AI24" i="50" s="1"/>
  <c r="U78" i="50"/>
  <c r="AD78" i="50" s="1"/>
  <c r="AM78" i="50"/>
  <c r="AD117" i="57"/>
  <c r="Q117" i="57"/>
  <c r="T117" i="57" s="1"/>
  <c r="V35" i="50"/>
  <c r="AJ35" i="50"/>
  <c r="W35" i="50"/>
  <c r="X35" i="50" s="1"/>
  <c r="U33" i="50"/>
  <c r="AD33" i="50" s="1"/>
  <c r="AG33" i="50" s="1"/>
  <c r="AH33" i="50" s="1"/>
  <c r="AI33" i="50" s="1"/>
  <c r="AM33" i="50"/>
  <c r="AC141" i="57"/>
  <c r="AJ141" i="57"/>
  <c r="AK136" i="57"/>
  <c r="R136" i="57"/>
  <c r="W55" i="50"/>
  <c r="X55" i="50" s="1"/>
  <c r="Z55" i="50"/>
  <c r="V51" i="50"/>
  <c r="W51" i="50"/>
  <c r="X51" i="50" s="1"/>
  <c r="R111" i="57"/>
  <c r="AK111" i="57"/>
  <c r="AJ111" i="57"/>
  <c r="Q111" i="57"/>
  <c r="T111" i="57" s="1"/>
  <c r="AD111" i="57"/>
  <c r="AC111" i="57"/>
  <c r="U47" i="50"/>
  <c r="AD47" i="50" s="1"/>
  <c r="AG47" i="50" s="1"/>
  <c r="AH47" i="50" s="1"/>
  <c r="AI47" i="50" s="1"/>
  <c r="AM47" i="50"/>
  <c r="AK101" i="57"/>
  <c r="AE101" i="57"/>
  <c r="AJ101" i="57"/>
  <c r="AD52" i="50"/>
  <c r="AG52" i="50" s="1"/>
  <c r="AH52" i="50" s="1"/>
  <c r="AI52" i="50" s="1"/>
  <c r="Q107" i="57"/>
  <c r="T107" i="57" s="1"/>
  <c r="AC98" i="57"/>
  <c r="AD89" i="57"/>
  <c r="C23" i="50"/>
  <c r="V23" i="50"/>
  <c r="AD22" i="57"/>
  <c r="R22" i="57"/>
  <c r="AQ22" i="57"/>
  <c r="AE22" i="57"/>
  <c r="Q22" i="57"/>
  <c r="T22" i="57" s="1"/>
  <c r="AC22" i="57"/>
  <c r="AJ22" i="57"/>
  <c r="U64" i="50"/>
  <c r="AD64" i="50" s="1"/>
  <c r="AG64" i="50" s="1"/>
  <c r="AH64" i="50" s="1"/>
  <c r="AI64" i="50" s="1"/>
  <c r="R107" i="57"/>
  <c r="AD106" i="57"/>
  <c r="AE99" i="57"/>
  <c r="Q98" i="57"/>
  <c r="T98" i="57" s="1"/>
  <c r="AJ63" i="57"/>
  <c r="AC63" i="57"/>
  <c r="AD63" i="57"/>
  <c r="AK62" i="57"/>
  <c r="AC62" i="57"/>
  <c r="AE62" i="57"/>
  <c r="AQ62" i="57"/>
  <c r="AJ62" i="57"/>
  <c r="R62" i="57"/>
  <c r="Q62" i="57"/>
  <c r="T62" i="57" s="1"/>
  <c r="AK28" i="57"/>
  <c r="AC28" i="57"/>
  <c r="AJ28" i="57"/>
  <c r="AD28" i="57"/>
  <c r="AQ28" i="57"/>
  <c r="AK17" i="57"/>
  <c r="AE17" i="57"/>
  <c r="AC17" i="57"/>
  <c r="AK15" i="57"/>
  <c r="AC15" i="57"/>
  <c r="AQ15" i="57"/>
  <c r="AD15" i="57"/>
  <c r="AE15" i="57"/>
  <c r="R15" i="57"/>
  <c r="Q15" i="57"/>
  <c r="T15" i="57" s="1"/>
  <c r="AD66" i="50"/>
  <c r="AG66" i="50" s="1"/>
  <c r="AH66" i="50" s="1"/>
  <c r="AI66" i="50" s="1"/>
  <c r="AJ107" i="57"/>
  <c r="AM25" i="50"/>
  <c r="AD26" i="50"/>
  <c r="AG26" i="50" s="1"/>
  <c r="AH26" i="50" s="1"/>
  <c r="AI26" i="50" s="1"/>
  <c r="AJ80" i="57"/>
  <c r="AQ52" i="57"/>
  <c r="AE52" i="57"/>
  <c r="AC52" i="57"/>
  <c r="AD52" i="57"/>
  <c r="AJ52" i="57"/>
  <c r="R52" i="57"/>
  <c r="AD25" i="57"/>
  <c r="AK25" i="57"/>
  <c r="AE25" i="57"/>
  <c r="R25" i="57"/>
  <c r="AC25" i="57"/>
  <c r="Q17" i="57"/>
  <c r="T17" i="57" s="1"/>
  <c r="Q106" i="57"/>
  <c r="T106" i="57" s="1"/>
  <c r="X106" i="57" s="1"/>
  <c r="AD46" i="50"/>
  <c r="AG46" i="50" s="1"/>
  <c r="AH46" i="50" s="1"/>
  <c r="AI46" i="50" s="1"/>
  <c r="V26" i="50"/>
  <c r="Z20" i="50"/>
  <c r="V20" i="50"/>
  <c r="AK82" i="57"/>
  <c r="AC82" i="57"/>
  <c r="R48" i="57"/>
  <c r="AC48" i="57"/>
  <c r="AK24" i="57"/>
  <c r="AC24" i="57"/>
  <c r="AJ24" i="57"/>
  <c r="AD24" i="57"/>
  <c r="Q24" i="57"/>
  <c r="T24" i="57" s="1"/>
  <c r="AQ24" i="57"/>
  <c r="R24" i="57"/>
  <c r="AQ16" i="57"/>
  <c r="AD16" i="57"/>
  <c r="AE16" i="57"/>
  <c r="R16" i="57"/>
  <c r="AC16" i="57"/>
  <c r="AJ16" i="57"/>
  <c r="AD51" i="50"/>
  <c r="AG51" i="50" s="1"/>
  <c r="AH51" i="50" s="1"/>
  <c r="AI51" i="50" s="1"/>
  <c r="R89" i="57"/>
  <c r="AK89" i="57"/>
  <c r="AC89" i="57"/>
  <c r="AM24" i="50"/>
  <c r="AC41" i="57"/>
  <c r="AE41" i="57"/>
  <c r="Q41" i="57"/>
  <c r="T41" i="57" s="1"/>
  <c r="R36" i="57"/>
  <c r="AC36" i="57"/>
  <c r="R34" i="57"/>
  <c r="AK34" i="57"/>
  <c r="Q34" i="57"/>
  <c r="T34" i="57" s="1"/>
  <c r="AD34" i="57"/>
  <c r="AE34" i="57"/>
  <c r="AQ34" i="57"/>
  <c r="AC34" i="57"/>
  <c r="AE32" i="57"/>
  <c r="AC30" i="57"/>
  <c r="R32" i="57"/>
  <c r="AM18" i="50"/>
  <c r="AM15" i="50"/>
  <c r="AQ71" i="57"/>
  <c r="AC67" i="57"/>
  <c r="AD47" i="57"/>
  <c r="AK47" i="57"/>
  <c r="AJ42" i="57"/>
  <c r="R39" i="57"/>
  <c r="AK39" i="57"/>
  <c r="Q32" i="57"/>
  <c r="T32" i="57" s="1"/>
  <c r="AD15" i="50"/>
  <c r="AG15" i="50" s="1"/>
  <c r="AH15" i="50" s="1"/>
  <c r="AI15" i="50" s="1"/>
  <c r="R51" i="57"/>
  <c r="AJ47" i="57"/>
  <c r="AQ42" i="57"/>
  <c r="AK30" i="57"/>
  <c r="AJ77" i="57"/>
  <c r="AQ77" i="57"/>
  <c r="Q76" i="57"/>
  <c r="T76" i="57" s="1"/>
  <c r="AE70" i="57"/>
  <c r="Q67" i="57"/>
  <c r="T67" i="57" s="1"/>
  <c r="AE26" i="57"/>
  <c r="AD21" i="57"/>
  <c r="R76" i="57"/>
  <c r="X76" i="57" s="1"/>
  <c r="AQ51" i="57"/>
  <c r="AE39" i="57"/>
  <c r="Q30" i="57"/>
  <c r="T30" i="57" s="1"/>
  <c r="X30" i="57" s="1"/>
  <c r="AC51" i="57"/>
  <c r="AD39" i="57"/>
  <c r="AC32" i="57"/>
  <c r="Z257" i="50"/>
  <c r="W257" i="50"/>
  <c r="X257" i="50" s="1"/>
  <c r="C257" i="50"/>
  <c r="V257" i="50"/>
  <c r="AJ257" i="50"/>
  <c r="C255" i="50"/>
  <c r="AJ255" i="50"/>
  <c r="W255" i="50"/>
  <c r="X255" i="50" s="1"/>
  <c r="V255" i="50"/>
  <c r="Z255" i="50"/>
  <c r="Z253" i="50"/>
  <c r="C253" i="50"/>
  <c r="AJ253" i="50"/>
  <c r="W253" i="50"/>
  <c r="X253" i="50" s="1"/>
  <c r="V253" i="50"/>
  <c r="V251" i="50"/>
  <c r="Z251" i="50"/>
  <c r="W251" i="50"/>
  <c r="X251" i="50" s="1"/>
  <c r="AJ251" i="50"/>
  <c r="C251" i="50"/>
  <c r="Z243" i="50"/>
  <c r="W243" i="50"/>
  <c r="X243" i="50" s="1"/>
  <c r="V243" i="50"/>
  <c r="C243" i="50"/>
  <c r="AJ243" i="50"/>
  <c r="C234" i="50"/>
  <c r="W234" i="50"/>
  <c r="X234" i="50" s="1"/>
  <c r="AJ234" i="50"/>
  <c r="V234" i="50"/>
  <c r="Z37" i="22"/>
  <c r="AB37" i="22" s="1"/>
  <c r="AD37" i="22" s="1"/>
  <c r="BD149" i="22" s="1"/>
  <c r="E162" i="72" s="1"/>
  <c r="Z46" i="22"/>
  <c r="AB46" i="22" s="1"/>
  <c r="AD46" i="22" s="1"/>
  <c r="BD43" i="22" s="1"/>
  <c r="E53" i="72" s="1"/>
  <c r="Z26" i="22"/>
  <c r="AB26" i="22" s="1"/>
  <c r="AD26" i="22" s="1"/>
  <c r="BD7" i="22" s="1"/>
  <c r="E15" i="72" s="1"/>
  <c r="Z107" i="22"/>
  <c r="AB107" i="22" s="1"/>
  <c r="AD107" i="22" s="1"/>
  <c r="BD21" i="22" s="1"/>
  <c r="E29" i="72" s="1"/>
  <c r="Z72" i="22"/>
  <c r="AB72" i="22" s="1"/>
  <c r="AD72" i="22" s="1"/>
  <c r="BD130" i="22" s="1"/>
  <c r="E145" i="72" s="1"/>
  <c r="Z81" i="22"/>
  <c r="AB81" i="22" s="1"/>
  <c r="AD81" i="22" s="1"/>
  <c r="BD137" i="22" s="1"/>
  <c r="E150" i="72" s="1"/>
  <c r="Z64" i="22"/>
  <c r="AB64" i="22" s="1"/>
  <c r="AD64" i="22" s="1"/>
  <c r="BD157" i="22" s="1"/>
  <c r="Z73" i="22"/>
  <c r="AB73" i="22" s="1"/>
  <c r="AD73" i="22" s="1"/>
  <c r="BD50" i="22" s="1"/>
  <c r="E60" i="72" s="1"/>
  <c r="Z17" i="22"/>
  <c r="AB17" i="22" s="1"/>
  <c r="AD17" i="22" s="1"/>
  <c r="BD32" i="22" s="1"/>
  <c r="E43" i="72" s="1"/>
  <c r="Z77" i="22"/>
  <c r="AB77" i="22" s="1"/>
  <c r="AD77" i="22" s="1"/>
  <c r="BD135" i="22" s="1"/>
  <c r="E148" i="72" s="1"/>
  <c r="Z39" i="22"/>
  <c r="AB39" i="22" s="1"/>
  <c r="AD39" i="22" s="1"/>
  <c r="BD37" i="22" s="1"/>
  <c r="E48" i="72" s="1"/>
  <c r="Z69" i="22"/>
  <c r="AB69" i="22" s="1"/>
  <c r="AD69" i="22" s="1"/>
  <c r="BD127" i="22" s="1"/>
  <c r="E141" i="72" s="1"/>
  <c r="Z97" i="22"/>
  <c r="AB97" i="22" s="1"/>
  <c r="AD97" i="22" s="1"/>
  <c r="BD100" i="22" s="1"/>
  <c r="E112" i="72" s="1"/>
  <c r="Z33" i="22"/>
  <c r="AB33" i="22" s="1"/>
  <c r="AD33" i="22" s="1"/>
  <c r="BD92" i="22" s="1"/>
  <c r="E102" i="72" s="1"/>
  <c r="Z18" i="22"/>
  <c r="AB18" i="22" s="1"/>
  <c r="AD18" i="22" s="1"/>
  <c r="BD5" i="22" s="1"/>
  <c r="E13" i="72" s="1"/>
  <c r="Z42" i="22"/>
  <c r="AB42" i="22" s="1"/>
  <c r="AD42" i="22" s="1"/>
  <c r="BD39" i="22" s="1"/>
  <c r="E49" i="72" s="1"/>
  <c r="Y129" i="22"/>
  <c r="AA129" i="22" s="1"/>
  <c r="Y135" i="22"/>
  <c r="AA135" i="22" s="1"/>
  <c r="Y117" i="22"/>
  <c r="AA117" i="22" s="1"/>
  <c r="Y110" i="22"/>
  <c r="AA110" i="22" s="1"/>
  <c r="Y120" i="22"/>
  <c r="AA120" i="22" s="1"/>
  <c r="Y27" i="22"/>
  <c r="AA27" i="22" s="1"/>
  <c r="Y17" i="22"/>
  <c r="AA17" i="22" s="1"/>
  <c r="Y8" i="22"/>
  <c r="AA8" i="22" s="1"/>
  <c r="Y101" i="22"/>
  <c r="AA101" i="22" s="1"/>
  <c r="Y99" i="22"/>
  <c r="AA99" i="22" s="1"/>
  <c r="Y53" i="22"/>
  <c r="AA53" i="22" s="1"/>
  <c r="Y86" i="22"/>
  <c r="AA86" i="22" s="1"/>
  <c r="Y43" i="22"/>
  <c r="AA43" i="22" s="1"/>
  <c r="Y12" i="22"/>
  <c r="AA12" i="22" s="1"/>
  <c r="Y48" i="22"/>
  <c r="AA48" i="22" s="1"/>
  <c r="Y7" i="22"/>
  <c r="AA7" i="22" s="1"/>
  <c r="Y97" i="22"/>
  <c r="AA97" i="22" s="1"/>
  <c r="Z234" i="50"/>
  <c r="Z9" i="22"/>
  <c r="AB9" i="22" s="1"/>
  <c r="AD9" i="22" s="1"/>
  <c r="BD118" i="22" s="1"/>
  <c r="E130" i="72" s="1"/>
  <c r="Z109" i="22"/>
  <c r="AB109" i="22" s="1"/>
  <c r="AD109" i="22" s="1"/>
  <c r="BD22" i="22" s="1"/>
  <c r="E30" i="72" s="1"/>
  <c r="Z79" i="22"/>
  <c r="AB79" i="22" s="1"/>
  <c r="AD79" i="22" s="1"/>
  <c r="BD136" i="22" s="1"/>
  <c r="E149" i="72" s="1"/>
  <c r="Z131" i="22"/>
  <c r="AB131" i="22" s="1"/>
  <c r="Z76" i="22"/>
  <c r="AB76" i="22" s="1"/>
  <c r="Z130" i="22"/>
  <c r="AB130" i="22" s="1"/>
  <c r="AD130" i="22" s="1"/>
  <c r="BD72" i="22" s="1"/>
  <c r="E81" i="72" s="1"/>
  <c r="Z44" i="22"/>
  <c r="AB44" i="22" s="1"/>
  <c r="AD44" i="22" s="1"/>
  <c r="BD41" i="22" s="1"/>
  <c r="E51" i="72" s="1"/>
  <c r="Z32" i="22"/>
  <c r="AB32" i="22" s="1"/>
  <c r="AD32" i="22" s="1"/>
  <c r="BD35" i="22" s="1"/>
  <c r="E46" i="72" s="1"/>
  <c r="Z75" i="22"/>
  <c r="AB75" i="22" s="1"/>
  <c r="AD75" i="22" s="1"/>
  <c r="BD132" i="22" s="1"/>
  <c r="E147" i="72" s="1"/>
  <c r="Z118" i="22"/>
  <c r="AB118" i="22" s="1"/>
  <c r="AD118" i="22" s="1"/>
  <c r="BD24" i="22" s="1"/>
  <c r="E32" i="72" s="1"/>
  <c r="Z30" i="22"/>
  <c r="AB30" i="22" s="1"/>
  <c r="AD30" i="22" s="1"/>
  <c r="BD90" i="22" s="1"/>
  <c r="E99" i="72" s="1"/>
  <c r="Z7" i="22"/>
  <c r="AB7" i="22" s="1"/>
  <c r="AD7" i="22" s="1"/>
  <c r="BD83" i="22" s="1"/>
  <c r="E92" i="72" s="1"/>
  <c r="Z117" i="22"/>
  <c r="AB117" i="22" s="1"/>
  <c r="AD117" i="22" s="1"/>
  <c r="BD73" i="22" s="1"/>
  <c r="E82" i="72" s="1"/>
  <c r="Z41" i="22"/>
  <c r="AB41" i="22" s="1"/>
  <c r="AD41" i="22" s="1"/>
  <c r="BD122" i="22" s="1"/>
  <c r="E134" i="72" s="1"/>
  <c r="Z95" i="22"/>
  <c r="AB95" i="22" s="1"/>
  <c r="AD95" i="22" s="1"/>
  <c r="BD98" i="22" s="1"/>
  <c r="E110" i="72" s="1"/>
  <c r="Z124" i="22"/>
  <c r="AB124" i="22" s="1"/>
  <c r="AD124" i="22" s="1"/>
  <c r="BD142" i="22" s="1"/>
  <c r="E155" i="72" s="1"/>
  <c r="Z31" i="22"/>
  <c r="AB31" i="22" s="1"/>
  <c r="AD31" i="22" s="1"/>
  <c r="BD91" i="22" s="1"/>
  <c r="E101" i="72" s="1"/>
  <c r="Z92" i="22"/>
  <c r="AB92" i="22" s="1"/>
  <c r="AD92" i="22" s="1"/>
  <c r="BD54" i="22" s="1"/>
  <c r="E64" i="72" s="1"/>
  <c r="Z127" i="22"/>
  <c r="AB127" i="22" s="1"/>
  <c r="AD127" i="22" s="1"/>
  <c r="BD145" i="22" s="1"/>
  <c r="E158" i="72" s="1"/>
  <c r="Z139" i="22"/>
  <c r="AB139" i="22" s="1"/>
  <c r="AD139" i="22" s="1"/>
  <c r="Z88" i="22"/>
  <c r="AB88" i="22" s="1"/>
  <c r="AD88" i="22" s="1"/>
  <c r="BD51" i="22" s="1"/>
  <c r="E61" i="72" s="1"/>
  <c r="Y134" i="22"/>
  <c r="AA134" i="22" s="1"/>
  <c r="Y115" i="22"/>
  <c r="AA115" i="22" s="1"/>
  <c r="Y137" i="22"/>
  <c r="AA137" i="22" s="1"/>
  <c r="AC137" i="22" s="1"/>
  <c r="Y50" i="22"/>
  <c r="AA50" i="22" s="1"/>
  <c r="Y121" i="22"/>
  <c r="AA121" i="22" s="1"/>
  <c r="Y127" i="22"/>
  <c r="AA127" i="22" s="1"/>
  <c r="Y60" i="22"/>
  <c r="AA60" i="22" s="1"/>
  <c r="Y64" i="22"/>
  <c r="AA64" i="22" s="1"/>
  <c r="Y13" i="22"/>
  <c r="AA13" i="22" s="1"/>
  <c r="Y22" i="22"/>
  <c r="AA22" i="22" s="1"/>
  <c r="Y68" i="22"/>
  <c r="AA68" i="22" s="1"/>
  <c r="Y62" i="22"/>
  <c r="AA62" i="22" s="1"/>
  <c r="Y82" i="22"/>
  <c r="AA82" i="22" s="1"/>
  <c r="Y10" i="22"/>
  <c r="AA10" i="22" s="1"/>
  <c r="Y39" i="22"/>
  <c r="AA39" i="22" s="1"/>
  <c r="Y75" i="22"/>
  <c r="AA75" i="22" s="1"/>
  <c r="Y18" i="22"/>
  <c r="AA18" i="22" s="1"/>
  <c r="Y92" i="22"/>
  <c r="AA92" i="22" s="1"/>
  <c r="Y15" i="22"/>
  <c r="AA15" i="22" s="1"/>
  <c r="Z125" i="22"/>
  <c r="AB125" i="22" s="1"/>
  <c r="AD125" i="22" s="1"/>
  <c r="BD143" i="22" s="1"/>
  <c r="E156" i="72" s="1"/>
  <c r="Z106" i="22"/>
  <c r="AB106" i="22" s="1"/>
  <c r="AD106" i="22" s="1"/>
  <c r="BD63" i="22" s="1"/>
  <c r="E72" i="72" s="1"/>
  <c r="Z111" i="22"/>
  <c r="AB111" i="22" s="1"/>
  <c r="AD111" i="22" s="1"/>
  <c r="BD23" i="22" s="1"/>
  <c r="E31" i="72" s="1"/>
  <c r="Z85" i="22"/>
  <c r="AB85" i="22" s="1"/>
  <c r="AD85" i="22" s="1"/>
  <c r="BD15" i="22" s="1"/>
  <c r="E23" i="72" s="1"/>
  <c r="Z60" i="22"/>
  <c r="AB60" i="22" s="1"/>
  <c r="Z5" i="22"/>
  <c r="AB5" i="22" s="1"/>
  <c r="AD5" i="22" s="1"/>
  <c r="BD81" i="22" s="1"/>
  <c r="E90" i="72" s="1"/>
  <c r="Z87" i="22"/>
  <c r="AB87" i="22" s="1"/>
  <c r="AD87" i="22" s="1"/>
  <c r="BD17" i="22" s="1"/>
  <c r="E25" i="72" s="1"/>
  <c r="Z101" i="22"/>
  <c r="AB101" i="22" s="1"/>
  <c r="AD101" i="22" s="1"/>
  <c r="BD60" i="22" s="1"/>
  <c r="E69" i="72" s="1"/>
  <c r="Z23" i="22"/>
  <c r="AB23" i="22" s="1"/>
  <c r="AD23" i="22" s="1"/>
  <c r="BD33" i="22" s="1"/>
  <c r="E44" i="72" s="1"/>
  <c r="Z68" i="22"/>
  <c r="AB68" i="22" s="1"/>
  <c r="AD68" i="22" s="1"/>
  <c r="BD126" i="22" s="1"/>
  <c r="E140" i="72" s="1"/>
  <c r="Z59" i="22"/>
  <c r="AB59" i="22" s="1"/>
  <c r="AD59" i="22" s="1"/>
  <c r="BD95" i="22" s="1"/>
  <c r="E105" i="72" s="1"/>
  <c r="Z36" i="22"/>
  <c r="AB36" i="22" s="1"/>
  <c r="AD36" i="22" s="1"/>
  <c r="BD36" i="22" s="1"/>
  <c r="E47" i="72" s="1"/>
  <c r="Z38" i="22"/>
  <c r="AB38" i="22" s="1"/>
  <c r="AD38" i="22" s="1"/>
  <c r="BD104" i="22" s="1"/>
  <c r="E100" i="72" s="1"/>
  <c r="Z123" i="22"/>
  <c r="AB123" i="22" s="1"/>
  <c r="AD123" i="22" s="1"/>
  <c r="BD141" i="22" s="1"/>
  <c r="E154" i="72" s="1"/>
  <c r="Z51" i="22"/>
  <c r="AB51" i="22" s="1"/>
  <c r="Z65" i="22"/>
  <c r="AB65" i="22" s="1"/>
  <c r="AD65" i="22" s="1"/>
  <c r="BD96" i="22" s="1"/>
  <c r="E106" i="72" s="1"/>
  <c r="Z99" i="22"/>
  <c r="AB99" i="22" s="1"/>
  <c r="AD99" i="22" s="1"/>
  <c r="BD58" i="22" s="1"/>
  <c r="E67" i="72" s="1"/>
  <c r="Y139" i="22"/>
  <c r="AA139" i="22" s="1"/>
  <c r="AC139" i="22" s="1"/>
  <c r="Y132" i="22"/>
  <c r="AA132" i="22" s="1"/>
  <c r="Y122" i="22"/>
  <c r="AA122" i="22" s="1"/>
  <c r="Y107" i="22"/>
  <c r="AA107" i="22" s="1"/>
  <c r="Y31" i="22"/>
  <c r="AA31" i="22" s="1"/>
  <c r="Y33" i="22"/>
  <c r="AA33" i="22" s="1"/>
  <c r="Y9" i="22"/>
  <c r="AA9" i="22" s="1"/>
  <c r="Y98" i="22"/>
  <c r="AA98" i="22" s="1"/>
  <c r="Y69" i="22"/>
  <c r="AA69" i="22" s="1"/>
  <c r="Y35" i="22"/>
  <c r="AA35" i="22" s="1"/>
  <c r="Y88" i="22"/>
  <c r="AA88" i="22" s="1"/>
  <c r="Y96" i="22"/>
  <c r="AA96" i="22" s="1"/>
  <c r="Y58" i="22"/>
  <c r="AA58" i="22" s="1"/>
  <c r="Y42" i="22"/>
  <c r="AA42" i="22" s="1"/>
  <c r="Y29" i="22"/>
  <c r="AA29" i="22" s="1"/>
  <c r="Z74" i="22"/>
  <c r="AB74" i="22" s="1"/>
  <c r="AD74" i="22" s="1"/>
  <c r="BD131" i="22" s="1"/>
  <c r="E146" i="72" s="1"/>
  <c r="Z47" i="22"/>
  <c r="AB47" i="22" s="1"/>
  <c r="AD47" i="22" s="1"/>
  <c r="BD44" i="22" s="1"/>
  <c r="E54" i="72" s="1"/>
  <c r="Z122" i="22"/>
  <c r="AB122" i="22" s="1"/>
  <c r="AD122" i="22" s="1"/>
  <c r="BD140" i="22" s="1"/>
  <c r="E153" i="72" s="1"/>
  <c r="Z78" i="22"/>
  <c r="AB78" i="22" s="1"/>
  <c r="AD78" i="22" s="1"/>
  <c r="BD159" i="22" s="1"/>
  <c r="Z105" i="22"/>
  <c r="AB105" i="22" s="1"/>
  <c r="AD105" i="22" s="1"/>
  <c r="BD20" i="22" s="1"/>
  <c r="E28" i="72" s="1"/>
  <c r="Z22" i="22"/>
  <c r="AB22" i="22" s="1"/>
  <c r="AD22" i="22" s="1"/>
  <c r="BD85" i="22" s="1"/>
  <c r="E94" i="72" s="1"/>
  <c r="Z14" i="22"/>
  <c r="AB14" i="22" s="1"/>
  <c r="Z120" i="22"/>
  <c r="AB120" i="22" s="1"/>
  <c r="AD120" i="22" s="1"/>
  <c r="BD70" i="22" s="1"/>
  <c r="E79" i="72" s="1"/>
  <c r="Z113" i="22"/>
  <c r="AB113" i="22" s="1"/>
  <c r="AD113" i="22" s="1"/>
  <c r="BD66" i="22" s="1"/>
  <c r="E75" i="72" s="1"/>
  <c r="Z15" i="22"/>
  <c r="AB15" i="22" s="1"/>
  <c r="AD15" i="22" s="1"/>
  <c r="BD120" i="22" s="1"/>
  <c r="E132" i="72" s="1"/>
  <c r="Z82" i="22"/>
  <c r="AB82" i="22" s="1"/>
  <c r="Z56" i="22"/>
  <c r="AB56" i="22" s="1"/>
  <c r="AD56" i="22" s="1"/>
  <c r="BD48" i="22" s="1"/>
  <c r="E58" i="72" s="1"/>
  <c r="Z108" i="22"/>
  <c r="AB108" i="22" s="1"/>
  <c r="AD108" i="22" s="1"/>
  <c r="BD64" i="22" s="1"/>
  <c r="E73" i="72" s="1"/>
  <c r="Z10" i="22"/>
  <c r="AB10" i="22" s="1"/>
  <c r="AD10" i="22" s="1"/>
  <c r="BD114" i="22" s="1"/>
  <c r="E126" i="72" s="1"/>
  <c r="Z13" i="22"/>
  <c r="AB13" i="22" s="1"/>
  <c r="AD13" i="22" s="1"/>
  <c r="BD117" i="22" s="1"/>
  <c r="E129" i="72" s="1"/>
  <c r="Z45" i="22"/>
  <c r="AB45" i="22" s="1"/>
  <c r="AD45" i="22" s="1"/>
  <c r="BD42" i="22" s="1"/>
  <c r="E52" i="72" s="1"/>
  <c r="Y80" i="22"/>
  <c r="AA80" i="22" s="1"/>
  <c r="Y123" i="22"/>
  <c r="AA123" i="22" s="1"/>
  <c r="Y133" i="22"/>
  <c r="AA133" i="22" s="1"/>
  <c r="Y118" i="22"/>
  <c r="AA118" i="22" s="1"/>
  <c r="Y111" i="22"/>
  <c r="AA111" i="22" s="1"/>
  <c r="Y114" i="22"/>
  <c r="AA114" i="22" s="1"/>
  <c r="Y109" i="22"/>
  <c r="AA109" i="22" s="1"/>
  <c r="Y83" i="22"/>
  <c r="AA83" i="22" s="1"/>
  <c r="Y19" i="22"/>
  <c r="AA19" i="22" s="1"/>
  <c r="Y95" i="22"/>
  <c r="AA95" i="22" s="1"/>
  <c r="Y70" i="22"/>
  <c r="AA70" i="22" s="1"/>
  <c r="Y77" i="22"/>
  <c r="AA77" i="22" s="1"/>
  <c r="Y90" i="22"/>
  <c r="AA90" i="22" s="1"/>
  <c r="Y67" i="22"/>
  <c r="AA67" i="22" s="1"/>
  <c r="Y89" i="22"/>
  <c r="AA89" i="22" s="1"/>
  <c r="Y37" i="22"/>
  <c r="AA37" i="22" s="1"/>
  <c r="Y11" i="22"/>
  <c r="AA11" i="22" s="1"/>
  <c r="Y52" i="22"/>
  <c r="AA52" i="22" s="1"/>
  <c r="Y81" i="22"/>
  <c r="AA81" i="22" s="1"/>
  <c r="Z62" i="22"/>
  <c r="AB62" i="22" s="1"/>
  <c r="AD62" i="22" s="1"/>
  <c r="BD124" i="22" s="1"/>
  <c r="E137" i="72" s="1"/>
  <c r="Z70" i="22"/>
  <c r="AB70" i="22" s="1"/>
  <c r="AD70" i="22" s="1"/>
  <c r="BD128" i="22" s="1"/>
  <c r="E142" i="72" s="1"/>
  <c r="Z110" i="22"/>
  <c r="AB110" i="22" s="1"/>
  <c r="AD110" i="22" s="1"/>
  <c r="BD65" i="22" s="1"/>
  <c r="E74" i="72" s="1"/>
  <c r="Z25" i="22"/>
  <c r="AB25" i="22" s="1"/>
  <c r="AD25" i="22" s="1"/>
  <c r="BD34" i="22" s="1"/>
  <c r="E45" i="72" s="1"/>
  <c r="Z27" i="22"/>
  <c r="AB27" i="22" s="1"/>
  <c r="Z136" i="22"/>
  <c r="AB136" i="22" s="1"/>
  <c r="AD136" i="22" s="1"/>
  <c r="Z43" i="22"/>
  <c r="AB43" i="22" s="1"/>
  <c r="AD43" i="22" s="1"/>
  <c r="BD40" i="22" s="1"/>
  <c r="E50" i="72" s="1"/>
  <c r="Z71" i="22"/>
  <c r="AB71" i="22" s="1"/>
  <c r="AD71" i="22" s="1"/>
  <c r="BD97" i="22" s="1"/>
  <c r="E107" i="72" s="1"/>
  <c r="Z138" i="22"/>
  <c r="AB138" i="22" s="1"/>
  <c r="AD138" i="22" s="1"/>
  <c r="Z49" i="22"/>
  <c r="AB49" i="22" s="1"/>
  <c r="AD49" i="22" s="1"/>
  <c r="BD94" i="22" s="1"/>
  <c r="E104" i="72" s="1"/>
  <c r="Z129" i="22"/>
  <c r="AB129" i="22" s="1"/>
  <c r="AD129" i="22" s="1"/>
  <c r="BD102" i="22" s="1"/>
  <c r="E114" i="72" s="1"/>
  <c r="Z119" i="22"/>
  <c r="AB119" i="22" s="1"/>
  <c r="AD119" i="22" s="1"/>
  <c r="BD69" i="22" s="1"/>
  <c r="E78" i="72" s="1"/>
  <c r="Z6" i="22"/>
  <c r="AB6" i="22" s="1"/>
  <c r="AD6" i="22" s="1"/>
  <c r="BD82" i="22" s="1"/>
  <c r="E91" i="72" s="1"/>
  <c r="Z55" i="22"/>
  <c r="AB55" i="22" s="1"/>
  <c r="AD55" i="22" s="1"/>
  <c r="BD151" i="22" s="1"/>
  <c r="E136" i="72" s="1"/>
  <c r="Z83" i="22"/>
  <c r="AB83" i="22" s="1"/>
  <c r="AD83" i="22" s="1"/>
  <c r="BD13" i="22" s="1"/>
  <c r="E21" i="72" s="1"/>
  <c r="Z12" i="22"/>
  <c r="AB12" i="22" s="1"/>
  <c r="AD12" i="22" s="1"/>
  <c r="BD116" i="22" s="1"/>
  <c r="E128" i="72" s="1"/>
  <c r="Z4" i="22"/>
  <c r="AB4" i="22" s="1"/>
  <c r="Y119" i="22"/>
  <c r="AA119" i="22" s="1"/>
  <c r="Y131" i="22"/>
  <c r="AA131" i="22" s="1"/>
  <c r="Y113" i="22"/>
  <c r="AA113" i="22" s="1"/>
  <c r="Y126" i="22"/>
  <c r="AA126" i="22" s="1"/>
  <c r="Y112" i="22"/>
  <c r="AA112" i="22" s="1"/>
  <c r="Y34" i="22"/>
  <c r="AA34" i="22" s="1"/>
  <c r="Y56" i="22"/>
  <c r="AA56" i="22" s="1"/>
  <c r="Y87" i="22"/>
  <c r="AA87" i="22" s="1"/>
  <c r="Y23" i="22"/>
  <c r="AA23" i="22" s="1"/>
  <c r="Y47" i="22"/>
  <c r="AA47" i="22" s="1"/>
  <c r="Y61" i="22"/>
  <c r="AA61" i="22" s="1"/>
  <c r="Y72" i="22"/>
  <c r="AA72" i="22" s="1"/>
  <c r="Y40" i="22"/>
  <c r="AA40" i="22" s="1"/>
  <c r="Y41" i="22"/>
  <c r="AA41" i="22" s="1"/>
  <c r="Y63" i="22"/>
  <c r="AA63" i="22" s="1"/>
  <c r="Y93" i="22"/>
  <c r="AA93" i="22" s="1"/>
  <c r="Y36" i="22"/>
  <c r="AA36" i="22" s="1"/>
  <c r="Z28" i="22"/>
  <c r="AB28" i="22" s="1"/>
  <c r="AD28" i="22" s="1"/>
  <c r="BD88" i="22" s="1"/>
  <c r="E97" i="72" s="1"/>
  <c r="Z96" i="22"/>
  <c r="AB96" i="22" s="1"/>
  <c r="AD96" i="22" s="1"/>
  <c r="BD99" i="22" s="1"/>
  <c r="E111" i="72" s="1"/>
  <c r="Z8" i="22"/>
  <c r="AB8" i="22" s="1"/>
  <c r="AD8" i="22" s="1"/>
  <c r="BD113" i="22" s="1"/>
  <c r="E125" i="72" s="1"/>
  <c r="Z16" i="22"/>
  <c r="AB16" i="22" s="1"/>
  <c r="AD16" i="22" s="1"/>
  <c r="BD31" i="22" s="1"/>
  <c r="E42" i="72" s="1"/>
  <c r="Z57" i="22"/>
  <c r="AB57" i="22" s="1"/>
  <c r="AD57" i="22" s="1"/>
  <c r="BD11" i="22" s="1"/>
  <c r="E19" i="72" s="1"/>
  <c r="Z89" i="22"/>
  <c r="AB89" i="22" s="1"/>
  <c r="AD89" i="22" s="1"/>
  <c r="BD18" i="22" s="1"/>
  <c r="E26" i="72" s="1"/>
  <c r="Z91" i="22"/>
  <c r="AB91" i="22" s="1"/>
  <c r="AD91" i="22" s="1"/>
  <c r="BD53" i="22" s="1"/>
  <c r="E63" i="72" s="1"/>
  <c r="Z21" i="22"/>
  <c r="AB21" i="22" s="1"/>
  <c r="AD21" i="22" s="1"/>
  <c r="BD84" i="22" s="1"/>
  <c r="E93" i="72" s="1"/>
  <c r="Z19" i="22"/>
  <c r="AB19" i="22" s="1"/>
  <c r="AD19" i="22" s="1"/>
  <c r="BD6" i="22" s="1"/>
  <c r="E14" i="72" s="1"/>
  <c r="Z103" i="22"/>
  <c r="AB103" i="22" s="1"/>
  <c r="Z86" i="22"/>
  <c r="AB86" i="22" s="1"/>
  <c r="AD86" i="22" s="1"/>
  <c r="BD16" i="22" s="1"/>
  <c r="E24" i="72" s="1"/>
  <c r="Z134" i="22"/>
  <c r="AB134" i="22" s="1"/>
  <c r="Z80" i="22"/>
  <c r="AB80" i="22" s="1"/>
  <c r="AD80" i="22" s="1"/>
  <c r="BD134" i="22" s="1"/>
  <c r="E138" i="72" s="1"/>
  <c r="Z114" i="22"/>
  <c r="AB114" i="22" s="1"/>
  <c r="AD114" i="22" s="1"/>
  <c r="BD67" i="22" s="1"/>
  <c r="E76" i="72" s="1"/>
  <c r="Z90" i="22"/>
  <c r="AB90" i="22" s="1"/>
  <c r="Z137" i="22"/>
  <c r="AB137" i="22" s="1"/>
  <c r="AD137" i="22" s="1"/>
  <c r="Z116" i="22"/>
  <c r="AB116" i="22" s="1"/>
  <c r="AD116" i="22" s="1"/>
  <c r="BD139" i="22" s="1"/>
  <c r="E152" i="72" s="1"/>
  <c r="Z35" i="22"/>
  <c r="AB35" i="22" s="1"/>
  <c r="AD35" i="22" s="1"/>
  <c r="BD121" i="22" s="1"/>
  <c r="E133" i="72" s="1"/>
  <c r="Y55" i="22"/>
  <c r="AA55" i="22" s="1"/>
  <c r="Y116" i="22"/>
  <c r="AA116" i="22" s="1"/>
  <c r="Y130" i="22"/>
  <c r="AA130" i="22" s="1"/>
  <c r="Y105" i="22"/>
  <c r="AA105" i="22" s="1"/>
  <c r="Y4" i="22"/>
  <c r="AA4" i="22" s="1"/>
  <c r="Y21" i="22"/>
  <c r="AA21" i="22" s="1"/>
  <c r="Y94" i="22"/>
  <c r="AA94" i="22" s="1"/>
  <c r="Y78" i="22"/>
  <c r="AA78" i="22" s="1"/>
  <c r="Y79" i="22"/>
  <c r="AA79" i="22" s="1"/>
  <c r="Y66" i="22"/>
  <c r="AA66" i="22" s="1"/>
  <c r="Y74" i="22"/>
  <c r="AA74" i="22" s="1"/>
  <c r="Y44" i="22"/>
  <c r="AA44" i="22" s="1"/>
  <c r="Y59" i="22"/>
  <c r="AA59" i="22" s="1"/>
  <c r="Y65" i="22"/>
  <c r="AA65" i="22" s="1"/>
  <c r="Y49" i="22"/>
  <c r="AA49" i="22" s="1"/>
  <c r="Y24" i="22"/>
  <c r="AA24" i="22" s="1"/>
  <c r="Z140" i="22"/>
  <c r="AB140" i="22" s="1"/>
  <c r="AD140" i="22" s="1"/>
  <c r="Z121" i="22"/>
  <c r="AB121" i="22" s="1"/>
  <c r="AD121" i="22" s="1"/>
  <c r="BD71" i="22" s="1"/>
  <c r="E80" i="72" s="1"/>
  <c r="Z135" i="22"/>
  <c r="AB135" i="22" s="1"/>
  <c r="AD135" i="22" s="1"/>
  <c r="BD80" i="22" s="1"/>
  <c r="E109" i="72" s="1"/>
  <c r="Z126" i="22"/>
  <c r="AB126" i="22" s="1"/>
  <c r="AD126" i="22" s="1"/>
  <c r="BD144" i="22" s="1"/>
  <c r="E157" i="72" s="1"/>
  <c r="Z102" i="22"/>
  <c r="AB102" i="22" s="1"/>
  <c r="AD102" i="22" s="1"/>
  <c r="BD19" i="22" s="1"/>
  <c r="E27" i="72" s="1"/>
  <c r="Z20" i="22"/>
  <c r="AB20" i="22" s="1"/>
  <c r="AD20" i="22" s="1"/>
  <c r="BD119" i="22" s="1"/>
  <c r="E131" i="72" s="1"/>
  <c r="Z67" i="22"/>
  <c r="AB67" i="22" s="1"/>
  <c r="AD67" i="22" s="1"/>
  <c r="BD129" i="22" s="1"/>
  <c r="E143" i="72" s="1"/>
  <c r="Z133" i="22"/>
  <c r="AB133" i="22" s="1"/>
  <c r="AD133" i="22" s="1"/>
  <c r="BD103" i="22" s="1"/>
  <c r="E115" i="72" s="1"/>
  <c r="Z98" i="22"/>
  <c r="AB98" i="22" s="1"/>
  <c r="AD98" i="22" s="1"/>
  <c r="BD57" i="22" s="1"/>
  <c r="E66" i="72" s="1"/>
  <c r="Z54" i="22"/>
  <c r="AB54" i="22" s="1"/>
  <c r="AD54" i="22" s="1"/>
  <c r="BD123" i="22" s="1"/>
  <c r="E135" i="72" s="1"/>
  <c r="Z61" i="22"/>
  <c r="AB61" i="22" s="1"/>
  <c r="AD61" i="22" s="1"/>
  <c r="BD156" i="22" s="1"/>
  <c r="Z24" i="22"/>
  <c r="AB24" i="22" s="1"/>
  <c r="AD24" i="22" s="1"/>
  <c r="BD86" i="22" s="1"/>
  <c r="E95" i="72" s="1"/>
  <c r="Z84" i="22"/>
  <c r="AB84" i="22" s="1"/>
  <c r="AD84" i="22" s="1"/>
  <c r="BD14" i="22" s="1"/>
  <c r="E22" i="72" s="1"/>
  <c r="Z34" i="22"/>
  <c r="AB34" i="22" s="1"/>
  <c r="AD34" i="22" s="1"/>
  <c r="BD8" i="22" s="1"/>
  <c r="E16" i="72" s="1"/>
  <c r="Z29" i="22"/>
  <c r="AB29" i="22" s="1"/>
  <c r="AD29" i="22" s="1"/>
  <c r="BD89" i="22" s="1"/>
  <c r="E98" i="72" s="1"/>
  <c r="Z132" i="22"/>
  <c r="AB132" i="22" s="1"/>
  <c r="AD132" i="22" s="1"/>
  <c r="BD148" i="22" s="1"/>
  <c r="E161" i="72" s="1"/>
  <c r="Y138" i="22"/>
  <c r="AA138" i="22" s="1"/>
  <c r="AC138" i="22" s="1"/>
  <c r="Y103" i="22"/>
  <c r="AA103" i="22" s="1"/>
  <c r="Y106" i="22"/>
  <c r="AA106" i="22" s="1"/>
  <c r="Y125" i="22"/>
  <c r="AA125" i="22" s="1"/>
  <c r="Y104" i="22"/>
  <c r="AA104" i="22" s="1"/>
  <c r="Y128" i="22"/>
  <c r="AA128" i="22" s="1"/>
  <c r="Y45" i="22"/>
  <c r="AA45" i="22" s="1"/>
  <c r="Y73" i="22"/>
  <c r="AA73" i="22" s="1"/>
  <c r="Y28" i="22"/>
  <c r="AA28" i="22" s="1"/>
  <c r="Y71" i="22"/>
  <c r="AA71" i="22" s="1"/>
  <c r="Y5" i="22"/>
  <c r="AA5" i="22" s="1"/>
  <c r="Y30" i="22"/>
  <c r="AA30" i="22" s="1"/>
  <c r="Y25" i="22"/>
  <c r="AA25" i="22" s="1"/>
  <c r="Y16" i="22"/>
  <c r="AA16" i="22" s="1"/>
  <c r="Y84" i="22"/>
  <c r="AA84" i="22" s="1"/>
  <c r="Y100" i="22"/>
  <c r="AA100" i="22" s="1"/>
  <c r="Y26" i="22"/>
  <c r="AA26" i="22" s="1"/>
  <c r="Z11" i="22"/>
  <c r="AB11" i="22" s="1"/>
  <c r="AD11" i="22" s="1"/>
  <c r="BD115" i="22" s="1"/>
  <c r="E127" i="72" s="1"/>
  <c r="Z112" i="22"/>
  <c r="AB112" i="22" s="1"/>
  <c r="Z66" i="22"/>
  <c r="AB66" i="22" s="1"/>
  <c r="AD66" i="22" s="1"/>
  <c r="BD158" i="22" s="1"/>
  <c r="Z128" i="22"/>
  <c r="AB128" i="22" s="1"/>
  <c r="AD128" i="22" s="1"/>
  <c r="BD146" i="22" s="1"/>
  <c r="E159" i="72" s="1"/>
  <c r="Z52" i="22"/>
  <c r="AB52" i="22" s="1"/>
  <c r="AD52" i="22" s="1"/>
  <c r="BD46" i="22" s="1"/>
  <c r="E56" i="72" s="1"/>
  <c r="Z63" i="22"/>
  <c r="AB63" i="22" s="1"/>
  <c r="AD63" i="22" s="1"/>
  <c r="BD150" i="22" s="1"/>
  <c r="E144" i="72" s="1"/>
  <c r="Z94" i="22"/>
  <c r="AB94" i="22" s="1"/>
  <c r="AD94" i="22" s="1"/>
  <c r="BD138" i="22" s="1"/>
  <c r="E151" i="72" s="1"/>
  <c r="Z40" i="22"/>
  <c r="AB40" i="22" s="1"/>
  <c r="Z58" i="22"/>
  <c r="AB58" i="22" s="1"/>
  <c r="AD58" i="22" s="1"/>
  <c r="BD49" i="22" s="1"/>
  <c r="E59" i="72" s="1"/>
  <c r="Z53" i="22"/>
  <c r="AB53" i="22" s="1"/>
  <c r="AD53" i="22" s="1"/>
  <c r="BD47" i="22" s="1"/>
  <c r="E57" i="72" s="1"/>
  <c r="Z100" i="22"/>
  <c r="AB100" i="22" s="1"/>
  <c r="AD100" i="22" s="1"/>
  <c r="BD59" i="22" s="1"/>
  <c r="E68" i="72" s="1"/>
  <c r="Z48" i="22"/>
  <c r="AB48" i="22" s="1"/>
  <c r="AD48" i="22" s="1"/>
  <c r="BD93" i="22" s="1"/>
  <c r="E103" i="72" s="1"/>
  <c r="Z50" i="22"/>
  <c r="AB50" i="22" s="1"/>
  <c r="AD50" i="22" s="1"/>
  <c r="BD45" i="22" s="1"/>
  <c r="E55" i="72" s="1"/>
  <c r="Z104" i="22"/>
  <c r="AB104" i="22" s="1"/>
  <c r="Z93" i="22"/>
  <c r="AB93" i="22" s="1"/>
  <c r="AD93" i="22" s="1"/>
  <c r="BD56" i="22" s="1"/>
  <c r="E65" i="72" s="1"/>
  <c r="Z115" i="22"/>
  <c r="AB115" i="22" s="1"/>
  <c r="Y38" i="22"/>
  <c r="AA38" i="22" s="1"/>
  <c r="Y124" i="22"/>
  <c r="AA124" i="22" s="1"/>
  <c r="Y140" i="22"/>
  <c r="AA140" i="22" s="1"/>
  <c r="AC140" i="22" s="1"/>
  <c r="Y136" i="22"/>
  <c r="AA136" i="22" s="1"/>
  <c r="AC136" i="22" s="1"/>
  <c r="Y108" i="22"/>
  <c r="AA108" i="22" s="1"/>
  <c r="Y51" i="22"/>
  <c r="AA51" i="22" s="1"/>
  <c r="Y14" i="22"/>
  <c r="AA14" i="22" s="1"/>
  <c r="Y91" i="22"/>
  <c r="AA91" i="22" s="1"/>
  <c r="Y54" i="22"/>
  <c r="AA54" i="22" s="1"/>
  <c r="Y76" i="22"/>
  <c r="AA76" i="22" s="1"/>
  <c r="Y32" i="22"/>
  <c r="AA32" i="22" s="1"/>
  <c r="Y6" i="22"/>
  <c r="AA6" i="22" s="1"/>
  <c r="Y102" i="22"/>
  <c r="AA102" i="22" s="1"/>
  <c r="Y57" i="22"/>
  <c r="AA57" i="22" s="1"/>
  <c r="Y85" i="22"/>
  <c r="AA85" i="22" s="1"/>
  <c r="Y20" i="22"/>
  <c r="AA20" i="22" s="1"/>
  <c r="Y46" i="22"/>
  <c r="AA46" i="22" s="1"/>
  <c r="W258" i="50"/>
  <c r="X258" i="50" s="1"/>
  <c r="C258" i="50"/>
  <c r="V258" i="50"/>
  <c r="Z258" i="50"/>
  <c r="AJ258" i="50"/>
  <c r="AD257" i="50"/>
  <c r="Z254" i="50"/>
  <c r="AJ254" i="50"/>
  <c r="C254" i="50"/>
  <c r="W254" i="50"/>
  <c r="X254" i="50" s="1"/>
  <c r="V254" i="50"/>
  <c r="AD254" i="50"/>
  <c r="C241" i="50"/>
  <c r="Z241" i="50"/>
  <c r="W241" i="50"/>
  <c r="X241" i="50" s="1"/>
  <c r="V241" i="50"/>
  <c r="AJ241" i="50"/>
  <c r="AD255" i="50"/>
  <c r="Z250" i="50"/>
  <c r="W250" i="50"/>
  <c r="X250" i="50" s="1"/>
  <c r="Z248" i="50"/>
  <c r="AJ248" i="50"/>
  <c r="W248" i="50"/>
  <c r="X248" i="50" s="1"/>
  <c r="V248" i="50"/>
  <c r="AD248" i="50"/>
  <c r="AJ237" i="50"/>
  <c r="W237" i="50"/>
  <c r="X237" i="50" s="1"/>
  <c r="Z237" i="50"/>
  <c r="C237" i="50"/>
  <c r="V237" i="50"/>
  <c r="U232" i="50"/>
  <c r="AD232" i="50" s="1"/>
  <c r="AM232" i="50"/>
  <c r="AG230" i="50"/>
  <c r="AH230" i="50" s="1"/>
  <c r="AI230" i="50" s="1"/>
  <c r="U218" i="50"/>
  <c r="AD218" i="50" s="1"/>
  <c r="AG218" i="50" s="1"/>
  <c r="AH218" i="50" s="1"/>
  <c r="AI218" i="50" s="1"/>
  <c r="AM218" i="50"/>
  <c r="Z242" i="50"/>
  <c r="V242" i="50"/>
  <c r="AD238" i="50"/>
  <c r="W238" i="50"/>
  <c r="X238" i="50" s="1"/>
  <c r="AJ238" i="50"/>
  <c r="Z238" i="50"/>
  <c r="C238" i="50"/>
  <c r="V238" i="50"/>
  <c r="AJ233" i="50"/>
  <c r="W233" i="50"/>
  <c r="X233" i="50" s="1"/>
  <c r="Z233" i="50"/>
  <c r="C233" i="50"/>
  <c r="W231" i="50"/>
  <c r="X231" i="50" s="1"/>
  <c r="AJ231" i="50"/>
  <c r="Z231" i="50"/>
  <c r="C223" i="50"/>
  <c r="W223" i="50"/>
  <c r="X223" i="50" s="1"/>
  <c r="Z223" i="50"/>
  <c r="V223" i="50"/>
  <c r="AJ223" i="50"/>
  <c r="V219" i="50"/>
  <c r="AD219" i="50"/>
  <c r="W219" i="50"/>
  <c r="X219" i="50" s="1"/>
  <c r="C219" i="50"/>
  <c r="AJ219" i="50"/>
  <c r="Z219" i="50"/>
  <c r="AM258" i="50"/>
  <c r="Z256" i="50"/>
  <c r="U252" i="50"/>
  <c r="AD252" i="50" s="1"/>
  <c r="AL249" i="50"/>
  <c r="AJ247" i="50"/>
  <c r="U246" i="50"/>
  <c r="AD246" i="50" s="1"/>
  <c r="C197" i="50"/>
  <c r="Z197" i="50"/>
  <c r="W197" i="50"/>
  <c r="X197" i="50" s="1"/>
  <c r="AJ197" i="50"/>
  <c r="V197" i="50"/>
  <c r="AG256" i="50"/>
  <c r="AH256" i="50" s="1"/>
  <c r="AI256" i="50" s="1"/>
  <c r="V250" i="50"/>
  <c r="C248" i="50"/>
  <c r="C245" i="50"/>
  <c r="AJ245" i="50"/>
  <c r="W245" i="50"/>
  <c r="X245" i="50" s="1"/>
  <c r="U245" i="50"/>
  <c r="AD245" i="50" s="1"/>
  <c r="AG245" i="50" s="1"/>
  <c r="AH245" i="50" s="1"/>
  <c r="AI245" i="50" s="1"/>
  <c r="AM245" i="50"/>
  <c r="U239" i="50"/>
  <c r="AD239" i="50" s="1"/>
  <c r="AG239" i="50" s="1"/>
  <c r="AH239" i="50" s="1"/>
  <c r="AI239" i="50" s="1"/>
  <c r="AM239" i="50"/>
  <c r="U233" i="50"/>
  <c r="AD233" i="50" s="1"/>
  <c r="AM233" i="50"/>
  <c r="Z232" i="50"/>
  <c r="V232" i="50"/>
  <c r="AJ232" i="50"/>
  <c r="Z225" i="50"/>
  <c r="W225" i="50"/>
  <c r="X225" i="50" s="1"/>
  <c r="C225" i="50"/>
  <c r="V225" i="50"/>
  <c r="AJ225" i="50"/>
  <c r="AD221" i="50"/>
  <c r="AG212" i="50"/>
  <c r="AH212" i="50" s="1"/>
  <c r="AI212" i="50" s="1"/>
  <c r="Z196" i="50"/>
  <c r="V196" i="50"/>
  <c r="AJ196" i="50"/>
  <c r="C196" i="50"/>
  <c r="W196" i="50"/>
  <c r="X196" i="50" s="1"/>
  <c r="AM255" i="50"/>
  <c r="C252" i="50"/>
  <c r="AJ250" i="50"/>
  <c r="V249" i="50"/>
  <c r="V245" i="50"/>
  <c r="C244" i="50"/>
  <c r="W232" i="50"/>
  <c r="X232" i="50" s="1"/>
  <c r="C226" i="50"/>
  <c r="W226" i="50"/>
  <c r="X226" i="50" s="1"/>
  <c r="AJ226" i="50"/>
  <c r="V226" i="50"/>
  <c r="Z226" i="50"/>
  <c r="AD225" i="50"/>
  <c r="AD222" i="50"/>
  <c r="Z202" i="50"/>
  <c r="W202" i="50"/>
  <c r="X202" i="50" s="1"/>
  <c r="C202" i="50"/>
  <c r="AJ202" i="50"/>
  <c r="V202" i="50"/>
  <c r="V256" i="50"/>
  <c r="W252" i="50"/>
  <c r="X252" i="50" s="1"/>
  <c r="AM251" i="50"/>
  <c r="C250" i="50"/>
  <c r="Z246" i="50"/>
  <c r="W246" i="50"/>
  <c r="X246" i="50" s="1"/>
  <c r="AJ244" i="50"/>
  <c r="AL244" i="50" s="1"/>
  <c r="C235" i="50"/>
  <c r="V235" i="50"/>
  <c r="Z235" i="50"/>
  <c r="C231" i="50"/>
  <c r="AD231" i="50"/>
  <c r="C230" i="50"/>
  <c r="W230" i="50"/>
  <c r="X230" i="50" s="1"/>
  <c r="AJ230" i="50"/>
  <c r="AL230" i="50" s="1"/>
  <c r="AJ229" i="50"/>
  <c r="W229" i="50"/>
  <c r="X229" i="50" s="1"/>
  <c r="V229" i="50"/>
  <c r="C229" i="50"/>
  <c r="AD228" i="50"/>
  <c r="AG228" i="50" s="1"/>
  <c r="AH228" i="50" s="1"/>
  <c r="AI228" i="50" s="1"/>
  <c r="U220" i="50"/>
  <c r="AD220" i="50" s="1"/>
  <c r="AM220" i="50"/>
  <c r="V206" i="50"/>
  <c r="Z206" i="50"/>
  <c r="C206" i="50"/>
  <c r="W206" i="50"/>
  <c r="X206" i="50" s="1"/>
  <c r="AJ206" i="50"/>
  <c r="Z252" i="50"/>
  <c r="W249" i="50"/>
  <c r="X249" i="50" s="1"/>
  <c r="U250" i="50"/>
  <c r="AD250" i="50" s="1"/>
  <c r="AG250" i="50" s="1"/>
  <c r="AH250" i="50" s="1"/>
  <c r="AI250" i="50" s="1"/>
  <c r="C246" i="50"/>
  <c r="AJ242" i="50"/>
  <c r="U240" i="50"/>
  <c r="AD240" i="50" s="1"/>
  <c r="AM240" i="50"/>
  <c r="C232" i="50"/>
  <c r="AJ228" i="50"/>
  <c r="W228" i="50"/>
  <c r="X228" i="50" s="1"/>
  <c r="Z228" i="50"/>
  <c r="V228" i="50"/>
  <c r="C228" i="50"/>
  <c r="W256" i="50"/>
  <c r="X256" i="50" s="1"/>
  <c r="Z244" i="50"/>
  <c r="W244" i="50"/>
  <c r="X244" i="50" s="1"/>
  <c r="C242" i="50"/>
  <c r="AJ227" i="50"/>
  <c r="AL227" i="50" s="1"/>
  <c r="W227" i="50"/>
  <c r="X227" i="50" s="1"/>
  <c r="Z227" i="50"/>
  <c r="C227" i="50"/>
  <c r="V227" i="50"/>
  <c r="C222" i="50"/>
  <c r="W222" i="50"/>
  <c r="X222" i="50" s="1"/>
  <c r="Z222" i="50"/>
  <c r="AJ222" i="50"/>
  <c r="V222" i="50"/>
  <c r="AJ218" i="50"/>
  <c r="W218" i="50"/>
  <c r="X218" i="50" s="1"/>
  <c r="V218" i="50"/>
  <c r="C218" i="50"/>
  <c r="C204" i="50"/>
  <c r="AJ204" i="50"/>
  <c r="Z204" i="50"/>
  <c r="V204" i="50"/>
  <c r="AD197" i="50"/>
  <c r="AD191" i="50"/>
  <c r="AG191" i="50" s="1"/>
  <c r="AH191" i="50" s="1"/>
  <c r="AI191" i="50" s="1"/>
  <c r="AJ191" i="50"/>
  <c r="W191" i="50"/>
  <c r="X191" i="50" s="1"/>
  <c r="C191" i="50"/>
  <c r="V191" i="50"/>
  <c r="Z191" i="50"/>
  <c r="V188" i="50"/>
  <c r="Z188" i="50"/>
  <c r="C188" i="50"/>
  <c r="AJ188" i="50"/>
  <c r="C105" i="50"/>
  <c r="W105" i="50"/>
  <c r="X105" i="50" s="1"/>
  <c r="V105" i="50"/>
  <c r="Z105" i="50"/>
  <c r="AJ105" i="50"/>
  <c r="AM249" i="50"/>
  <c r="C214" i="50"/>
  <c r="V214" i="50"/>
  <c r="V201" i="50"/>
  <c r="Z201" i="50"/>
  <c r="AJ201" i="50"/>
  <c r="C201" i="50"/>
  <c r="AQ256" i="57"/>
  <c r="AE256" i="57"/>
  <c r="Q256" i="57"/>
  <c r="T256" i="57" s="1"/>
  <c r="X256" i="57" s="1"/>
  <c r="AJ256" i="57"/>
  <c r="AC256" i="57"/>
  <c r="AD256" i="57"/>
  <c r="AJ252" i="57"/>
  <c r="AD252" i="57"/>
  <c r="Q252" i="57"/>
  <c r="T252" i="57" s="1"/>
  <c r="X252" i="57" s="1"/>
  <c r="AC252" i="57"/>
  <c r="AK252" i="57"/>
  <c r="AQ252" i="57"/>
  <c r="AD190" i="50"/>
  <c r="AG190" i="50" s="1"/>
  <c r="AH190" i="50" s="1"/>
  <c r="AI190" i="50" s="1"/>
  <c r="C179" i="50"/>
  <c r="W179" i="50"/>
  <c r="X179" i="50" s="1"/>
  <c r="V179" i="50"/>
  <c r="AJ179" i="50"/>
  <c r="Z179" i="50"/>
  <c r="AK213" i="57"/>
  <c r="AQ213" i="57"/>
  <c r="AC213" i="57"/>
  <c r="AE213" i="57"/>
  <c r="AD213" i="57"/>
  <c r="AJ213" i="57"/>
  <c r="R213" i="57"/>
  <c r="Z151" i="22"/>
  <c r="AB151" i="22" s="1"/>
  <c r="Y162" i="22"/>
  <c r="AA162" i="22" s="1"/>
  <c r="Z154" i="22"/>
  <c r="AB154" i="22" s="1"/>
  <c r="Z161" i="22"/>
  <c r="AB161" i="22" s="1"/>
  <c r="Z160" i="22"/>
  <c r="AB160" i="22" s="1"/>
  <c r="Y155" i="22"/>
  <c r="AA155" i="22" s="1"/>
  <c r="Z155" i="22"/>
  <c r="AB155" i="22" s="1"/>
  <c r="Y154" i="22"/>
  <c r="AA154" i="22" s="1"/>
  <c r="Y151" i="22"/>
  <c r="AA151" i="22" s="1"/>
  <c r="Y152" i="22"/>
  <c r="AA152" i="22" s="1"/>
  <c r="Z158" i="22"/>
  <c r="AB158" i="22" s="1"/>
  <c r="Q213" i="57"/>
  <c r="T213" i="57" s="1"/>
  <c r="Y160" i="22"/>
  <c r="AA160" i="22" s="1"/>
  <c r="Z157" i="22"/>
  <c r="AB157" i="22" s="1"/>
  <c r="Z156" i="22"/>
  <c r="AB156" i="22" s="1"/>
  <c r="Y159" i="22"/>
  <c r="AA159" i="22" s="1"/>
  <c r="Y161" i="22"/>
  <c r="AA161" i="22" s="1"/>
  <c r="Z153" i="22"/>
  <c r="AB153" i="22" s="1"/>
  <c r="Y157" i="22"/>
  <c r="AA157" i="22" s="1"/>
  <c r="Z162" i="22"/>
  <c r="AB162" i="22" s="1"/>
  <c r="Z152" i="22"/>
  <c r="AB152" i="22" s="1"/>
  <c r="U243" i="50"/>
  <c r="AD243" i="50" s="1"/>
  <c r="AM228" i="50"/>
  <c r="AM222" i="50"/>
  <c r="C216" i="50"/>
  <c r="Z211" i="50"/>
  <c r="C211" i="50"/>
  <c r="W210" i="50"/>
  <c r="X210" i="50" s="1"/>
  <c r="Z210" i="50"/>
  <c r="C210" i="50"/>
  <c r="V210" i="50"/>
  <c r="W207" i="50"/>
  <c r="X207" i="50" s="1"/>
  <c r="V207" i="50"/>
  <c r="C207" i="50"/>
  <c r="U204" i="50"/>
  <c r="AD204" i="50" s="1"/>
  <c r="AM204" i="50"/>
  <c r="U196" i="50"/>
  <c r="AD196" i="50" s="1"/>
  <c r="AM196" i="50"/>
  <c r="AD255" i="57"/>
  <c r="R255" i="57"/>
  <c r="AK255" i="57"/>
  <c r="Q255" i="57"/>
  <c r="T255" i="57" s="1"/>
  <c r="AQ255" i="57"/>
  <c r="AC255" i="57"/>
  <c r="AE255" i="57"/>
  <c r="AD192" i="50"/>
  <c r="AD189" i="50"/>
  <c r="Z184" i="50"/>
  <c r="C184" i="50"/>
  <c r="W184" i="50"/>
  <c r="X184" i="50" s="1"/>
  <c r="AJ184" i="50"/>
  <c r="V184" i="50"/>
  <c r="AK239" i="57"/>
  <c r="AQ239" i="57"/>
  <c r="Q239" i="57"/>
  <c r="T239" i="57" s="1"/>
  <c r="AC239" i="57"/>
  <c r="R239" i="57"/>
  <c r="AD239" i="57"/>
  <c r="AJ239" i="57"/>
  <c r="AE239" i="57"/>
  <c r="W172" i="50"/>
  <c r="X172" i="50" s="1"/>
  <c r="Z172" i="50"/>
  <c r="AD172" i="50"/>
  <c r="AG172" i="50" s="1"/>
  <c r="AH172" i="50" s="1"/>
  <c r="AI172" i="50" s="1"/>
  <c r="AJ172" i="50"/>
  <c r="V172" i="50"/>
  <c r="C172" i="50"/>
  <c r="Z154" i="50"/>
  <c r="C154" i="50"/>
  <c r="W154" i="50"/>
  <c r="X154" i="50" s="1"/>
  <c r="AJ154" i="50"/>
  <c r="V154" i="50"/>
  <c r="Z138" i="50"/>
  <c r="V138" i="50"/>
  <c r="AD138" i="50"/>
  <c r="C138" i="50"/>
  <c r="AJ138" i="50"/>
  <c r="W138" i="50"/>
  <c r="X138" i="50" s="1"/>
  <c r="Z240" i="50"/>
  <c r="V224" i="50"/>
  <c r="C224" i="50"/>
  <c r="AD213" i="50"/>
  <c r="AJ257" i="57"/>
  <c r="R257" i="57"/>
  <c r="X257" i="57" s="1"/>
  <c r="AE257" i="57"/>
  <c r="AC257" i="57"/>
  <c r="AQ257" i="57"/>
  <c r="AJ194" i="50"/>
  <c r="Z194" i="50"/>
  <c r="C194" i="50"/>
  <c r="W194" i="50"/>
  <c r="X194" i="50" s="1"/>
  <c r="V194" i="50"/>
  <c r="AC251" i="57"/>
  <c r="AE251" i="57"/>
  <c r="AD251" i="57"/>
  <c r="AJ251" i="57"/>
  <c r="Q251" i="57"/>
  <c r="T251" i="57" s="1"/>
  <c r="R251" i="57"/>
  <c r="W188" i="50"/>
  <c r="X188" i="50" s="1"/>
  <c r="AG249" i="57"/>
  <c r="X240" i="57"/>
  <c r="W224" i="50"/>
  <c r="X224" i="50" s="1"/>
  <c r="AJ224" i="50"/>
  <c r="AJ216" i="50"/>
  <c r="W216" i="50"/>
  <c r="X216" i="50" s="1"/>
  <c r="AD216" i="50"/>
  <c r="AG216" i="50" s="1"/>
  <c r="AH216" i="50" s="1"/>
  <c r="AI216" i="50" s="1"/>
  <c r="AD215" i="50"/>
  <c r="AM214" i="50"/>
  <c r="U214" i="50"/>
  <c r="AD214" i="50" s="1"/>
  <c r="AG214" i="50" s="1"/>
  <c r="AH214" i="50" s="1"/>
  <c r="AI214" i="50" s="1"/>
  <c r="W213" i="50"/>
  <c r="X213" i="50" s="1"/>
  <c r="V213" i="50"/>
  <c r="AM211" i="50"/>
  <c r="W204" i="50"/>
  <c r="X204" i="50" s="1"/>
  <c r="Z199" i="50"/>
  <c r="C199" i="50"/>
  <c r="V199" i="50"/>
  <c r="AJ199" i="50"/>
  <c r="AJ198" i="50"/>
  <c r="W198" i="50"/>
  <c r="X198" i="50" s="1"/>
  <c r="C198" i="50"/>
  <c r="V195" i="50"/>
  <c r="Z195" i="50"/>
  <c r="C195" i="50"/>
  <c r="AJ195" i="50"/>
  <c r="AK254" i="57"/>
  <c r="AC254" i="57"/>
  <c r="AJ254" i="57"/>
  <c r="Q254" i="57"/>
  <c r="T254" i="57" s="1"/>
  <c r="AD254" i="57"/>
  <c r="R254" i="57"/>
  <c r="AK251" i="57"/>
  <c r="Q249" i="57"/>
  <c r="T249" i="57" s="1"/>
  <c r="AJ249" i="57"/>
  <c r="AD249" i="57"/>
  <c r="R249" i="57"/>
  <c r="AQ249" i="57"/>
  <c r="AC249" i="57"/>
  <c r="AE249" i="57"/>
  <c r="AQ244" i="57"/>
  <c r="AE244" i="57"/>
  <c r="Q244" i="57"/>
  <c r="T244" i="57" s="1"/>
  <c r="X244" i="57" s="1"/>
  <c r="AK244" i="57"/>
  <c r="AC244" i="57"/>
  <c r="AJ244" i="57"/>
  <c r="V176" i="50"/>
  <c r="Z176" i="50"/>
  <c r="C176" i="50"/>
  <c r="AJ176" i="50"/>
  <c r="AG234" i="57"/>
  <c r="Z170" i="50"/>
  <c r="C170" i="50"/>
  <c r="W170" i="50"/>
  <c r="X170" i="50" s="1"/>
  <c r="V170" i="50"/>
  <c r="AJ170" i="50"/>
  <c r="AG161" i="50"/>
  <c r="AH161" i="50" s="1"/>
  <c r="AI161" i="50" s="1"/>
  <c r="AL161" i="50"/>
  <c r="C220" i="50"/>
  <c r="W220" i="50"/>
  <c r="X220" i="50" s="1"/>
  <c r="AK250" i="57"/>
  <c r="AQ250" i="57"/>
  <c r="AJ250" i="57"/>
  <c r="Q250" i="57"/>
  <c r="T250" i="57" s="1"/>
  <c r="AD250" i="57"/>
  <c r="AC250" i="57"/>
  <c r="R250" i="57"/>
  <c r="Z186" i="50"/>
  <c r="C186" i="50"/>
  <c r="W186" i="50"/>
  <c r="X186" i="50" s="1"/>
  <c r="AJ186" i="50"/>
  <c r="V186" i="50"/>
  <c r="C178" i="50"/>
  <c r="AJ178" i="50"/>
  <c r="W178" i="50"/>
  <c r="X178" i="50" s="1"/>
  <c r="V178" i="50"/>
  <c r="Z178" i="50"/>
  <c r="Z177" i="50"/>
  <c r="AJ177" i="50"/>
  <c r="C177" i="50"/>
  <c r="V177" i="50"/>
  <c r="AE229" i="57"/>
  <c r="AD229" i="57"/>
  <c r="R229" i="57"/>
  <c r="AK229" i="57"/>
  <c r="AQ229" i="57"/>
  <c r="AC229" i="57"/>
  <c r="Q229" i="57"/>
  <c r="T229" i="57" s="1"/>
  <c r="AJ229" i="57"/>
  <c r="U224" i="50"/>
  <c r="AD224" i="50" s="1"/>
  <c r="AG224" i="50" s="1"/>
  <c r="AH224" i="50" s="1"/>
  <c r="AI224" i="50" s="1"/>
  <c r="V220" i="50"/>
  <c r="AJ221" i="50"/>
  <c r="V221" i="50"/>
  <c r="Z221" i="50"/>
  <c r="W221" i="50"/>
  <c r="X221" i="50" s="1"/>
  <c r="AJ215" i="50"/>
  <c r="W215" i="50"/>
  <c r="X215" i="50" s="1"/>
  <c r="V215" i="50"/>
  <c r="Z215" i="50"/>
  <c r="AJ209" i="50"/>
  <c r="AL209" i="50" s="1"/>
  <c r="W209" i="50"/>
  <c r="X209" i="50" s="1"/>
  <c r="AP209" i="50" s="1"/>
  <c r="C209" i="50"/>
  <c r="Z208" i="50"/>
  <c r="W208" i="50"/>
  <c r="X208" i="50" s="1"/>
  <c r="AJ208" i="50"/>
  <c r="AL208" i="50" s="1"/>
  <c r="V208" i="50"/>
  <c r="V205" i="50"/>
  <c r="AJ205" i="50"/>
  <c r="Z205" i="50"/>
  <c r="C205" i="50"/>
  <c r="AG254" i="57"/>
  <c r="AJ192" i="50"/>
  <c r="W192" i="50"/>
  <c r="X192" i="50" s="1"/>
  <c r="C192" i="50"/>
  <c r="V192" i="50"/>
  <c r="Z192" i="50"/>
  <c r="Z190" i="50"/>
  <c r="C190" i="50"/>
  <c r="W190" i="50"/>
  <c r="X190" i="50" s="1"/>
  <c r="AJ190" i="50"/>
  <c r="V182" i="50"/>
  <c r="Z182" i="50"/>
  <c r="C182" i="50"/>
  <c r="AJ182" i="50"/>
  <c r="W182" i="50"/>
  <c r="X182" i="50" s="1"/>
  <c r="W176" i="50"/>
  <c r="X176" i="50" s="1"/>
  <c r="W159" i="50"/>
  <c r="X159" i="50" s="1"/>
  <c r="AJ159" i="50"/>
  <c r="C159" i="50"/>
  <c r="Z159" i="50"/>
  <c r="Z147" i="50"/>
  <c r="V147" i="50"/>
  <c r="W147" i="50"/>
  <c r="X147" i="50" s="1"/>
  <c r="AJ147" i="50"/>
  <c r="C147" i="50"/>
  <c r="V144" i="50"/>
  <c r="Z144" i="50"/>
  <c r="C144" i="50"/>
  <c r="AJ144" i="50"/>
  <c r="AM223" i="50"/>
  <c r="U223" i="50"/>
  <c r="AD223" i="50" s="1"/>
  <c r="AG223" i="50" s="1"/>
  <c r="AH223" i="50" s="1"/>
  <c r="AI223" i="50" s="1"/>
  <c r="AJ220" i="50"/>
  <c r="Z203" i="50"/>
  <c r="AJ203" i="50"/>
  <c r="V203" i="50"/>
  <c r="C203" i="50"/>
  <c r="W203" i="50"/>
  <c r="X203" i="50" s="1"/>
  <c r="AD202" i="50"/>
  <c r="AJ200" i="50"/>
  <c r="V200" i="50"/>
  <c r="AD193" i="50"/>
  <c r="AG193" i="50" s="1"/>
  <c r="AH193" i="50" s="1"/>
  <c r="AI193" i="50" s="1"/>
  <c r="Z189" i="50"/>
  <c r="W189" i="50"/>
  <c r="X189" i="50" s="1"/>
  <c r="V189" i="50"/>
  <c r="C189" i="50"/>
  <c r="AD188" i="50"/>
  <c r="AJ187" i="50"/>
  <c r="C187" i="50"/>
  <c r="W187" i="50"/>
  <c r="X187" i="50" s="1"/>
  <c r="V187" i="50"/>
  <c r="Z187" i="50"/>
  <c r="Z183" i="50"/>
  <c r="AJ183" i="50"/>
  <c r="W183" i="50"/>
  <c r="X183" i="50" s="1"/>
  <c r="V183" i="50"/>
  <c r="C183" i="50"/>
  <c r="AG224" i="57"/>
  <c r="AE222" i="57"/>
  <c r="AD222" i="57"/>
  <c r="AJ222" i="57"/>
  <c r="AK222" i="57"/>
  <c r="AQ222" i="57"/>
  <c r="AC222" i="57"/>
  <c r="R222" i="57"/>
  <c r="X222" i="57" s="1"/>
  <c r="AG208" i="57"/>
  <c r="AM207" i="50"/>
  <c r="V193" i="50"/>
  <c r="C193" i="50"/>
  <c r="R253" i="57"/>
  <c r="Q242" i="57"/>
  <c r="T242" i="57" s="1"/>
  <c r="V181" i="50"/>
  <c r="AD178" i="50"/>
  <c r="R232" i="57"/>
  <c r="AJ168" i="50"/>
  <c r="C168" i="50"/>
  <c r="W168" i="50"/>
  <c r="X168" i="50" s="1"/>
  <c r="V168" i="50"/>
  <c r="R225" i="57"/>
  <c r="AJ225" i="57"/>
  <c r="AK225" i="57"/>
  <c r="AQ225" i="57"/>
  <c r="AC225" i="57"/>
  <c r="AE225" i="57"/>
  <c r="W152" i="50"/>
  <c r="X152" i="50" s="1"/>
  <c r="Z152" i="50"/>
  <c r="V152" i="50"/>
  <c r="AJ152" i="50"/>
  <c r="AE210" i="57"/>
  <c r="Q210" i="57"/>
  <c r="T210" i="57" s="1"/>
  <c r="AK210" i="57"/>
  <c r="R210" i="57"/>
  <c r="AQ210" i="57"/>
  <c r="AC210" i="57"/>
  <c r="AD210" i="57"/>
  <c r="AK209" i="57"/>
  <c r="AE209" i="57"/>
  <c r="AJ209" i="57"/>
  <c r="AD209" i="57"/>
  <c r="R209" i="57"/>
  <c r="AC209" i="57"/>
  <c r="Q209" i="57"/>
  <c r="T209" i="57" s="1"/>
  <c r="C149" i="50"/>
  <c r="AJ149" i="50"/>
  <c r="W149" i="50"/>
  <c r="X149" i="50" s="1"/>
  <c r="AD149" i="50"/>
  <c r="AG149" i="50" s="1"/>
  <c r="AH149" i="50" s="1"/>
  <c r="AI149" i="50" s="1"/>
  <c r="V149" i="50"/>
  <c r="R205" i="57"/>
  <c r="AC205" i="57"/>
  <c r="AD205" i="57"/>
  <c r="AK205" i="57"/>
  <c r="AJ205" i="57"/>
  <c r="AE205" i="57"/>
  <c r="AQ205" i="57"/>
  <c r="Q205" i="57"/>
  <c r="T205" i="57" s="1"/>
  <c r="R196" i="57"/>
  <c r="AE196" i="57"/>
  <c r="Q196" i="57"/>
  <c r="T196" i="57" s="1"/>
  <c r="AC196" i="57"/>
  <c r="AK196" i="57"/>
  <c r="AQ196" i="57"/>
  <c r="AD196" i="57"/>
  <c r="AJ196" i="57"/>
  <c r="W217" i="50"/>
  <c r="X217" i="50" s="1"/>
  <c r="AJ217" i="50"/>
  <c r="AQ253" i="57"/>
  <c r="U194" i="50"/>
  <c r="AD194" i="50" s="1"/>
  <c r="AG194" i="50" s="1"/>
  <c r="AH194" i="50" s="1"/>
  <c r="AI194" i="50" s="1"/>
  <c r="AC248" i="57"/>
  <c r="AM188" i="50"/>
  <c r="AK248" i="57"/>
  <c r="AQ247" i="57"/>
  <c r="AK247" i="57"/>
  <c r="AJ242" i="57"/>
  <c r="U183" i="50"/>
  <c r="AD183" i="50" s="1"/>
  <c r="AG183" i="50" s="1"/>
  <c r="AH183" i="50" s="1"/>
  <c r="AI183" i="50" s="1"/>
  <c r="AM183" i="50"/>
  <c r="U179" i="50"/>
  <c r="AD179" i="50" s="1"/>
  <c r="AG179" i="50" s="1"/>
  <c r="AH179" i="50" s="1"/>
  <c r="AI179" i="50" s="1"/>
  <c r="AD237" i="57"/>
  <c r="R237" i="57"/>
  <c r="AK228" i="57"/>
  <c r="R228" i="57"/>
  <c r="AC228" i="57"/>
  <c r="AE228" i="57"/>
  <c r="Q228" i="57"/>
  <c r="T228" i="57" s="1"/>
  <c r="AQ228" i="57"/>
  <c r="AD228" i="57"/>
  <c r="V165" i="50"/>
  <c r="C165" i="50"/>
  <c r="Z165" i="50"/>
  <c r="AJ165" i="50"/>
  <c r="W165" i="50"/>
  <c r="X165" i="50" s="1"/>
  <c r="Q219" i="57"/>
  <c r="T219" i="57" s="1"/>
  <c r="AK219" i="57"/>
  <c r="AQ219" i="57"/>
  <c r="AE219" i="57"/>
  <c r="R219" i="57"/>
  <c r="AJ219" i="57"/>
  <c r="AD159" i="50"/>
  <c r="AG159" i="50" s="1"/>
  <c r="AH159" i="50" s="1"/>
  <c r="AI159" i="50" s="1"/>
  <c r="W148" i="50"/>
  <c r="X148" i="50" s="1"/>
  <c r="V148" i="50"/>
  <c r="Z148" i="50"/>
  <c r="C148" i="50"/>
  <c r="AJ148" i="50"/>
  <c r="Z146" i="50"/>
  <c r="W146" i="50"/>
  <c r="X146" i="50" s="1"/>
  <c r="C146" i="50"/>
  <c r="AD146" i="50"/>
  <c r="AJ146" i="50"/>
  <c r="V146" i="50"/>
  <c r="Z140" i="50"/>
  <c r="W140" i="50"/>
  <c r="X140" i="50" s="1"/>
  <c r="V140" i="50"/>
  <c r="AJ140" i="50"/>
  <c r="AD184" i="50"/>
  <c r="Q243" i="57"/>
  <c r="T243" i="57" s="1"/>
  <c r="AD243" i="57"/>
  <c r="AQ243" i="57"/>
  <c r="AD241" i="57"/>
  <c r="Q241" i="57"/>
  <c r="T241" i="57" s="1"/>
  <c r="X241" i="57" s="1"/>
  <c r="AK241" i="57"/>
  <c r="AJ241" i="57"/>
  <c r="AE236" i="57"/>
  <c r="C175" i="50"/>
  <c r="Z175" i="50"/>
  <c r="W175" i="50"/>
  <c r="X175" i="50" s="1"/>
  <c r="AE232" i="57"/>
  <c r="Q232" i="57"/>
  <c r="T232" i="57" s="1"/>
  <c r="AQ232" i="57"/>
  <c r="AD232" i="57"/>
  <c r="AJ164" i="50"/>
  <c r="C164" i="50"/>
  <c r="W164" i="50"/>
  <c r="X164" i="50" s="1"/>
  <c r="V164" i="50"/>
  <c r="AD164" i="50"/>
  <c r="AG164" i="50" s="1"/>
  <c r="AH164" i="50" s="1"/>
  <c r="AI164" i="50" s="1"/>
  <c r="AJ163" i="50"/>
  <c r="W163" i="50"/>
  <c r="X163" i="50" s="1"/>
  <c r="C163" i="50"/>
  <c r="Z163" i="50"/>
  <c r="V161" i="50"/>
  <c r="C161" i="50"/>
  <c r="Z161" i="50"/>
  <c r="U157" i="50"/>
  <c r="AD157" i="50" s="1"/>
  <c r="AM157" i="50"/>
  <c r="Z156" i="50"/>
  <c r="V156" i="50"/>
  <c r="AJ156" i="50"/>
  <c r="C156" i="50"/>
  <c r="W156" i="50"/>
  <c r="X156" i="50" s="1"/>
  <c r="Z153" i="50"/>
  <c r="C153" i="50"/>
  <c r="AJ153" i="50"/>
  <c r="W153" i="50"/>
  <c r="X153" i="50" s="1"/>
  <c r="V153" i="50"/>
  <c r="U153" i="50"/>
  <c r="AD153" i="50" s="1"/>
  <c r="AG153" i="50" s="1"/>
  <c r="AH153" i="50" s="1"/>
  <c r="AI153" i="50" s="1"/>
  <c r="AM153" i="50"/>
  <c r="AD200" i="57"/>
  <c r="AC200" i="57"/>
  <c r="AK200" i="57"/>
  <c r="AQ200" i="57"/>
  <c r="AE200" i="57"/>
  <c r="Q200" i="57"/>
  <c r="T200" i="57" s="1"/>
  <c r="R200" i="57"/>
  <c r="Z212" i="50"/>
  <c r="U210" i="50"/>
  <c r="AD210" i="50" s="1"/>
  <c r="U200" i="50"/>
  <c r="AD200" i="50" s="1"/>
  <c r="AD248" i="57"/>
  <c r="AC247" i="57"/>
  <c r="AK245" i="57"/>
  <c r="AJ245" i="57"/>
  <c r="AD177" i="50"/>
  <c r="AK236" i="57"/>
  <c r="AD236" i="57"/>
  <c r="AC236" i="57"/>
  <c r="AD176" i="50"/>
  <c r="V174" i="50"/>
  <c r="Z174" i="50"/>
  <c r="AG160" i="50"/>
  <c r="AH160" i="50" s="1"/>
  <c r="AI160" i="50" s="1"/>
  <c r="Q211" i="57"/>
  <c r="T211" i="57" s="1"/>
  <c r="AK211" i="57"/>
  <c r="AQ211" i="57"/>
  <c r="R211" i="57"/>
  <c r="AJ211" i="57"/>
  <c r="AC211" i="57"/>
  <c r="AD211" i="57"/>
  <c r="AJ151" i="50"/>
  <c r="W151" i="50"/>
  <c r="X151" i="50" s="1"/>
  <c r="V151" i="50"/>
  <c r="Z151" i="50"/>
  <c r="AE248" i="57"/>
  <c r="AJ247" i="57"/>
  <c r="V185" i="50"/>
  <c r="Q245" i="57"/>
  <c r="T245" i="57" s="1"/>
  <c r="AM186" i="50"/>
  <c r="U186" i="50"/>
  <c r="AD186" i="50" s="1"/>
  <c r="AQ242" i="57"/>
  <c r="AC241" i="57"/>
  <c r="AK232" i="57"/>
  <c r="AD170" i="50"/>
  <c r="AJ167" i="50"/>
  <c r="W167" i="50"/>
  <c r="X167" i="50" s="1"/>
  <c r="C167" i="50"/>
  <c r="Z167" i="50"/>
  <c r="AK224" i="57"/>
  <c r="R224" i="57"/>
  <c r="X224" i="57" s="1"/>
  <c r="AE224" i="57"/>
  <c r="AC224" i="57"/>
  <c r="AQ224" i="57"/>
  <c r="AJ224" i="57"/>
  <c r="AD163" i="50"/>
  <c r="AG163" i="50" s="1"/>
  <c r="AH163" i="50" s="1"/>
  <c r="AI163" i="50" s="1"/>
  <c r="V162" i="50"/>
  <c r="Z162" i="50"/>
  <c r="AJ162" i="50"/>
  <c r="W162" i="50"/>
  <c r="X162" i="50" s="1"/>
  <c r="C158" i="50"/>
  <c r="AJ158" i="50"/>
  <c r="W158" i="50"/>
  <c r="X158" i="50" s="1"/>
  <c r="V158" i="50"/>
  <c r="Z158" i="50"/>
  <c r="Q217" i="57"/>
  <c r="T217" i="57" s="1"/>
  <c r="AC217" i="57"/>
  <c r="AK217" i="57"/>
  <c r="AQ217" i="57"/>
  <c r="AE217" i="57"/>
  <c r="R217" i="57"/>
  <c r="AJ217" i="57"/>
  <c r="AG210" i="57"/>
  <c r="AD133" i="50"/>
  <c r="W133" i="50"/>
  <c r="X133" i="50" s="1"/>
  <c r="Z133" i="50"/>
  <c r="AJ133" i="50"/>
  <c r="V133" i="50"/>
  <c r="C133" i="50"/>
  <c r="AD253" i="57"/>
  <c r="AC253" i="57"/>
  <c r="AQ248" i="57"/>
  <c r="Q248" i="57"/>
  <c r="T248" i="57" s="1"/>
  <c r="X248" i="57" s="1"/>
  <c r="AD247" i="57"/>
  <c r="AJ185" i="50"/>
  <c r="AE245" i="57"/>
  <c r="AE242" i="57"/>
  <c r="AQ241" i="57"/>
  <c r="AJ180" i="50"/>
  <c r="AD180" i="50"/>
  <c r="Q237" i="57"/>
  <c r="T237" i="57" s="1"/>
  <c r="W169" i="50"/>
  <c r="X169" i="50" s="1"/>
  <c r="V169" i="50"/>
  <c r="C169" i="50"/>
  <c r="AJ227" i="57"/>
  <c r="AD227" i="57"/>
  <c r="R227" i="57"/>
  <c r="Q227" i="57"/>
  <c r="T227" i="57" s="1"/>
  <c r="AQ227" i="57"/>
  <c r="AC227" i="57"/>
  <c r="AD167" i="50"/>
  <c r="AE226" i="57"/>
  <c r="AJ226" i="57"/>
  <c r="R226" i="57"/>
  <c r="AD226" i="57"/>
  <c r="AK226" i="57"/>
  <c r="AC226" i="57"/>
  <c r="Q226" i="57"/>
  <c r="T226" i="57" s="1"/>
  <c r="C162" i="50"/>
  <c r="V160" i="50"/>
  <c r="Z160" i="50"/>
  <c r="AJ160" i="50"/>
  <c r="AL160" i="50" s="1"/>
  <c r="AJ215" i="57"/>
  <c r="AE215" i="57"/>
  <c r="R215" i="57"/>
  <c r="AD215" i="57"/>
  <c r="AC215" i="57"/>
  <c r="AQ215" i="57"/>
  <c r="Q215" i="57"/>
  <c r="T215" i="57" s="1"/>
  <c r="V143" i="50"/>
  <c r="C143" i="50"/>
  <c r="Z143" i="50"/>
  <c r="AJ143" i="50"/>
  <c r="AL143" i="50" s="1"/>
  <c r="W143" i="50"/>
  <c r="X143" i="50" s="1"/>
  <c r="AD140" i="50"/>
  <c r="W185" i="50"/>
  <c r="X185" i="50" s="1"/>
  <c r="R245" i="57"/>
  <c r="R243" i="57"/>
  <c r="AD242" i="57"/>
  <c r="C181" i="50"/>
  <c r="AE241" i="57"/>
  <c r="X238" i="57"/>
  <c r="AQ240" i="57"/>
  <c r="AK240" i="57"/>
  <c r="AC240" i="57"/>
  <c r="W174" i="50"/>
  <c r="X174" i="50" s="1"/>
  <c r="AE234" i="57"/>
  <c r="AJ234" i="57"/>
  <c r="AD234" i="57"/>
  <c r="AK234" i="57"/>
  <c r="AC234" i="57"/>
  <c r="AQ233" i="57"/>
  <c r="AE233" i="57"/>
  <c r="AK233" i="57"/>
  <c r="Q233" i="57"/>
  <c r="T233" i="57" s="1"/>
  <c r="W173" i="50"/>
  <c r="X173" i="50" s="1"/>
  <c r="Z173" i="50"/>
  <c r="AE230" i="57"/>
  <c r="AQ230" i="57"/>
  <c r="AK230" i="57"/>
  <c r="AD230" i="57"/>
  <c r="AC230" i="57"/>
  <c r="Q230" i="57"/>
  <c r="T230" i="57" s="1"/>
  <c r="AL166" i="50"/>
  <c r="AD168" i="50"/>
  <c r="AG168" i="50" s="1"/>
  <c r="AH168" i="50" s="1"/>
  <c r="AI168" i="50" s="1"/>
  <c r="AK221" i="57"/>
  <c r="AE221" i="57"/>
  <c r="AQ221" i="57"/>
  <c r="AC221" i="57"/>
  <c r="AD221" i="57"/>
  <c r="R221" i="57"/>
  <c r="X221" i="57" s="1"/>
  <c r="U148" i="50"/>
  <c r="AD148" i="50" s="1"/>
  <c r="AM148" i="50"/>
  <c r="R231" i="57"/>
  <c r="AC220" i="57"/>
  <c r="AM160" i="50"/>
  <c r="AJ157" i="50"/>
  <c r="AQ216" i="57"/>
  <c r="AE208" i="57"/>
  <c r="AK207" i="57"/>
  <c r="AE207" i="57"/>
  <c r="AM145" i="50"/>
  <c r="AD204" i="57"/>
  <c r="V142" i="50"/>
  <c r="AQ201" i="57"/>
  <c r="C136" i="50"/>
  <c r="AJ136" i="50"/>
  <c r="AL136" i="50" s="1"/>
  <c r="V136" i="50"/>
  <c r="W136" i="50"/>
  <c r="X136" i="50" s="1"/>
  <c r="AC235" i="57"/>
  <c r="AE231" i="57"/>
  <c r="AQ220" i="57"/>
  <c r="Q218" i="57"/>
  <c r="T218" i="57" s="1"/>
  <c r="W157" i="50"/>
  <c r="X157" i="50" s="1"/>
  <c r="Q216" i="57"/>
  <c r="T216" i="57" s="1"/>
  <c r="W155" i="50"/>
  <c r="X155" i="50" s="1"/>
  <c r="AE214" i="57"/>
  <c r="AK214" i="57"/>
  <c r="AQ212" i="57"/>
  <c r="Z150" i="50"/>
  <c r="U150" i="50"/>
  <c r="AD150" i="50" s="1"/>
  <c r="R208" i="57"/>
  <c r="AJ207" i="57"/>
  <c r="AJ203" i="57"/>
  <c r="AC202" i="57"/>
  <c r="AE201" i="57"/>
  <c r="Q190" i="57"/>
  <c r="T190" i="57" s="1"/>
  <c r="R190" i="57"/>
  <c r="AE190" i="57"/>
  <c r="AK190" i="57"/>
  <c r="AJ190" i="57"/>
  <c r="AQ190" i="57"/>
  <c r="AC190" i="57"/>
  <c r="AE189" i="57"/>
  <c r="AK189" i="57"/>
  <c r="AQ189" i="57"/>
  <c r="AJ189" i="57"/>
  <c r="AD189" i="57"/>
  <c r="Q189" i="57"/>
  <c r="T189" i="57" s="1"/>
  <c r="AC189" i="57"/>
  <c r="R189" i="57"/>
  <c r="AK206" i="57"/>
  <c r="AJ206" i="57"/>
  <c r="R204" i="57"/>
  <c r="AE204" i="57"/>
  <c r="W142" i="50"/>
  <c r="X142" i="50" s="1"/>
  <c r="AJ142" i="50"/>
  <c r="AL142" i="50" s="1"/>
  <c r="R202" i="57"/>
  <c r="X202" i="57" s="1"/>
  <c r="AG190" i="57"/>
  <c r="R179" i="57"/>
  <c r="AJ179" i="57"/>
  <c r="AD179" i="57"/>
  <c r="AC179" i="57"/>
  <c r="AQ179" i="57"/>
  <c r="AK179" i="57"/>
  <c r="Q179" i="57"/>
  <c r="T179" i="57" s="1"/>
  <c r="AE179" i="57"/>
  <c r="AD214" i="57"/>
  <c r="R206" i="57"/>
  <c r="AJ139" i="50"/>
  <c r="AL139" i="50" s="1"/>
  <c r="W139" i="50"/>
  <c r="X139" i="50" s="1"/>
  <c r="AP139" i="50" s="1"/>
  <c r="V171" i="50"/>
  <c r="R223" i="57"/>
  <c r="X223" i="57" s="1"/>
  <c r="R220" i="57"/>
  <c r="Z157" i="50"/>
  <c r="AC214" i="57"/>
  <c r="Q212" i="57"/>
  <c r="T212" i="57" s="1"/>
  <c r="W150" i="50"/>
  <c r="X150" i="50" s="1"/>
  <c r="AD208" i="57"/>
  <c r="AD207" i="57"/>
  <c r="AQ202" i="57"/>
  <c r="R201" i="57"/>
  <c r="AG196" i="57"/>
  <c r="V135" i="50"/>
  <c r="C135" i="50"/>
  <c r="Z135" i="50"/>
  <c r="AJ135" i="50"/>
  <c r="R194" i="57"/>
  <c r="AE194" i="57"/>
  <c r="AC194" i="57"/>
  <c r="AQ194" i="57"/>
  <c r="Q194" i="57"/>
  <c r="T194" i="57" s="1"/>
  <c r="AD194" i="57"/>
  <c r="U128" i="50"/>
  <c r="AD128" i="50" s="1"/>
  <c r="AM128" i="50"/>
  <c r="AJ180" i="57"/>
  <c r="AC180" i="57"/>
  <c r="AK180" i="57"/>
  <c r="AE180" i="57"/>
  <c r="R180" i="57"/>
  <c r="Q180" i="57"/>
  <c r="T180" i="57" s="1"/>
  <c r="AQ180" i="57"/>
  <c r="AD180" i="57"/>
  <c r="C171" i="50"/>
  <c r="Q231" i="57"/>
  <c r="T231" i="57" s="1"/>
  <c r="AD220" i="57"/>
  <c r="AQ214" i="57"/>
  <c r="C150" i="50"/>
  <c r="AQ208" i="57"/>
  <c r="Q206" i="57"/>
  <c r="T206" i="57" s="1"/>
  <c r="Z145" i="50"/>
  <c r="AK204" i="57"/>
  <c r="AE202" i="57"/>
  <c r="AK202" i="57"/>
  <c r="Z134" i="50"/>
  <c r="W134" i="50"/>
  <c r="X134" i="50" s="1"/>
  <c r="C134" i="50"/>
  <c r="V134" i="50"/>
  <c r="AJ134" i="50"/>
  <c r="V113" i="50"/>
  <c r="AJ113" i="50"/>
  <c r="C113" i="50"/>
  <c r="Z113" i="50"/>
  <c r="W113" i="50"/>
  <c r="X113" i="50" s="1"/>
  <c r="AD206" i="57"/>
  <c r="AK201" i="57"/>
  <c r="AD201" i="57"/>
  <c r="AJ117" i="50"/>
  <c r="C117" i="50"/>
  <c r="W117" i="50"/>
  <c r="X117" i="50" s="1"/>
  <c r="V117" i="50"/>
  <c r="Z117" i="50"/>
  <c r="C137" i="50"/>
  <c r="AC197" i="57"/>
  <c r="Q195" i="57"/>
  <c r="T195" i="57" s="1"/>
  <c r="AJ193" i="57"/>
  <c r="R192" i="57"/>
  <c r="X192" i="57" s="1"/>
  <c r="AD192" i="57"/>
  <c r="W129" i="50"/>
  <c r="X129" i="50" s="1"/>
  <c r="AJ188" i="57"/>
  <c r="AC188" i="57"/>
  <c r="Q188" i="57"/>
  <c r="T188" i="57" s="1"/>
  <c r="AQ188" i="57"/>
  <c r="AM127" i="50"/>
  <c r="AK187" i="57"/>
  <c r="R187" i="57"/>
  <c r="X187" i="57" s="1"/>
  <c r="AQ187" i="57"/>
  <c r="AE187" i="57"/>
  <c r="AD185" i="57"/>
  <c r="AJ185" i="57"/>
  <c r="AC185" i="57"/>
  <c r="Q185" i="57"/>
  <c r="T185" i="57" s="1"/>
  <c r="X185" i="57" s="1"/>
  <c r="AK185" i="57"/>
  <c r="V124" i="50"/>
  <c r="Z124" i="50"/>
  <c r="C124" i="50"/>
  <c r="U123" i="50"/>
  <c r="AD123" i="50" s="1"/>
  <c r="AM123" i="50"/>
  <c r="V118" i="50"/>
  <c r="AJ137" i="50"/>
  <c r="AQ197" i="57"/>
  <c r="Q197" i="57"/>
  <c r="T197" i="57" s="1"/>
  <c r="R193" i="57"/>
  <c r="AE192" i="57"/>
  <c r="AD130" i="50"/>
  <c r="AM129" i="50"/>
  <c r="Z128" i="50"/>
  <c r="C128" i="50"/>
  <c r="AJ128" i="50"/>
  <c r="V128" i="50"/>
  <c r="AM124" i="50"/>
  <c r="U124" i="50"/>
  <c r="AD124" i="50" s="1"/>
  <c r="C123" i="50"/>
  <c r="W123" i="50"/>
  <c r="X123" i="50" s="1"/>
  <c r="AJ123" i="50"/>
  <c r="AD120" i="50"/>
  <c r="AD110" i="50"/>
  <c r="V137" i="50"/>
  <c r="Z137" i="50"/>
  <c r="AK195" i="57"/>
  <c r="AE193" i="57"/>
  <c r="AK193" i="57"/>
  <c r="AJ192" i="57"/>
  <c r="AK192" i="57"/>
  <c r="AJ186" i="57"/>
  <c r="AE186" i="57"/>
  <c r="AK186" i="57"/>
  <c r="Q186" i="57"/>
  <c r="T186" i="57" s="1"/>
  <c r="X186" i="57" s="1"/>
  <c r="AQ186" i="57"/>
  <c r="V115" i="50"/>
  <c r="W115" i="50"/>
  <c r="X115" i="50" s="1"/>
  <c r="Z115" i="50"/>
  <c r="C115" i="50"/>
  <c r="U125" i="50"/>
  <c r="AD125" i="50" s="1"/>
  <c r="AG125" i="50" s="1"/>
  <c r="AH125" i="50" s="1"/>
  <c r="AI125" i="50" s="1"/>
  <c r="AM125" i="50"/>
  <c r="S11" i="46"/>
  <c r="V11" i="46"/>
  <c r="W11" i="46" s="1"/>
  <c r="X11" i="46" s="1"/>
  <c r="C120" i="50"/>
  <c r="Z120" i="50"/>
  <c r="AJ120" i="50"/>
  <c r="W120" i="50"/>
  <c r="X120" i="50" s="1"/>
  <c r="U116" i="50"/>
  <c r="AD116" i="50" s="1"/>
  <c r="AM116" i="50"/>
  <c r="Z110" i="50"/>
  <c r="V110" i="50"/>
  <c r="AJ110" i="50"/>
  <c r="W110" i="50"/>
  <c r="X110" i="50" s="1"/>
  <c r="AC195" i="57"/>
  <c r="AJ195" i="57"/>
  <c r="AJ132" i="50"/>
  <c r="W132" i="50"/>
  <c r="X132" i="50" s="1"/>
  <c r="Z127" i="50"/>
  <c r="AJ127" i="50"/>
  <c r="AL127" i="50" s="1"/>
  <c r="Z122" i="50"/>
  <c r="AJ122" i="50"/>
  <c r="C122" i="50"/>
  <c r="W122" i="50"/>
  <c r="X122" i="50" s="1"/>
  <c r="V122" i="50"/>
  <c r="AJ121" i="50"/>
  <c r="V121" i="50"/>
  <c r="Z121" i="50"/>
  <c r="W121" i="50"/>
  <c r="X121" i="50" s="1"/>
  <c r="C118" i="50"/>
  <c r="W118" i="50"/>
  <c r="X118" i="50" s="1"/>
  <c r="AJ118" i="50"/>
  <c r="Z118" i="50"/>
  <c r="AK170" i="57"/>
  <c r="AE170" i="57"/>
  <c r="AQ170" i="57"/>
  <c r="AD170" i="57"/>
  <c r="AJ170" i="57"/>
  <c r="AC170" i="57"/>
  <c r="AG170" i="57"/>
  <c r="AK169" i="57"/>
  <c r="AQ169" i="57"/>
  <c r="AJ169" i="57"/>
  <c r="AC169" i="57"/>
  <c r="AE169" i="57"/>
  <c r="AD169" i="57"/>
  <c r="Q169" i="57"/>
  <c r="T169" i="57" s="1"/>
  <c r="AG168" i="57"/>
  <c r="AC199" i="57"/>
  <c r="R197" i="57"/>
  <c r="R195" i="57"/>
  <c r="AD195" i="57"/>
  <c r="Q193" i="57"/>
  <c r="T193" i="57" s="1"/>
  <c r="V132" i="50"/>
  <c r="AC192" i="57"/>
  <c r="AJ130" i="50"/>
  <c r="C131" i="50"/>
  <c r="W131" i="50"/>
  <c r="X131" i="50" s="1"/>
  <c r="Z131" i="50"/>
  <c r="W127" i="50"/>
  <c r="X127" i="50" s="1"/>
  <c r="AK188" i="57"/>
  <c r="AD126" i="50"/>
  <c r="C121" i="50"/>
  <c r="R182" i="57"/>
  <c r="AE182" i="57"/>
  <c r="Q182" i="57"/>
  <c r="T182" i="57" s="1"/>
  <c r="AJ182" i="57"/>
  <c r="AQ182" i="57"/>
  <c r="R181" i="57"/>
  <c r="AE181" i="57"/>
  <c r="Q181" i="57"/>
  <c r="T181" i="57" s="1"/>
  <c r="AK181" i="57"/>
  <c r="AQ181" i="57"/>
  <c r="AC181" i="57"/>
  <c r="AG177" i="57"/>
  <c r="AD114" i="50"/>
  <c r="C114" i="50"/>
  <c r="AJ114" i="50"/>
  <c r="Z114" i="50"/>
  <c r="W114" i="50"/>
  <c r="X114" i="50" s="1"/>
  <c r="V114" i="50"/>
  <c r="R170" i="57"/>
  <c r="X170" i="57" s="1"/>
  <c r="R169" i="57"/>
  <c r="AQ192" i="57"/>
  <c r="AM131" i="50"/>
  <c r="V130" i="50"/>
  <c r="C130" i="50"/>
  <c r="AJ129" i="50"/>
  <c r="AL129" i="50" s="1"/>
  <c r="V129" i="50"/>
  <c r="Z129" i="50"/>
  <c r="Z125" i="50"/>
  <c r="C125" i="50"/>
  <c r="C119" i="50"/>
  <c r="V119" i="50"/>
  <c r="Z119" i="50"/>
  <c r="AJ116" i="50"/>
  <c r="W116" i="50"/>
  <c r="X116" i="50" s="1"/>
  <c r="Z116" i="50"/>
  <c r="C116" i="50"/>
  <c r="V116" i="50"/>
  <c r="AD177" i="57"/>
  <c r="AK177" i="57"/>
  <c r="V111" i="50"/>
  <c r="AD171" i="57"/>
  <c r="AC168" i="57"/>
  <c r="AK168" i="57"/>
  <c r="AE168" i="57"/>
  <c r="Q168" i="57"/>
  <c r="T168" i="57" s="1"/>
  <c r="X168" i="57" s="1"/>
  <c r="AQ168" i="57"/>
  <c r="Z109" i="50"/>
  <c r="C109" i="50"/>
  <c r="W109" i="50"/>
  <c r="X109" i="50" s="1"/>
  <c r="Z107" i="50"/>
  <c r="C107" i="50"/>
  <c r="U107" i="50"/>
  <c r="AD107" i="50" s="1"/>
  <c r="AM107" i="50"/>
  <c r="C106" i="50"/>
  <c r="Z106" i="50"/>
  <c r="AD105" i="50"/>
  <c r="AG105" i="50" s="1"/>
  <c r="AH105" i="50" s="1"/>
  <c r="AI105" i="50" s="1"/>
  <c r="AE171" i="57"/>
  <c r="V109" i="50"/>
  <c r="AJ109" i="50"/>
  <c r="AL109" i="50" s="1"/>
  <c r="V108" i="50"/>
  <c r="AJ108" i="50"/>
  <c r="U108" i="50"/>
  <c r="AD108" i="50" s="1"/>
  <c r="AG108" i="50" s="1"/>
  <c r="AH108" i="50" s="1"/>
  <c r="AI108" i="50" s="1"/>
  <c r="AM108" i="50"/>
  <c r="V106" i="50"/>
  <c r="AJ106" i="50"/>
  <c r="AC184" i="57"/>
  <c r="AE178" i="57"/>
  <c r="Q177" i="57"/>
  <c r="T177" i="57" s="1"/>
  <c r="AC176" i="57"/>
  <c r="AJ175" i="57"/>
  <c r="AK175" i="57"/>
  <c r="W106" i="50"/>
  <c r="X106" i="50" s="1"/>
  <c r="AM122" i="50"/>
  <c r="AG181" i="57"/>
  <c r="R172" i="57"/>
  <c r="AK172" i="57"/>
  <c r="AK171" i="57"/>
  <c r="AK167" i="57"/>
  <c r="AQ167" i="57"/>
  <c r="AC167" i="57"/>
  <c r="AE167" i="57"/>
  <c r="AC177" i="57"/>
  <c r="Z108" i="50"/>
  <c r="C108" i="50"/>
  <c r="R177" i="57"/>
  <c r="V107" i="50"/>
  <c r="AJ107" i="50"/>
  <c r="AD106" i="50"/>
  <c r="AG106" i="50" s="1"/>
  <c r="AH106" i="50" s="1"/>
  <c r="AI106" i="50" s="1"/>
  <c r="AD166" i="57"/>
  <c r="AM106" i="50"/>
  <c r="Q165" i="57"/>
  <c r="T165" i="57" s="1"/>
  <c r="AK161" i="57"/>
  <c r="R161" i="57"/>
  <c r="AE161" i="57"/>
  <c r="AC161" i="57"/>
  <c r="AQ161" i="57"/>
  <c r="AJ161" i="57"/>
  <c r="Q161" i="57"/>
  <c r="T161" i="57" s="1"/>
  <c r="AD161" i="57"/>
  <c r="Z97" i="50"/>
  <c r="AJ97" i="50"/>
  <c r="C97" i="50"/>
  <c r="W97" i="50"/>
  <c r="X97" i="50" s="1"/>
  <c r="V97" i="50"/>
  <c r="AC166" i="57"/>
  <c r="AD165" i="57"/>
  <c r="AQ164" i="57"/>
  <c r="R164" i="57"/>
  <c r="C98" i="50"/>
  <c r="Z98" i="50"/>
  <c r="AJ98" i="50"/>
  <c r="W98" i="50"/>
  <c r="X98" i="50" s="1"/>
  <c r="V98" i="50"/>
  <c r="R166" i="57"/>
  <c r="AE163" i="57"/>
  <c r="AD163" i="57"/>
  <c r="AK163" i="57"/>
  <c r="AD96" i="50"/>
  <c r="R165" i="57"/>
  <c r="AJ165" i="57"/>
  <c r="Q166" i="57"/>
  <c r="T166" i="57" s="1"/>
  <c r="AC165" i="57"/>
  <c r="AG100" i="50"/>
  <c r="AH100" i="50" s="1"/>
  <c r="AI100" i="50" s="1"/>
  <c r="AJ104" i="50"/>
  <c r="Z104" i="50"/>
  <c r="V103" i="50"/>
  <c r="Z103" i="50"/>
  <c r="W96" i="50"/>
  <c r="X96" i="50" s="1"/>
  <c r="C96" i="50"/>
  <c r="AJ96" i="50"/>
  <c r="Z96" i="50"/>
  <c r="V96" i="50"/>
  <c r="AG159" i="57"/>
  <c r="AJ156" i="57"/>
  <c r="Q156" i="57"/>
  <c r="T156" i="57" s="1"/>
  <c r="AC156" i="57"/>
  <c r="AQ156" i="57"/>
  <c r="AE156" i="57"/>
  <c r="AJ95" i="50"/>
  <c r="C95" i="50"/>
  <c r="W95" i="50"/>
  <c r="X95" i="50" s="1"/>
  <c r="V95" i="50"/>
  <c r="AM102" i="50"/>
  <c r="V101" i="50"/>
  <c r="AM100" i="50"/>
  <c r="Z95" i="50"/>
  <c r="Z90" i="50"/>
  <c r="W90" i="50"/>
  <c r="X90" i="50" s="1"/>
  <c r="AJ90" i="50"/>
  <c r="C90" i="50"/>
  <c r="AD146" i="57"/>
  <c r="AE146" i="57"/>
  <c r="AQ146" i="57"/>
  <c r="AJ146" i="57"/>
  <c r="R146" i="57"/>
  <c r="AC146" i="57"/>
  <c r="AK146" i="57"/>
  <c r="Q146" i="57"/>
  <c r="T146" i="57" s="1"/>
  <c r="W101" i="50"/>
  <c r="X101" i="50" s="1"/>
  <c r="AJ149" i="57"/>
  <c r="AC149" i="57"/>
  <c r="AQ149" i="57"/>
  <c r="AK149" i="57"/>
  <c r="Q149" i="57"/>
  <c r="T149" i="57" s="1"/>
  <c r="AD149" i="57"/>
  <c r="R149" i="57"/>
  <c r="Z84" i="50"/>
  <c r="W84" i="50"/>
  <c r="X84" i="50" s="1"/>
  <c r="AJ84" i="50"/>
  <c r="C84" i="50"/>
  <c r="V84" i="50"/>
  <c r="W100" i="50"/>
  <c r="X100" i="50" s="1"/>
  <c r="AJ99" i="50"/>
  <c r="AL99" i="50" s="1"/>
  <c r="C99" i="50"/>
  <c r="W99" i="50"/>
  <c r="X99" i="50" s="1"/>
  <c r="V99" i="50"/>
  <c r="R159" i="57"/>
  <c r="AD159" i="57"/>
  <c r="Q159" i="57"/>
  <c r="T159" i="57" s="1"/>
  <c r="AK159" i="57"/>
  <c r="AJ159" i="57"/>
  <c r="AD97" i="50"/>
  <c r="Z94" i="50"/>
  <c r="V94" i="50"/>
  <c r="W94" i="50"/>
  <c r="X94" i="50" s="1"/>
  <c r="W92" i="50"/>
  <c r="X92" i="50" s="1"/>
  <c r="V92" i="50"/>
  <c r="AJ92" i="50"/>
  <c r="AE149" i="57"/>
  <c r="AG148" i="57"/>
  <c r="C101" i="50"/>
  <c r="Z101" i="50"/>
  <c r="AD101" i="50"/>
  <c r="AC158" i="57"/>
  <c r="AM96" i="50"/>
  <c r="AK154" i="57"/>
  <c r="AC154" i="57"/>
  <c r="AJ154" i="57"/>
  <c r="AE154" i="57"/>
  <c r="AJ82" i="50"/>
  <c r="C82" i="50"/>
  <c r="Z82" i="50"/>
  <c r="V82" i="50"/>
  <c r="C100" i="50"/>
  <c r="AK156" i="57"/>
  <c r="AD154" i="57"/>
  <c r="AL94" i="50"/>
  <c r="V100" i="50"/>
  <c r="AJ100" i="50"/>
  <c r="AL100" i="50" s="1"/>
  <c r="AD158" i="57"/>
  <c r="AQ158" i="57"/>
  <c r="AJ158" i="57"/>
  <c r="AE158" i="57"/>
  <c r="AK158" i="57"/>
  <c r="AD93" i="50"/>
  <c r="V90" i="50"/>
  <c r="U84" i="50"/>
  <c r="AD84" i="50" s="1"/>
  <c r="AM84" i="50"/>
  <c r="AQ143" i="57"/>
  <c r="R143" i="57"/>
  <c r="AE143" i="57"/>
  <c r="AC143" i="57"/>
  <c r="AK143" i="57"/>
  <c r="Q143" i="57"/>
  <c r="T143" i="57" s="1"/>
  <c r="AD143" i="57"/>
  <c r="AD98" i="50"/>
  <c r="AD156" i="57"/>
  <c r="R156" i="57"/>
  <c r="AJ157" i="57"/>
  <c r="AD157" i="57"/>
  <c r="AC157" i="57"/>
  <c r="AJ155" i="57"/>
  <c r="R155" i="57"/>
  <c r="Q155" i="57"/>
  <c r="T155" i="57" s="1"/>
  <c r="AG155" i="57"/>
  <c r="Z93" i="50"/>
  <c r="W93" i="50"/>
  <c r="X93" i="50" s="1"/>
  <c r="C93" i="50"/>
  <c r="Z89" i="50"/>
  <c r="AJ89" i="50"/>
  <c r="C89" i="50"/>
  <c r="W89" i="50"/>
  <c r="X89" i="50" s="1"/>
  <c r="V89" i="50"/>
  <c r="AJ87" i="50"/>
  <c r="Z87" i="50"/>
  <c r="C87" i="50"/>
  <c r="W87" i="50"/>
  <c r="X87" i="50" s="1"/>
  <c r="V87" i="50"/>
  <c r="Z76" i="50"/>
  <c r="W76" i="50"/>
  <c r="X76" i="50" s="1"/>
  <c r="V76" i="50"/>
  <c r="C76" i="50"/>
  <c r="AJ76" i="50"/>
  <c r="AG75" i="50"/>
  <c r="AH75" i="50" s="1"/>
  <c r="AI75" i="50" s="1"/>
  <c r="X135" i="57"/>
  <c r="AG135" i="57"/>
  <c r="Z73" i="50"/>
  <c r="C73" i="50"/>
  <c r="W73" i="50"/>
  <c r="X73" i="50" s="1"/>
  <c r="V73" i="50"/>
  <c r="AE131" i="57"/>
  <c r="AJ131" i="57"/>
  <c r="Q131" i="57"/>
  <c r="T131" i="57" s="1"/>
  <c r="AD131" i="57"/>
  <c r="R131" i="57"/>
  <c r="AC131" i="57"/>
  <c r="AK131" i="57"/>
  <c r="AQ131" i="57"/>
  <c r="AE153" i="57"/>
  <c r="W91" i="50"/>
  <c r="X91" i="50" s="1"/>
  <c r="Q150" i="57"/>
  <c r="T150" i="57" s="1"/>
  <c r="AK148" i="57"/>
  <c r="AK142" i="57"/>
  <c r="R142" i="57"/>
  <c r="AC142" i="57"/>
  <c r="AQ142" i="57"/>
  <c r="AG61" i="50"/>
  <c r="AH61" i="50" s="1"/>
  <c r="AI61" i="50" s="1"/>
  <c r="V85" i="50"/>
  <c r="Z85" i="50"/>
  <c r="AJ85" i="50"/>
  <c r="C85" i="50"/>
  <c r="Q144" i="57"/>
  <c r="T144" i="57" s="1"/>
  <c r="R144" i="57"/>
  <c r="AC144" i="57"/>
  <c r="AD82" i="50"/>
  <c r="AG82" i="50" s="1"/>
  <c r="AH82" i="50" s="1"/>
  <c r="AI82" i="50" s="1"/>
  <c r="AJ78" i="50"/>
  <c r="W78" i="50"/>
  <c r="X78" i="50" s="1"/>
  <c r="Z77" i="50"/>
  <c r="W77" i="50"/>
  <c r="X77" i="50" s="1"/>
  <c r="AJ77" i="50"/>
  <c r="C77" i="50"/>
  <c r="V69" i="50"/>
  <c r="AJ69" i="50"/>
  <c r="W69" i="50"/>
  <c r="X69" i="50" s="1"/>
  <c r="C69" i="50"/>
  <c r="Z69" i="50"/>
  <c r="W44" i="50"/>
  <c r="X44" i="50" s="1"/>
  <c r="V44" i="50"/>
  <c r="Z44" i="50"/>
  <c r="C44" i="50"/>
  <c r="AJ44" i="50"/>
  <c r="Q153" i="57"/>
  <c r="T153" i="57" s="1"/>
  <c r="X153" i="57" s="1"/>
  <c r="AD87" i="50"/>
  <c r="W85" i="50"/>
  <c r="X85" i="50" s="1"/>
  <c r="U86" i="50"/>
  <c r="AD86" i="50" s="1"/>
  <c r="AG86" i="50" s="1"/>
  <c r="AH86" i="50" s="1"/>
  <c r="AI86" i="50" s="1"/>
  <c r="AM86" i="50"/>
  <c r="C79" i="50"/>
  <c r="W79" i="50"/>
  <c r="X79" i="50" s="1"/>
  <c r="Z79" i="50"/>
  <c r="V79" i="50"/>
  <c r="AJ73" i="50"/>
  <c r="AC132" i="57"/>
  <c r="Q132" i="57"/>
  <c r="T132" i="57" s="1"/>
  <c r="AD132" i="57"/>
  <c r="AQ132" i="57"/>
  <c r="R132" i="57"/>
  <c r="AK132" i="57"/>
  <c r="AJ132" i="57"/>
  <c r="AE132" i="57"/>
  <c r="AK153" i="57"/>
  <c r="AE148" i="57"/>
  <c r="AQ148" i="57"/>
  <c r="AK145" i="57"/>
  <c r="Q145" i="57"/>
  <c r="T145" i="57" s="1"/>
  <c r="R145" i="57"/>
  <c r="AG78" i="50"/>
  <c r="AH78" i="50" s="1"/>
  <c r="AI78" i="50" s="1"/>
  <c r="AD77" i="50"/>
  <c r="W75" i="50"/>
  <c r="X75" i="50" s="1"/>
  <c r="V75" i="50"/>
  <c r="Z75" i="50"/>
  <c r="AJ75" i="50"/>
  <c r="AL75" i="50" s="1"/>
  <c r="C75" i="50"/>
  <c r="Z66" i="50"/>
  <c r="V66" i="50"/>
  <c r="W66" i="50"/>
  <c r="X66" i="50" s="1"/>
  <c r="C66" i="50"/>
  <c r="AJ66" i="50"/>
  <c r="Z40" i="50"/>
  <c r="C40" i="50"/>
  <c r="AJ40" i="50"/>
  <c r="W40" i="50"/>
  <c r="X40" i="50" s="1"/>
  <c r="V40" i="50"/>
  <c r="AG153" i="57"/>
  <c r="AJ148" i="57"/>
  <c r="V74" i="50"/>
  <c r="C74" i="50"/>
  <c r="Z74" i="50"/>
  <c r="W74" i="50"/>
  <c r="X74" i="50" s="1"/>
  <c r="AL74" i="50"/>
  <c r="AJ153" i="57"/>
  <c r="R150" i="57"/>
  <c r="AC145" i="57"/>
  <c r="AK144" i="57"/>
  <c r="C83" i="50"/>
  <c r="Z83" i="50"/>
  <c r="W83" i="50"/>
  <c r="X83" i="50" s="1"/>
  <c r="V81" i="50"/>
  <c r="U81" i="50"/>
  <c r="AD81" i="50" s="1"/>
  <c r="AG81" i="50" s="1"/>
  <c r="AH81" i="50" s="1"/>
  <c r="AI81" i="50" s="1"/>
  <c r="AL72" i="50"/>
  <c r="AJ42" i="50"/>
  <c r="W42" i="50"/>
  <c r="X42" i="50" s="1"/>
  <c r="V42" i="50"/>
  <c r="C42" i="50"/>
  <c r="Z42" i="50"/>
  <c r="AK152" i="57"/>
  <c r="AE152" i="57"/>
  <c r="R148" i="57"/>
  <c r="X148" i="57" s="1"/>
  <c r="AE145" i="57"/>
  <c r="AJ144" i="57"/>
  <c r="AJ81" i="50"/>
  <c r="C81" i="50"/>
  <c r="C80" i="50"/>
  <c r="W80" i="50"/>
  <c r="X80" i="50" s="1"/>
  <c r="V80" i="50"/>
  <c r="AD80" i="50"/>
  <c r="AG140" i="57"/>
  <c r="V78" i="50"/>
  <c r="AD79" i="50"/>
  <c r="Q138" i="57"/>
  <c r="T138" i="57" s="1"/>
  <c r="AJ138" i="57"/>
  <c r="R138" i="57"/>
  <c r="AC138" i="57"/>
  <c r="AD138" i="57"/>
  <c r="AE138" i="57"/>
  <c r="AK122" i="57"/>
  <c r="AJ122" i="57"/>
  <c r="R122" i="57"/>
  <c r="AC122" i="57"/>
  <c r="AE122" i="57"/>
  <c r="Q122" i="57"/>
  <c r="T122" i="57" s="1"/>
  <c r="AQ122" i="57"/>
  <c r="AD122" i="57"/>
  <c r="AM72" i="50"/>
  <c r="Q126" i="57"/>
  <c r="T126" i="57" s="1"/>
  <c r="AQ126" i="57"/>
  <c r="AJ126" i="57"/>
  <c r="AD126" i="57"/>
  <c r="AK126" i="57"/>
  <c r="R126" i="57"/>
  <c r="C63" i="50"/>
  <c r="W63" i="50"/>
  <c r="X63" i="50" s="1"/>
  <c r="Z63" i="50"/>
  <c r="AD63" i="50"/>
  <c r="W58" i="50"/>
  <c r="X58" i="50" s="1"/>
  <c r="V58" i="50"/>
  <c r="AJ58" i="50"/>
  <c r="AG57" i="50"/>
  <c r="AH57" i="50" s="1"/>
  <c r="AI57" i="50" s="1"/>
  <c r="V53" i="50"/>
  <c r="Z53" i="50"/>
  <c r="C53" i="50"/>
  <c r="AG45" i="50"/>
  <c r="AH45" i="50" s="1"/>
  <c r="AI45" i="50" s="1"/>
  <c r="AG22" i="50"/>
  <c r="AH22" i="50" s="1"/>
  <c r="AI22" i="50" s="1"/>
  <c r="AL22" i="50"/>
  <c r="R137" i="57"/>
  <c r="X137" i="57" s="1"/>
  <c r="AC136" i="57"/>
  <c r="Q134" i="57"/>
  <c r="T134" i="57" s="1"/>
  <c r="Q127" i="57"/>
  <c r="T127" i="57" s="1"/>
  <c r="X127" i="57" s="1"/>
  <c r="AD124" i="57"/>
  <c r="R124" i="57"/>
  <c r="Q124" i="57"/>
  <c r="T124" i="57" s="1"/>
  <c r="AK124" i="57"/>
  <c r="AE120" i="57"/>
  <c r="AC120" i="57"/>
  <c r="AJ120" i="57"/>
  <c r="AQ120" i="57"/>
  <c r="Z58" i="50"/>
  <c r="AK119" i="57"/>
  <c r="AE119" i="57"/>
  <c r="Q119" i="57"/>
  <c r="T119" i="57" s="1"/>
  <c r="X119" i="57" s="1"/>
  <c r="AD119" i="57"/>
  <c r="AQ119" i="57"/>
  <c r="AJ119" i="57"/>
  <c r="Z47" i="50"/>
  <c r="V47" i="50"/>
  <c r="W47" i="50"/>
  <c r="X47" i="50" s="1"/>
  <c r="C47" i="50"/>
  <c r="AG142" i="57"/>
  <c r="AD137" i="57"/>
  <c r="AE136" i="57"/>
  <c r="U76" i="50"/>
  <c r="AD76" i="50" s="1"/>
  <c r="AQ134" i="57"/>
  <c r="AE133" i="57"/>
  <c r="AK133" i="57"/>
  <c r="AJ71" i="50"/>
  <c r="AD71" i="50"/>
  <c r="AG71" i="50" s="1"/>
  <c r="AH71" i="50" s="1"/>
  <c r="AI71" i="50" s="1"/>
  <c r="AC130" i="57"/>
  <c r="AJ130" i="57"/>
  <c r="AJ129" i="57"/>
  <c r="AE129" i="57"/>
  <c r="AQ129" i="57"/>
  <c r="AG127" i="57"/>
  <c r="AG122" i="57"/>
  <c r="AC119" i="57"/>
  <c r="C57" i="50"/>
  <c r="AJ57" i="50"/>
  <c r="AL57" i="50" s="1"/>
  <c r="Z57" i="50"/>
  <c r="V57" i="50"/>
  <c r="U56" i="50"/>
  <c r="AD56" i="50" s="1"/>
  <c r="AG56" i="50" s="1"/>
  <c r="AH56" i="50" s="1"/>
  <c r="AI56" i="50" s="1"/>
  <c r="AM56" i="50"/>
  <c r="AQ105" i="57"/>
  <c r="AE105" i="57"/>
  <c r="Q105" i="57"/>
  <c r="T105" i="57" s="1"/>
  <c r="X105" i="57" s="1"/>
  <c r="AC105" i="57"/>
  <c r="AK105" i="57"/>
  <c r="AD105" i="57"/>
  <c r="AJ105" i="57"/>
  <c r="V43" i="50"/>
  <c r="AJ43" i="50"/>
  <c r="C43" i="50"/>
  <c r="W43" i="50"/>
  <c r="X43" i="50" s="1"/>
  <c r="AJ137" i="57"/>
  <c r="AC134" i="57"/>
  <c r="V67" i="50"/>
  <c r="V63" i="50"/>
  <c r="AC123" i="57"/>
  <c r="V61" i="50"/>
  <c r="AM60" i="50"/>
  <c r="U60" i="50"/>
  <c r="AD60" i="50" s="1"/>
  <c r="AG60" i="50" s="1"/>
  <c r="AH60" i="50" s="1"/>
  <c r="AI60" i="50" s="1"/>
  <c r="W59" i="50"/>
  <c r="X59" i="50" s="1"/>
  <c r="V59" i="50"/>
  <c r="C59" i="50"/>
  <c r="Z59" i="50"/>
  <c r="AD59" i="50"/>
  <c r="AG59" i="50" s="1"/>
  <c r="AH59" i="50" s="1"/>
  <c r="AI59" i="50" s="1"/>
  <c r="W53" i="50"/>
  <c r="X53" i="50" s="1"/>
  <c r="AD53" i="50"/>
  <c r="AG53" i="50" s="1"/>
  <c r="AH53" i="50" s="1"/>
  <c r="AI53" i="50" s="1"/>
  <c r="Q136" i="57"/>
  <c r="T136" i="57" s="1"/>
  <c r="AJ133" i="57"/>
  <c r="W72" i="50"/>
  <c r="X72" i="50" s="1"/>
  <c r="W70" i="50"/>
  <c r="X70" i="50" s="1"/>
  <c r="Z70" i="50"/>
  <c r="AM69" i="50"/>
  <c r="AC127" i="57"/>
  <c r="AK127" i="57"/>
  <c r="AJ127" i="57"/>
  <c r="AD127" i="57"/>
  <c r="AJ125" i="57"/>
  <c r="AK125" i="57"/>
  <c r="Q125" i="57"/>
  <c r="T125" i="57" s="1"/>
  <c r="X125" i="57" s="1"/>
  <c r="AJ64" i="50"/>
  <c r="C64" i="50"/>
  <c r="Q123" i="57"/>
  <c r="T123" i="57" s="1"/>
  <c r="W61" i="50"/>
  <c r="X61" i="50" s="1"/>
  <c r="C62" i="50"/>
  <c r="Z62" i="50"/>
  <c r="U58" i="50"/>
  <c r="AD58" i="50" s="1"/>
  <c r="AM58" i="50"/>
  <c r="AJ56" i="50"/>
  <c r="AE117" i="57"/>
  <c r="AQ117" i="57"/>
  <c r="AK117" i="57"/>
  <c r="AC117" i="57"/>
  <c r="AJ117" i="57"/>
  <c r="R117" i="57"/>
  <c r="X117" i="57" s="1"/>
  <c r="AJ53" i="50"/>
  <c r="AC113" i="57"/>
  <c r="AQ113" i="57"/>
  <c r="AJ113" i="57"/>
  <c r="R113" i="57"/>
  <c r="AK113" i="57"/>
  <c r="AE113" i="57"/>
  <c r="Q113" i="57"/>
  <c r="T113" i="57" s="1"/>
  <c r="AK112" i="57"/>
  <c r="R112" i="57"/>
  <c r="Q112" i="57"/>
  <c r="T112" i="57" s="1"/>
  <c r="AC112" i="57"/>
  <c r="AE112" i="57"/>
  <c r="AD112" i="57"/>
  <c r="V52" i="50"/>
  <c r="AJ52" i="50"/>
  <c r="AL52" i="50" s="1"/>
  <c r="Z52" i="50"/>
  <c r="C52" i="50"/>
  <c r="W52" i="50"/>
  <c r="X52" i="50" s="1"/>
  <c r="Z51" i="50"/>
  <c r="AP51" i="50" s="1"/>
  <c r="C51" i="50"/>
  <c r="AJ51" i="50"/>
  <c r="AL51" i="50" s="1"/>
  <c r="AG104" i="57"/>
  <c r="W68" i="50"/>
  <c r="X68" i="50" s="1"/>
  <c r="V68" i="50"/>
  <c r="Z68" i="50"/>
  <c r="AJ68" i="50"/>
  <c r="AC126" i="57"/>
  <c r="AD65" i="50"/>
  <c r="AJ63" i="50"/>
  <c r="AQ115" i="57"/>
  <c r="AD115" i="57"/>
  <c r="Q115" i="57"/>
  <c r="T115" i="57" s="1"/>
  <c r="R115" i="57"/>
  <c r="AK115" i="57"/>
  <c r="AC115" i="57"/>
  <c r="AG109" i="57"/>
  <c r="Z48" i="50"/>
  <c r="AJ48" i="50"/>
  <c r="C48" i="50"/>
  <c r="W48" i="50"/>
  <c r="X48" i="50" s="1"/>
  <c r="AD48" i="50"/>
  <c r="W45" i="50"/>
  <c r="X45" i="50" s="1"/>
  <c r="C45" i="50"/>
  <c r="AJ45" i="50"/>
  <c r="AL45" i="50" s="1"/>
  <c r="V45" i="50"/>
  <c r="Z45" i="50"/>
  <c r="AJ136" i="57"/>
  <c r="C70" i="50"/>
  <c r="Q128" i="57"/>
  <c r="T128" i="57" s="1"/>
  <c r="AK128" i="57"/>
  <c r="R128" i="57"/>
  <c r="AD128" i="57"/>
  <c r="AD67" i="50"/>
  <c r="AK123" i="57"/>
  <c r="AJ123" i="57"/>
  <c r="R123" i="57"/>
  <c r="AQ123" i="57"/>
  <c r="AE123" i="57"/>
  <c r="Z61" i="50"/>
  <c r="AJ61" i="50"/>
  <c r="AL61" i="50" s="1"/>
  <c r="R121" i="57"/>
  <c r="X121" i="57" s="1"/>
  <c r="AE121" i="57"/>
  <c r="AK121" i="57"/>
  <c r="AD121" i="57"/>
  <c r="AJ121" i="57"/>
  <c r="AJ60" i="50"/>
  <c r="C60" i="50"/>
  <c r="V60" i="50"/>
  <c r="AG115" i="57"/>
  <c r="U55" i="50"/>
  <c r="AD55" i="50" s="1"/>
  <c r="AG55" i="50" s="1"/>
  <c r="AH55" i="50" s="1"/>
  <c r="AI55" i="50" s="1"/>
  <c r="AM55" i="50"/>
  <c r="AM44" i="50"/>
  <c r="U44" i="50"/>
  <c r="AD44" i="50" s="1"/>
  <c r="AQ136" i="57"/>
  <c r="AJ70" i="50"/>
  <c r="AE126" i="57"/>
  <c r="C65" i="50"/>
  <c r="W65" i="50"/>
  <c r="X65" i="50" s="1"/>
  <c r="Z65" i="50"/>
  <c r="AG125" i="57"/>
  <c r="AK116" i="57"/>
  <c r="AD116" i="57"/>
  <c r="AJ116" i="57"/>
  <c r="AQ116" i="57"/>
  <c r="Q116" i="57"/>
  <c r="T116" i="57" s="1"/>
  <c r="X116" i="57" s="1"/>
  <c r="AE116" i="57"/>
  <c r="AC116" i="57"/>
  <c r="C56" i="50"/>
  <c r="W56" i="50"/>
  <c r="X56" i="50" s="1"/>
  <c r="V56" i="50"/>
  <c r="C54" i="50"/>
  <c r="V54" i="50"/>
  <c r="Z54" i="50"/>
  <c r="AJ54" i="50"/>
  <c r="W54" i="50"/>
  <c r="X54" i="50" s="1"/>
  <c r="W50" i="50"/>
  <c r="X50" i="50" s="1"/>
  <c r="V50" i="50"/>
  <c r="AJ50" i="50"/>
  <c r="C50" i="50"/>
  <c r="AE95" i="57"/>
  <c r="AD95" i="57"/>
  <c r="AC95" i="57"/>
  <c r="AK95" i="57"/>
  <c r="Q95" i="57"/>
  <c r="T95" i="57" s="1"/>
  <c r="AJ95" i="57"/>
  <c r="R95" i="57"/>
  <c r="AQ95" i="57"/>
  <c r="U62" i="50"/>
  <c r="AD62" i="50" s="1"/>
  <c r="AG62" i="50" s="1"/>
  <c r="AH62" i="50" s="1"/>
  <c r="AI62" i="50" s="1"/>
  <c r="AQ118" i="57"/>
  <c r="R118" i="57"/>
  <c r="AM52" i="50"/>
  <c r="AJ114" i="57"/>
  <c r="AQ111" i="57"/>
  <c r="AJ110" i="57"/>
  <c r="AK109" i="57"/>
  <c r="R109" i="57"/>
  <c r="Q109" i="57"/>
  <c r="T109" i="57" s="1"/>
  <c r="AM45" i="50"/>
  <c r="C46" i="50"/>
  <c r="W46" i="50"/>
  <c r="X46" i="50" s="1"/>
  <c r="AJ102" i="57"/>
  <c r="Q100" i="57"/>
  <c r="T100" i="57" s="1"/>
  <c r="AC100" i="57"/>
  <c r="AJ100" i="57"/>
  <c r="R100" i="57"/>
  <c r="C34" i="50"/>
  <c r="W34" i="50"/>
  <c r="X34" i="50" s="1"/>
  <c r="Z34" i="50"/>
  <c r="AJ34" i="50"/>
  <c r="AL34" i="50" s="1"/>
  <c r="AD118" i="57"/>
  <c r="C55" i="50"/>
  <c r="AE111" i="57"/>
  <c r="AD110" i="57"/>
  <c r="AG111" i="57"/>
  <c r="W49" i="50"/>
  <c r="X49" i="50" s="1"/>
  <c r="AD102" i="57"/>
  <c r="AQ102" i="57"/>
  <c r="Q102" i="57"/>
  <c r="T102" i="57" s="1"/>
  <c r="AG99" i="57"/>
  <c r="AJ31" i="50"/>
  <c r="W31" i="50"/>
  <c r="X31" i="50" s="1"/>
  <c r="C31" i="50"/>
  <c r="AG29" i="50"/>
  <c r="AH29" i="50" s="1"/>
  <c r="AI29" i="50" s="1"/>
  <c r="W29" i="50"/>
  <c r="X29" i="50" s="1"/>
  <c r="Z29" i="50"/>
  <c r="AJ29" i="50"/>
  <c r="V29" i="50"/>
  <c r="V28" i="50"/>
  <c r="C28" i="50"/>
  <c r="AJ28" i="50"/>
  <c r="W28" i="50"/>
  <c r="X28" i="50" s="1"/>
  <c r="AQ88" i="57"/>
  <c r="AE88" i="57"/>
  <c r="AD88" i="57"/>
  <c r="Q88" i="57"/>
  <c r="T88" i="57" s="1"/>
  <c r="AC88" i="57"/>
  <c r="AK88" i="57"/>
  <c r="AE84" i="57"/>
  <c r="Q84" i="57"/>
  <c r="T84" i="57" s="1"/>
  <c r="AC84" i="57"/>
  <c r="AK84" i="57"/>
  <c r="AD84" i="57"/>
  <c r="AJ84" i="57"/>
  <c r="AQ84" i="57"/>
  <c r="R84" i="57"/>
  <c r="X77" i="57"/>
  <c r="C41" i="50"/>
  <c r="W41" i="50"/>
  <c r="X41" i="50" s="1"/>
  <c r="AD97" i="57"/>
  <c r="AK97" i="57"/>
  <c r="AE97" i="57"/>
  <c r="AQ97" i="57"/>
  <c r="AJ97" i="57"/>
  <c r="R97" i="57"/>
  <c r="X97" i="57" s="1"/>
  <c r="AC97" i="57"/>
  <c r="AJ33" i="50"/>
  <c r="AL33" i="50" s="1"/>
  <c r="C33" i="50"/>
  <c r="V33" i="50"/>
  <c r="W33" i="50"/>
  <c r="X33" i="50" s="1"/>
  <c r="R87" i="57"/>
  <c r="X87" i="57" s="1"/>
  <c r="AE87" i="57"/>
  <c r="AQ87" i="57"/>
  <c r="AJ87" i="57"/>
  <c r="AC87" i="57"/>
  <c r="AK87" i="57"/>
  <c r="Q118" i="57"/>
  <c r="T118" i="57" s="1"/>
  <c r="V55" i="50"/>
  <c r="AC110" i="57"/>
  <c r="AJ49" i="50"/>
  <c r="AK110" i="57"/>
  <c r="AM46" i="50"/>
  <c r="AQ108" i="57"/>
  <c r="R108" i="57"/>
  <c r="AD108" i="57"/>
  <c r="AK108" i="57"/>
  <c r="AC108" i="57"/>
  <c r="AE102" i="57"/>
  <c r="AE103" i="57"/>
  <c r="AJ103" i="57"/>
  <c r="AK103" i="57"/>
  <c r="R103" i="57"/>
  <c r="AD103" i="57"/>
  <c r="U43" i="50"/>
  <c r="AD43" i="50" s="1"/>
  <c r="AG43" i="50" s="1"/>
  <c r="AH43" i="50" s="1"/>
  <c r="AI43" i="50" s="1"/>
  <c r="AQ101" i="57"/>
  <c r="AG101" i="57"/>
  <c r="AD40" i="50"/>
  <c r="AG40" i="50" s="1"/>
  <c r="AH40" i="50" s="1"/>
  <c r="AI40" i="50" s="1"/>
  <c r="AQ98" i="57"/>
  <c r="AK98" i="57"/>
  <c r="AD98" i="57"/>
  <c r="AJ98" i="57"/>
  <c r="R98" i="57"/>
  <c r="X98" i="57" s="1"/>
  <c r="U36" i="50"/>
  <c r="AD36" i="50" s="1"/>
  <c r="Q91" i="57"/>
  <c r="T91" i="57" s="1"/>
  <c r="AJ91" i="57"/>
  <c r="AE91" i="57"/>
  <c r="AC91" i="57"/>
  <c r="AK91" i="57"/>
  <c r="R91" i="57"/>
  <c r="AD91" i="57"/>
  <c r="C25" i="50"/>
  <c r="W25" i="50"/>
  <c r="X25" i="50" s="1"/>
  <c r="V25" i="50"/>
  <c r="Z25" i="50"/>
  <c r="AJ25" i="50"/>
  <c r="R101" i="57"/>
  <c r="AD101" i="57"/>
  <c r="Q101" i="57"/>
  <c r="T101" i="57" s="1"/>
  <c r="AC101" i="57"/>
  <c r="V31" i="50"/>
  <c r="AD49" i="50"/>
  <c r="AG49" i="50" s="1"/>
  <c r="AH49" i="50" s="1"/>
  <c r="AI49" i="50" s="1"/>
  <c r="AC109" i="57"/>
  <c r="V46" i="50"/>
  <c r="Q103" i="57"/>
  <c r="T103" i="57" s="1"/>
  <c r="AD41" i="50"/>
  <c r="AG41" i="50" s="1"/>
  <c r="AH41" i="50" s="1"/>
  <c r="AI41" i="50" s="1"/>
  <c r="AC102" i="57"/>
  <c r="U42" i="50"/>
  <c r="AD42" i="50" s="1"/>
  <c r="AG42" i="50" s="1"/>
  <c r="AH42" i="50" s="1"/>
  <c r="AI42" i="50" s="1"/>
  <c r="AM42" i="50"/>
  <c r="AD107" i="57"/>
  <c r="AQ106" i="57"/>
  <c r="R104" i="57"/>
  <c r="X104" i="57" s="1"/>
  <c r="AJ39" i="50"/>
  <c r="AL39" i="50" s="1"/>
  <c r="Z38" i="50"/>
  <c r="AJ38" i="50"/>
  <c r="AL38" i="50" s="1"/>
  <c r="W38" i="50"/>
  <c r="X38" i="50" s="1"/>
  <c r="C36" i="50"/>
  <c r="Z36" i="50"/>
  <c r="V36" i="50"/>
  <c r="AC96" i="57"/>
  <c r="Q96" i="57"/>
  <c r="T96" i="57" s="1"/>
  <c r="X96" i="57" s="1"/>
  <c r="AD96" i="57"/>
  <c r="AK96" i="57"/>
  <c r="AJ96" i="57"/>
  <c r="AE96" i="57"/>
  <c r="Q94" i="57"/>
  <c r="T94" i="57" s="1"/>
  <c r="AG92" i="57"/>
  <c r="AD30" i="50"/>
  <c r="AG30" i="50" s="1"/>
  <c r="AH30" i="50" s="1"/>
  <c r="AI30" i="50" s="1"/>
  <c r="AQ107" i="57"/>
  <c r="AJ104" i="57"/>
  <c r="AK99" i="57"/>
  <c r="AQ99" i="57"/>
  <c r="AC94" i="57"/>
  <c r="AE94" i="57"/>
  <c r="AD94" i="57"/>
  <c r="Z32" i="50"/>
  <c r="AJ32" i="50"/>
  <c r="AG89" i="57"/>
  <c r="AD25" i="50"/>
  <c r="AG85" i="57"/>
  <c r="C22" i="50"/>
  <c r="V22" i="50"/>
  <c r="AQ90" i="57"/>
  <c r="AC90" i="57"/>
  <c r="R90" i="57"/>
  <c r="X90" i="57" s="1"/>
  <c r="AK90" i="57"/>
  <c r="AE90" i="57"/>
  <c r="AD90" i="57"/>
  <c r="U28" i="50"/>
  <c r="AD28" i="50" s="1"/>
  <c r="AG88" i="57"/>
  <c r="AM27" i="50"/>
  <c r="U27" i="50"/>
  <c r="AD27" i="50" s="1"/>
  <c r="AG27" i="50" s="1"/>
  <c r="AH27" i="50" s="1"/>
  <c r="AI27" i="50" s="1"/>
  <c r="AJ26" i="50"/>
  <c r="Z26" i="50"/>
  <c r="W26" i="50"/>
  <c r="X26" i="50" s="1"/>
  <c r="V24" i="50"/>
  <c r="AJ24" i="50"/>
  <c r="AL24" i="50" s="1"/>
  <c r="C24" i="50"/>
  <c r="W37" i="50"/>
  <c r="X37" i="50" s="1"/>
  <c r="AJ37" i="50"/>
  <c r="AD93" i="57"/>
  <c r="AE93" i="57"/>
  <c r="AC93" i="57"/>
  <c r="AJ93" i="57"/>
  <c r="AE92" i="57"/>
  <c r="AC92" i="57"/>
  <c r="AK92" i="57"/>
  <c r="AJ92" i="57"/>
  <c r="U23" i="50"/>
  <c r="AD23" i="50" s="1"/>
  <c r="AM23" i="50"/>
  <c r="W21" i="50"/>
  <c r="X21" i="50" s="1"/>
  <c r="V21" i="50"/>
  <c r="Z21" i="50"/>
  <c r="AJ21" i="50"/>
  <c r="Z19" i="50"/>
  <c r="AJ19" i="50"/>
  <c r="C19" i="50"/>
  <c r="W19" i="50"/>
  <c r="X19" i="50" s="1"/>
  <c r="V19" i="50"/>
  <c r="AD19" i="50"/>
  <c r="AG19" i="50" s="1"/>
  <c r="AH19" i="50" s="1"/>
  <c r="AI19" i="50" s="1"/>
  <c r="C37" i="50"/>
  <c r="AJ36" i="50"/>
  <c r="AD32" i="50"/>
  <c r="AG32" i="50" s="1"/>
  <c r="AH32" i="50" s="1"/>
  <c r="AI32" i="50" s="1"/>
  <c r="Q93" i="57"/>
  <c r="T93" i="57" s="1"/>
  <c r="X93" i="57" s="1"/>
  <c r="W32" i="50"/>
  <c r="X32" i="50" s="1"/>
  <c r="AK93" i="57"/>
  <c r="AG93" i="57"/>
  <c r="AJ30" i="50"/>
  <c r="C30" i="50"/>
  <c r="W30" i="50"/>
  <c r="X30" i="50" s="1"/>
  <c r="AG90" i="57"/>
  <c r="AM20" i="50"/>
  <c r="AP20" i="50" s="1"/>
  <c r="R80" i="57"/>
  <c r="AK80" i="57"/>
  <c r="Q80" i="57"/>
  <c r="T80" i="57" s="1"/>
  <c r="AC80" i="57"/>
  <c r="AD80" i="57"/>
  <c r="AE80" i="57"/>
  <c r="C16" i="50"/>
  <c r="W16" i="50"/>
  <c r="X16" i="50" s="1"/>
  <c r="Z16" i="50"/>
  <c r="V16" i="50"/>
  <c r="AJ16" i="50"/>
  <c r="AK74" i="57"/>
  <c r="R74" i="57"/>
  <c r="Q74" i="57"/>
  <c r="T74" i="57" s="1"/>
  <c r="AC74" i="57"/>
  <c r="AE74" i="57"/>
  <c r="AQ74" i="57"/>
  <c r="AD74" i="57"/>
  <c r="AJ74" i="57"/>
  <c r="W14" i="50"/>
  <c r="X14" i="50" s="1"/>
  <c r="V14" i="50"/>
  <c r="C14" i="50"/>
  <c r="Z14" i="50"/>
  <c r="AJ14" i="50"/>
  <c r="AQ86" i="57"/>
  <c r="Q86" i="57"/>
  <c r="T86" i="57" s="1"/>
  <c r="AD85" i="57"/>
  <c r="AK85" i="57"/>
  <c r="Q85" i="57"/>
  <c r="T85" i="57" s="1"/>
  <c r="AQ82" i="57"/>
  <c r="R81" i="57"/>
  <c r="Y16" i="46"/>
  <c r="L33" i="22" s="1"/>
  <c r="P12" i="50"/>
  <c r="AD5" i="50"/>
  <c r="Y12" i="46"/>
  <c r="Q89" i="57"/>
  <c r="T89" i="57" s="1"/>
  <c r="AQ89" i="57"/>
  <c r="Z23" i="50"/>
  <c r="AJ23" i="50"/>
  <c r="AE83" i="57"/>
  <c r="AJ83" i="57"/>
  <c r="Q81" i="57"/>
  <c r="T81" i="57" s="1"/>
  <c r="AJ18" i="50"/>
  <c r="V18" i="50"/>
  <c r="AD16" i="50"/>
  <c r="AG16" i="50" s="1"/>
  <c r="AH16" i="50" s="1"/>
  <c r="AI16" i="50" s="1"/>
  <c r="AG76" i="57"/>
  <c r="V12" i="50"/>
  <c r="AJ12" i="50"/>
  <c r="AL12" i="50" s="1"/>
  <c r="Z12" i="50"/>
  <c r="W12" i="50"/>
  <c r="X12" i="50" s="1"/>
  <c r="C12" i="50"/>
  <c r="C27" i="50"/>
  <c r="Z27" i="50"/>
  <c r="AD81" i="57"/>
  <c r="AK81" i="57"/>
  <c r="Z17" i="50"/>
  <c r="V17" i="50"/>
  <c r="AJ17" i="50"/>
  <c r="AL17" i="50" s="1"/>
  <c r="C15" i="50"/>
  <c r="Z15" i="50"/>
  <c r="W15" i="50"/>
  <c r="X15" i="50" s="1"/>
  <c r="V15" i="50"/>
  <c r="AJ13" i="50"/>
  <c r="C13" i="50"/>
  <c r="V13" i="50"/>
  <c r="Z13" i="50"/>
  <c r="AD13" i="50"/>
  <c r="C18" i="50"/>
  <c r="Z18" i="50"/>
  <c r="AK79" i="57"/>
  <c r="R79" i="57"/>
  <c r="AJ15" i="50"/>
  <c r="AD14" i="50"/>
  <c r="AG14" i="50" s="1"/>
  <c r="AH14" i="50" s="1"/>
  <c r="AI14" i="50" s="1"/>
  <c r="AC68" i="57"/>
  <c r="AE68" i="57"/>
  <c r="R68" i="57"/>
  <c r="Q68" i="57"/>
  <c r="T68" i="57" s="1"/>
  <c r="AQ68" i="57"/>
  <c r="AK68" i="57"/>
  <c r="AD68" i="57"/>
  <c r="AJ27" i="50"/>
  <c r="R83" i="57"/>
  <c r="X83" i="57" s="1"/>
  <c r="R82" i="57"/>
  <c r="AG82" i="57"/>
  <c r="AJ20" i="50"/>
  <c r="AL20" i="50" s="1"/>
  <c r="AD21" i="50"/>
  <c r="AG21" i="50" s="1"/>
  <c r="AH21" i="50" s="1"/>
  <c r="AI21" i="50" s="1"/>
  <c r="C17" i="50"/>
  <c r="AD18" i="50"/>
  <c r="AG18" i="50" s="1"/>
  <c r="AH18" i="50" s="1"/>
  <c r="AI18" i="50" s="1"/>
  <c r="AG70" i="57"/>
  <c r="W23" i="50"/>
  <c r="X23" i="50" s="1"/>
  <c r="AD83" i="57"/>
  <c r="AJ82" i="57"/>
  <c r="Q82" i="57"/>
  <c r="T82" i="57" s="1"/>
  <c r="AK73" i="57"/>
  <c r="Q73" i="57"/>
  <c r="T73" i="57" s="1"/>
  <c r="X73" i="57" s="1"/>
  <c r="AD73" i="57"/>
  <c r="AQ73" i="57"/>
  <c r="AC73" i="57"/>
  <c r="AJ73" i="57"/>
  <c r="AE73" i="57"/>
  <c r="Q72" i="57"/>
  <c r="T72" i="57" s="1"/>
  <c r="AQ72" i="57"/>
  <c r="R72" i="57"/>
  <c r="AD72" i="57"/>
  <c r="AK72" i="57"/>
  <c r="AJ72" i="57"/>
  <c r="AC72" i="57"/>
  <c r="AJ69" i="57"/>
  <c r="Q69" i="57"/>
  <c r="T69" i="57" s="1"/>
  <c r="AK69" i="57"/>
  <c r="R69" i="57"/>
  <c r="AC69" i="57"/>
  <c r="AE69" i="57"/>
  <c r="AQ69" i="57"/>
  <c r="AK75" i="57"/>
  <c r="AD70" i="57"/>
  <c r="AK70" i="57"/>
  <c r="Q78" i="57"/>
  <c r="T78" i="57" s="1"/>
  <c r="AC77" i="57"/>
  <c r="AD76" i="57"/>
  <c r="AC75" i="57"/>
  <c r="R71" i="57"/>
  <c r="AQ67" i="57"/>
  <c r="AE78" i="57"/>
  <c r="AD75" i="57"/>
  <c r="AE71" i="57"/>
  <c r="Q70" i="57"/>
  <c r="T70" i="57" s="1"/>
  <c r="R67" i="57"/>
  <c r="X67" i="57" s="1"/>
  <c r="AM19" i="50"/>
  <c r="R78" i="57"/>
  <c r="AC76" i="57"/>
  <c r="R75" i="57"/>
  <c r="AJ71" i="57"/>
  <c r="Q71" i="57"/>
  <c r="T71" i="57" s="1"/>
  <c r="AC70" i="57"/>
  <c r="AE67" i="57"/>
  <c r="AE76" i="57"/>
  <c r="AJ75" i="57"/>
  <c r="AC71" i="57"/>
  <c r="R70" i="57"/>
  <c r="AD67" i="57"/>
  <c r="AJ61" i="57"/>
  <c r="AD61" i="57"/>
  <c r="R61" i="57"/>
  <c r="Q61" i="57"/>
  <c r="T61" i="57" s="1"/>
  <c r="AE61" i="57"/>
  <c r="AC58" i="57"/>
  <c r="AK58" i="57"/>
  <c r="AD58" i="57"/>
  <c r="AE58" i="57"/>
  <c r="AQ58" i="57"/>
  <c r="AJ58" i="57"/>
  <c r="Q58" i="57"/>
  <c r="T58" i="57" s="1"/>
  <c r="AJ64" i="57"/>
  <c r="Q64" i="57"/>
  <c r="T64" i="57" s="1"/>
  <c r="X64" i="57" s="1"/>
  <c r="AE64" i="57"/>
  <c r="AC64" i="57"/>
  <c r="AD64" i="57"/>
  <c r="AC35" i="57"/>
  <c r="Q35" i="57"/>
  <c r="T35" i="57" s="1"/>
  <c r="AJ35" i="57"/>
  <c r="AQ35" i="57"/>
  <c r="AD35" i="57"/>
  <c r="AE35" i="57"/>
  <c r="R35" i="57"/>
  <c r="AK35" i="57"/>
  <c r="AC61" i="57"/>
  <c r="AQ61" i="57"/>
  <c r="AD60" i="57"/>
  <c r="Q60" i="57"/>
  <c r="T60" i="57" s="1"/>
  <c r="AK60" i="57"/>
  <c r="AQ60" i="57"/>
  <c r="R60" i="57"/>
  <c r="AE60" i="57"/>
  <c r="AC60" i="57"/>
  <c r="AK56" i="57"/>
  <c r="AD56" i="57"/>
  <c r="AJ56" i="57"/>
  <c r="AQ56" i="57"/>
  <c r="AC56" i="57"/>
  <c r="AE56" i="57"/>
  <c r="AE53" i="57"/>
  <c r="AC53" i="57"/>
  <c r="AK53" i="57"/>
  <c r="R53" i="57"/>
  <c r="AD53" i="57"/>
  <c r="AJ53" i="57"/>
  <c r="Q53" i="57"/>
  <c r="T53" i="57" s="1"/>
  <c r="AJ43" i="57"/>
  <c r="AK43" i="57"/>
  <c r="Q43" i="57"/>
  <c r="T43" i="57" s="1"/>
  <c r="AQ43" i="57"/>
  <c r="AC43" i="57"/>
  <c r="AD43" i="57"/>
  <c r="AE43" i="57"/>
  <c r="R43" i="57"/>
  <c r="R23" i="57"/>
  <c r="AD23" i="57"/>
  <c r="AK23" i="57"/>
  <c r="AQ23" i="57"/>
  <c r="Q23" i="57"/>
  <c r="T23" i="57" s="1"/>
  <c r="AC23" i="57"/>
  <c r="AE23" i="57"/>
  <c r="AJ23" i="57"/>
  <c r="R58" i="57"/>
  <c r="R56" i="57"/>
  <c r="Q56" i="57"/>
  <c r="T56" i="57" s="1"/>
  <c r="AK55" i="57"/>
  <c r="AE55" i="57"/>
  <c r="AQ55" i="57"/>
  <c r="AD55" i="57"/>
  <c r="R55" i="57"/>
  <c r="Q55" i="57"/>
  <c r="T55" i="57" s="1"/>
  <c r="AC55" i="57"/>
  <c r="AG60" i="57"/>
  <c r="R54" i="57"/>
  <c r="AJ54" i="57"/>
  <c r="AE54" i="57"/>
  <c r="AK54" i="57"/>
  <c r="Q54" i="57"/>
  <c r="T54" i="57" s="1"/>
  <c r="AD54" i="57"/>
  <c r="AQ54" i="57"/>
  <c r="AC54" i="57"/>
  <c r="Q63" i="57"/>
  <c r="T63" i="57" s="1"/>
  <c r="AE57" i="57"/>
  <c r="AE63" i="57"/>
  <c r="AK63" i="57"/>
  <c r="R59" i="57"/>
  <c r="AK59" i="57"/>
  <c r="AD57" i="57"/>
  <c r="AK57" i="57"/>
  <c r="Q52" i="57"/>
  <c r="T52" i="57" s="1"/>
  <c r="AK52" i="57"/>
  <c r="AE45" i="57"/>
  <c r="AQ45" i="57"/>
  <c r="AK45" i="57"/>
  <c r="Q45" i="57"/>
  <c r="T45" i="57" s="1"/>
  <c r="AC45" i="57"/>
  <c r="R45" i="57"/>
  <c r="AD45" i="57"/>
  <c r="Q44" i="57"/>
  <c r="T44" i="57" s="1"/>
  <c r="AC44" i="57"/>
  <c r="AD44" i="57"/>
  <c r="AK44" i="57"/>
  <c r="R44" i="57"/>
  <c r="AQ44" i="57"/>
  <c r="AE44" i="57"/>
  <c r="Q37" i="57"/>
  <c r="T37" i="57" s="1"/>
  <c r="AK37" i="57"/>
  <c r="AC37" i="57"/>
  <c r="AQ37" i="57"/>
  <c r="AJ37" i="57"/>
  <c r="R37" i="57"/>
  <c r="AE37" i="57"/>
  <c r="R20" i="57"/>
  <c r="AD20" i="57"/>
  <c r="AK20" i="57"/>
  <c r="Q20" i="57"/>
  <c r="T20" i="57" s="1"/>
  <c r="AE20" i="57"/>
  <c r="AC20" i="57"/>
  <c r="AJ20" i="57"/>
  <c r="AQ20" i="57"/>
  <c r="AJ45" i="57"/>
  <c r="AC46" i="57"/>
  <c r="AQ46" i="57"/>
  <c r="AE46" i="57"/>
  <c r="AK46" i="57"/>
  <c r="AD46" i="57"/>
  <c r="R46" i="57"/>
  <c r="Q46" i="57"/>
  <c r="T46" i="57" s="1"/>
  <c r="AJ40" i="57"/>
  <c r="R40" i="57"/>
  <c r="AE40" i="57"/>
  <c r="AK40" i="57"/>
  <c r="Q40" i="57"/>
  <c r="T40" i="57" s="1"/>
  <c r="AQ40" i="57"/>
  <c r="AD40" i="57"/>
  <c r="AD29" i="57"/>
  <c r="AQ29" i="57"/>
  <c r="Q29" i="57"/>
  <c r="T29" i="57" s="1"/>
  <c r="AE29" i="57"/>
  <c r="R29" i="57"/>
  <c r="AC29" i="57"/>
  <c r="AK29" i="57"/>
  <c r="AJ29" i="57"/>
  <c r="AG26" i="57"/>
  <c r="R13" i="57"/>
  <c r="AQ13" i="57"/>
  <c r="AE13" i="57"/>
  <c r="AD13" i="57"/>
  <c r="AK13" i="57"/>
  <c r="Q13" i="57"/>
  <c r="T13" i="57" s="1"/>
  <c r="AJ13" i="57"/>
  <c r="AC13" i="57"/>
  <c r="AQ63" i="57"/>
  <c r="AE59" i="57"/>
  <c r="R57" i="57"/>
  <c r="X57" i="57" s="1"/>
  <c r="AC27" i="57"/>
  <c r="AJ27" i="57"/>
  <c r="Q27" i="57"/>
  <c r="T27" i="57" s="1"/>
  <c r="X27" i="57" s="1"/>
  <c r="AQ27" i="57"/>
  <c r="AE27" i="57"/>
  <c r="AD27" i="57"/>
  <c r="R63" i="57"/>
  <c r="AD62" i="57"/>
  <c r="AC59" i="57"/>
  <c r="AJ57" i="57"/>
  <c r="AC49" i="57"/>
  <c r="AE49" i="57"/>
  <c r="AK49" i="57"/>
  <c r="AQ49" i="57"/>
  <c r="Q49" i="57"/>
  <c r="T49" i="57" s="1"/>
  <c r="AJ49" i="57"/>
  <c r="R49" i="57"/>
  <c r="AQ50" i="57"/>
  <c r="AK50" i="57"/>
  <c r="AJ50" i="57"/>
  <c r="R50" i="57"/>
  <c r="Q50" i="57"/>
  <c r="T50" i="57" s="1"/>
  <c r="AC50" i="57"/>
  <c r="AE50" i="57"/>
  <c r="AQ36" i="57"/>
  <c r="AE36" i="57"/>
  <c r="AD36" i="57"/>
  <c r="AK36" i="57"/>
  <c r="Q36" i="57"/>
  <c r="T36" i="57" s="1"/>
  <c r="AJ36" i="57"/>
  <c r="AD31" i="57"/>
  <c r="AC31" i="57"/>
  <c r="R31" i="57"/>
  <c r="AJ31" i="57"/>
  <c r="Q31" i="57"/>
  <c r="T31" i="57" s="1"/>
  <c r="AE31" i="57"/>
  <c r="AJ48" i="57"/>
  <c r="AK48" i="57"/>
  <c r="AK41" i="57"/>
  <c r="AJ38" i="57"/>
  <c r="AK38" i="57"/>
  <c r="AG21" i="57"/>
  <c r="AE51" i="57"/>
  <c r="Q48" i="57"/>
  <c r="T48" i="57" s="1"/>
  <c r="Q42" i="57"/>
  <c r="T42" i="57" s="1"/>
  <c r="AD41" i="57"/>
  <c r="AQ32" i="57"/>
  <c r="AD32" i="57"/>
  <c r="Q28" i="57"/>
  <c r="T28" i="57" s="1"/>
  <c r="X28" i="57" s="1"/>
  <c r="R32" i="46"/>
  <c r="R42" i="57"/>
  <c r="AK42" i="57"/>
  <c r="R41" i="57"/>
  <c r="X41" i="57" s="1"/>
  <c r="Q38" i="57"/>
  <c r="T38" i="57" s="1"/>
  <c r="AE38" i="57"/>
  <c r="AD26" i="57"/>
  <c r="AG17" i="57"/>
  <c r="Q14" i="57"/>
  <c r="T14" i="57" s="1"/>
  <c r="AE14" i="57"/>
  <c r="R14" i="57"/>
  <c r="AC14" i="57"/>
  <c r="AK14" i="57"/>
  <c r="AQ14" i="57"/>
  <c r="AD14" i="57"/>
  <c r="AJ12" i="57"/>
  <c r="AQ12" i="57"/>
  <c r="AD12" i="57"/>
  <c r="AC12" i="57"/>
  <c r="AE12" i="57"/>
  <c r="Q12" i="57"/>
  <c r="T12" i="57" s="1"/>
  <c r="X12" i="57" s="1"/>
  <c r="AK12" i="57"/>
  <c r="AD51" i="57"/>
  <c r="AQ48" i="57"/>
  <c r="AJ41" i="57"/>
  <c r="AC38" i="57"/>
  <c r="AK32" i="57"/>
  <c r="AQ26" i="57"/>
  <c r="Q26" i="57"/>
  <c r="T26" i="57" s="1"/>
  <c r="AD48" i="57"/>
  <c r="Q47" i="57"/>
  <c r="T47" i="57" s="1"/>
  <c r="X47" i="57" s="1"/>
  <c r="AD42" i="57"/>
  <c r="AQ41" i="57"/>
  <c r="AQ30" i="57"/>
  <c r="R26" i="57"/>
  <c r="Q51" i="57"/>
  <c r="T51" i="57" s="1"/>
  <c r="X51" i="57" s="1"/>
  <c r="AD30" i="57"/>
  <c r="X22" i="57"/>
  <c r="AK19" i="57"/>
  <c r="AE19" i="57"/>
  <c r="AJ19" i="57"/>
  <c r="AD19" i="57"/>
  <c r="R19" i="57"/>
  <c r="AQ19" i="57"/>
  <c r="Q19" i="57"/>
  <c r="T19" i="57" s="1"/>
  <c r="AC19" i="57"/>
  <c r="AD18" i="57"/>
  <c r="AE18" i="57"/>
  <c r="R18" i="57"/>
  <c r="AC18" i="57"/>
  <c r="AJ18" i="57"/>
  <c r="Q18" i="57"/>
  <c r="T18" i="57" s="1"/>
  <c r="AQ18" i="57"/>
  <c r="AK18" i="57"/>
  <c r="AK22" i="57"/>
  <c r="R17" i="57"/>
  <c r="AK16" i="57"/>
  <c r="U132" i="46"/>
  <c r="U188" i="46"/>
  <c r="AJ17" i="57"/>
  <c r="AQ17" i="57"/>
  <c r="U68" i="46"/>
  <c r="H100" i="46"/>
  <c r="I100" i="46" s="1"/>
  <c r="Y100" i="46" s="1"/>
  <c r="U196" i="46"/>
  <c r="H172" i="46"/>
  <c r="I172" i="46" s="1"/>
  <c r="Y172" i="46" s="1"/>
  <c r="H212" i="46"/>
  <c r="I212" i="46" s="1"/>
  <c r="Y212" i="46" s="1"/>
  <c r="H244" i="46"/>
  <c r="I244" i="46" s="1"/>
  <c r="Y244" i="46" s="1"/>
  <c r="AD17" i="57"/>
  <c r="H140" i="46"/>
  <c r="I140" i="46" s="1"/>
  <c r="Y140" i="46" s="1"/>
  <c r="U204" i="46"/>
  <c r="Q25" i="57"/>
  <c r="T25" i="57" s="1"/>
  <c r="X25" i="57" s="1"/>
  <c r="Q16" i="57"/>
  <c r="T16" i="57" s="1"/>
  <c r="X16" i="57" s="1"/>
  <c r="H76" i="46"/>
  <c r="I76" i="46" s="1"/>
  <c r="Y76" i="46" s="1"/>
  <c r="H108" i="46"/>
  <c r="I108" i="46" s="1"/>
  <c r="Y108" i="46" s="1"/>
  <c r="H164" i="46"/>
  <c r="I164" i="46" s="1"/>
  <c r="Y164" i="46" s="1"/>
  <c r="H220" i="46"/>
  <c r="I220" i="46" s="1"/>
  <c r="Y220" i="46" s="1"/>
  <c r="U116" i="46"/>
  <c r="U148" i="46"/>
  <c r="U52" i="46"/>
  <c r="H84" i="46"/>
  <c r="I84" i="46" s="1"/>
  <c r="Y84" i="46" s="1"/>
  <c r="U228" i="46"/>
  <c r="AG14" i="57"/>
  <c r="S37" i="106"/>
  <c r="L12" i="65" l="1"/>
  <c r="M12" i="65" s="1"/>
  <c r="O12" i="65"/>
  <c r="C12" i="65"/>
  <c r="AN12" i="63" a="1"/>
  <c r="AN12" i="63" s="1"/>
  <c r="AN13" i="63" a="1"/>
  <c r="AN13" i="63" s="1"/>
  <c r="X258" i="67"/>
  <c r="X258" i="63"/>
  <c r="W258" i="67"/>
  <c r="L164" i="36"/>
  <c r="W258" i="63" a="1"/>
  <c r="W258" i="63" s="1"/>
  <c r="H28" i="36" s="1"/>
  <c r="AZ258" i="67" a="1"/>
  <c r="AZ258" i="67" s="1"/>
  <c r="L26" i="73" s="1"/>
  <c r="E258" i="67"/>
  <c r="Z258" i="67" a="1"/>
  <c r="Z258" i="67" s="1"/>
  <c r="Y258" i="67" a="1"/>
  <c r="Y258" i="67" s="1"/>
  <c r="H26" i="73" s="1"/>
  <c r="H30" i="73" s="1"/>
  <c r="E258" i="63"/>
  <c r="H21" i="36" s="1"/>
  <c r="V258" i="63" a="1"/>
  <c r="V258" i="63" s="1"/>
  <c r="H25" i="36" s="1"/>
  <c r="U258" i="63"/>
  <c r="H27" i="36" s="1"/>
  <c r="T258" i="63"/>
  <c r="AA258" i="67"/>
  <c r="U258" i="67"/>
  <c r="H22" i="73" s="1"/>
  <c r="J30" i="73" s="1"/>
  <c r="B13" i="65"/>
  <c r="L166" i="36"/>
  <c r="AO12" i="63" a="1"/>
  <c r="AO12" i="63" s="1"/>
  <c r="AL155" i="50"/>
  <c r="AL54" i="50"/>
  <c r="X34" i="11"/>
  <c r="AP35" i="50"/>
  <c r="AP39" i="50"/>
  <c r="AP24" i="50"/>
  <c r="AL203" i="50"/>
  <c r="N258" i="52"/>
  <c r="L103" i="36"/>
  <c r="L105" i="36"/>
  <c r="X151" i="57"/>
  <c r="X158" i="57"/>
  <c r="X201" i="57"/>
  <c r="X242" i="57"/>
  <c r="X94" i="57"/>
  <c r="X233" i="57"/>
  <c r="AA233" i="57" s="1"/>
  <c r="AF21" i="57"/>
  <c r="X59" i="57"/>
  <c r="AB59" i="57" s="1"/>
  <c r="X17" i="57"/>
  <c r="X160" i="57"/>
  <c r="W260" i="42"/>
  <c r="AL69" i="50"/>
  <c r="AL175" i="50"/>
  <c r="X39" i="57"/>
  <c r="AF39" i="57" s="1"/>
  <c r="X164" i="57"/>
  <c r="AA164" i="57" s="1"/>
  <c r="X230" i="57"/>
  <c r="AA230" i="57" s="1"/>
  <c r="X38" i="57"/>
  <c r="X172" i="57"/>
  <c r="AF172" i="57" s="1"/>
  <c r="X188" i="57"/>
  <c r="AA188" i="57" s="1"/>
  <c r="AL162" i="50"/>
  <c r="X52" i="57"/>
  <c r="AL37" i="50"/>
  <c r="X88" i="57"/>
  <c r="AB88" i="57" s="1"/>
  <c r="AF99" i="57"/>
  <c r="AP37" i="50"/>
  <c r="AL29" i="50"/>
  <c r="X134" i="57"/>
  <c r="AF134" i="57" s="1"/>
  <c r="AP102" i="50"/>
  <c r="X198" i="57"/>
  <c r="X75" i="57"/>
  <c r="AA75" i="57" s="1"/>
  <c r="X102" i="57"/>
  <c r="AB102" i="57" s="1"/>
  <c r="AL92" i="50"/>
  <c r="AL118" i="50"/>
  <c r="AL102" i="50"/>
  <c r="AF77" i="57"/>
  <c r="AP71" i="50"/>
  <c r="H10" i="73"/>
  <c r="H22" i="36"/>
  <c r="Y258" i="63"/>
  <c r="X220" i="57"/>
  <c r="X142" i="57"/>
  <c r="AF142" i="57" s="1"/>
  <c r="X108" i="57"/>
  <c r="AF108" i="57" s="1"/>
  <c r="X225" i="57"/>
  <c r="X111" i="57"/>
  <c r="X174" i="57"/>
  <c r="AB174" i="57" s="1"/>
  <c r="X175" i="57"/>
  <c r="AF175" i="57" s="1"/>
  <c r="X89" i="57"/>
  <c r="AF89" i="57" s="1"/>
  <c r="X86" i="57"/>
  <c r="X48" i="57"/>
  <c r="AB48" i="57" s="1"/>
  <c r="X79" i="57"/>
  <c r="AF79" i="57" s="1"/>
  <c r="AF135" i="57"/>
  <c r="X216" i="57"/>
  <c r="AF240" i="57"/>
  <c r="X36" i="57"/>
  <c r="AA36" i="57" s="1"/>
  <c r="X212" i="57"/>
  <c r="AF212" i="57" s="1"/>
  <c r="B13" i="53"/>
  <c r="AK12" i="52" a="1"/>
  <c r="AK12" i="52" s="1"/>
  <c r="B14" i="53" s="1"/>
  <c r="X85" i="57"/>
  <c r="AB85" i="57" s="1"/>
  <c r="X136" i="57"/>
  <c r="G12" i="53"/>
  <c r="L12" i="53"/>
  <c r="E12" i="53"/>
  <c r="F12" i="53"/>
  <c r="J12" i="53"/>
  <c r="H12" i="53"/>
  <c r="I12" i="53"/>
  <c r="K12" i="53"/>
  <c r="D12" i="53"/>
  <c r="C12" i="53"/>
  <c r="P12" i="53"/>
  <c r="X246" i="57"/>
  <c r="AF246" i="57" s="1"/>
  <c r="AJ12" i="52" a="1"/>
  <c r="AJ12" i="52" s="1"/>
  <c r="X20" i="11"/>
  <c r="AQ20" i="11" s="1"/>
  <c r="X183" i="57"/>
  <c r="AB183" i="57" s="1"/>
  <c r="X24" i="11"/>
  <c r="AQ24" i="11" s="1"/>
  <c r="AK14" i="11" a="1"/>
  <c r="AK14" i="11" s="1"/>
  <c r="X23" i="11"/>
  <c r="AQ23" i="11" s="1"/>
  <c r="AM13" i="11" a="1"/>
  <c r="AM13" i="11" s="1"/>
  <c r="AL47" i="50"/>
  <c r="AL26" i="50"/>
  <c r="AL66" i="50"/>
  <c r="AL132" i="50"/>
  <c r="X208" i="57"/>
  <c r="AA208" i="57" s="1"/>
  <c r="AL15" i="50"/>
  <c r="AL89" i="50"/>
  <c r="X218" i="57"/>
  <c r="AF218" i="57" s="1"/>
  <c r="X235" i="57"/>
  <c r="AL134" i="50"/>
  <c r="AF198" i="57"/>
  <c r="X234" i="57"/>
  <c r="AF234" i="57" s="1"/>
  <c r="X140" i="57"/>
  <c r="AF140" i="57" s="1"/>
  <c r="AF160" i="57"/>
  <c r="X204" i="57"/>
  <c r="AB204" i="57" s="1"/>
  <c r="AL181" i="50"/>
  <c r="AL117" i="50"/>
  <c r="X232" i="57"/>
  <c r="AG83" i="50"/>
  <c r="AH83" i="50" s="1"/>
  <c r="AI83" i="50" s="1"/>
  <c r="AL83" i="50"/>
  <c r="AL212" i="50"/>
  <c r="X173" i="57"/>
  <c r="AF173" i="57" s="1"/>
  <c r="X129" i="57"/>
  <c r="AL135" i="50"/>
  <c r="AL185" i="50"/>
  <c r="AP104" i="50"/>
  <c r="X62" i="57"/>
  <c r="AF62" i="57" s="1"/>
  <c r="AL104" i="50"/>
  <c r="X213" i="57"/>
  <c r="AF213" i="57" s="1"/>
  <c r="AL78" i="50"/>
  <c r="X250" i="57"/>
  <c r="AF250" i="57" s="1"/>
  <c r="AL165" i="50"/>
  <c r="AL217" i="50"/>
  <c r="AL152" i="50"/>
  <c r="AP181" i="50"/>
  <c r="X191" i="57"/>
  <c r="AA191" i="57" s="1"/>
  <c r="AL68" i="50"/>
  <c r="AL241" i="50"/>
  <c r="AL226" i="50"/>
  <c r="X66" i="57"/>
  <c r="X157" i="57"/>
  <c r="AB157" i="57" s="1"/>
  <c r="X214" i="57"/>
  <c r="AB214" i="57" s="1"/>
  <c r="AL207" i="50"/>
  <c r="X139" i="57"/>
  <c r="AF139" i="57" s="1"/>
  <c r="AG119" i="50"/>
  <c r="AH119" i="50" s="1"/>
  <c r="AI119" i="50" s="1"/>
  <c r="AP217" i="50"/>
  <c r="X34" i="57"/>
  <c r="AB34" i="57" s="1"/>
  <c r="AP88" i="50"/>
  <c r="X229" i="57"/>
  <c r="AB229" i="57" s="1"/>
  <c r="X82" i="57"/>
  <c r="AB82" i="57" s="1"/>
  <c r="E13" i="32"/>
  <c r="AL111" i="50"/>
  <c r="AL145" i="50"/>
  <c r="AP236" i="50"/>
  <c r="X65" i="57"/>
  <c r="AB65" i="57" s="1"/>
  <c r="AL201" i="50"/>
  <c r="AL211" i="50"/>
  <c r="A12" i="32"/>
  <c r="Q12" i="32" s="1"/>
  <c r="O12" i="32"/>
  <c r="F12" i="32"/>
  <c r="H12" i="32"/>
  <c r="B12" i="32"/>
  <c r="R12" i="32" s="1"/>
  <c r="S12" i="32" s="1"/>
  <c r="G12" i="32"/>
  <c r="J12" i="32"/>
  <c r="K12" i="32"/>
  <c r="M12" i="32"/>
  <c r="T12" i="32"/>
  <c r="L12" i="32"/>
  <c r="N12" i="32"/>
  <c r="AK12" i="32"/>
  <c r="I12" i="32"/>
  <c r="AL13" i="11" a="1"/>
  <c r="AL13" i="11" s="1"/>
  <c r="AA120" i="57"/>
  <c r="AB120" i="57"/>
  <c r="AL112" i="50"/>
  <c r="AG112" i="50"/>
  <c r="AH112" i="50" s="1"/>
  <c r="AI112" i="50" s="1"/>
  <c r="AP112" i="50" s="1"/>
  <c r="AF25" i="57"/>
  <c r="AF130" i="57"/>
  <c r="AG115" i="50"/>
  <c r="AH115" i="50" s="1"/>
  <c r="AI115" i="50" s="1"/>
  <c r="AP115" i="50" s="1"/>
  <c r="AP212" i="50"/>
  <c r="AP64" i="50"/>
  <c r="X253" i="57"/>
  <c r="AA253" i="57" s="1"/>
  <c r="AL70" i="50"/>
  <c r="X215" i="57"/>
  <c r="AB215" i="57" s="1"/>
  <c r="AL147" i="50"/>
  <c r="AL158" i="50"/>
  <c r="X196" i="57"/>
  <c r="AB196" i="57" s="1"/>
  <c r="AL198" i="50"/>
  <c r="X114" i="57"/>
  <c r="AA114" i="57" s="1"/>
  <c r="X176" i="57"/>
  <c r="AB176" i="57" s="1"/>
  <c r="AK15" i="11" a="1"/>
  <c r="AK15" i="11" s="1"/>
  <c r="AF16" i="57"/>
  <c r="AF120" i="57"/>
  <c r="AG111" i="50"/>
  <c r="AH111" i="50" s="1"/>
  <c r="AI111" i="50" s="1"/>
  <c r="AP111" i="50" s="1"/>
  <c r="AL122" i="50"/>
  <c r="AL131" i="50"/>
  <c r="AL234" i="50"/>
  <c r="AL236" i="50"/>
  <c r="AL103" i="50"/>
  <c r="AL137" i="50"/>
  <c r="AL206" i="50"/>
  <c r="U259" i="11" a="1"/>
  <c r="U259" i="11" s="1"/>
  <c r="D25" i="36" s="1"/>
  <c r="H20" i="22"/>
  <c r="AF252" i="57"/>
  <c r="AL214" i="50"/>
  <c r="X18" i="57"/>
  <c r="AF18" i="57" s="1"/>
  <c r="AL235" i="50"/>
  <c r="AL258" i="50"/>
  <c r="X60" i="57"/>
  <c r="AB60" i="57" s="1"/>
  <c r="X219" i="57"/>
  <c r="AL195" i="50"/>
  <c r="AP145" i="50"/>
  <c r="AL153" i="50"/>
  <c r="AL205" i="50"/>
  <c r="X110" i="57"/>
  <c r="AF110" i="57" s="1"/>
  <c r="AL169" i="50"/>
  <c r="AF87" i="57"/>
  <c r="X255" i="57"/>
  <c r="AA255" i="57" s="1"/>
  <c r="AL218" i="50"/>
  <c r="X50" i="57"/>
  <c r="AA50" i="57" s="1"/>
  <c r="X84" i="57"/>
  <c r="AB84" i="57" s="1"/>
  <c r="AF185" i="57"/>
  <c r="X180" i="57"/>
  <c r="AA180" i="57" s="1"/>
  <c r="AP136" i="50"/>
  <c r="X210" i="57"/>
  <c r="AF210" i="57" s="1"/>
  <c r="X15" i="57"/>
  <c r="AF15" i="57" s="1"/>
  <c r="X118" i="57"/>
  <c r="AF118" i="57" s="1"/>
  <c r="AP239" i="50"/>
  <c r="X162" i="57"/>
  <c r="AA162" i="57" s="1"/>
  <c r="AP198" i="50"/>
  <c r="AP15" i="50"/>
  <c r="AP59" i="50"/>
  <c r="X249" i="57"/>
  <c r="AF249" i="57" s="1"/>
  <c r="AF111" i="57"/>
  <c r="AL151" i="50"/>
  <c r="X17" i="11"/>
  <c r="Q259" i="11"/>
  <c r="F20" i="22"/>
  <c r="AL5" i="22" s="1"/>
  <c r="D40" i="36" s="1"/>
  <c r="D79" i="36" s="1"/>
  <c r="AG91" i="50"/>
  <c r="AH91" i="50" s="1"/>
  <c r="AI91" i="50" s="1"/>
  <c r="AP91" i="50" s="1"/>
  <c r="AL91" i="50"/>
  <c r="AG141" i="50"/>
  <c r="AH141" i="50" s="1"/>
  <c r="AI141" i="50" s="1"/>
  <c r="AP141" i="50" s="1"/>
  <c r="AL141" i="50"/>
  <c r="AG173" i="50"/>
  <c r="AH173" i="50" s="1"/>
  <c r="AI173" i="50" s="1"/>
  <c r="AP173" i="50" s="1"/>
  <c r="AL173" i="50"/>
  <c r="AF59" i="57"/>
  <c r="X72" i="57"/>
  <c r="AA72" i="57" s="1"/>
  <c r="AL14" i="50"/>
  <c r="X49" i="57"/>
  <c r="AB49" i="57" s="1"/>
  <c r="X45" i="57"/>
  <c r="AA45" i="57" s="1"/>
  <c r="AF92" i="57"/>
  <c r="AL21" i="50"/>
  <c r="X211" i="57"/>
  <c r="AB211" i="57" s="1"/>
  <c r="X228" i="57"/>
  <c r="AB228" i="57" s="1"/>
  <c r="AL199" i="50"/>
  <c r="X14" i="57"/>
  <c r="AA14" i="57" s="1"/>
  <c r="AP125" i="50"/>
  <c r="X206" i="57"/>
  <c r="AA206" i="57" s="1"/>
  <c r="AP155" i="50"/>
  <c r="AL46" i="50"/>
  <c r="X20" i="57"/>
  <c r="AA20" i="57" s="1"/>
  <c r="X101" i="57"/>
  <c r="AF101" i="57" s="1"/>
  <c r="X237" i="57"/>
  <c r="AB237" i="57" s="1"/>
  <c r="AL183" i="50"/>
  <c r="AL35" i="50"/>
  <c r="X163" i="57"/>
  <c r="AF163" i="57" s="1"/>
  <c r="X247" i="57"/>
  <c r="X103" i="57"/>
  <c r="AB103" i="57" s="1"/>
  <c r="AP41" i="50"/>
  <c r="AP127" i="50"/>
  <c r="AL159" i="50"/>
  <c r="AP216" i="50"/>
  <c r="AP218" i="50"/>
  <c r="AP230" i="50"/>
  <c r="X141" i="57"/>
  <c r="AF141" i="57" s="1"/>
  <c r="X133" i="57"/>
  <c r="AB133" i="57" s="1"/>
  <c r="AP166" i="50"/>
  <c r="X122" i="57"/>
  <c r="AB122" i="57" s="1"/>
  <c r="AL251" i="50"/>
  <c r="AP70" i="50"/>
  <c r="AP78" i="50"/>
  <c r="X46" i="57"/>
  <c r="AA46" i="57" s="1"/>
  <c r="AP26" i="50"/>
  <c r="AL30" i="50"/>
  <c r="AL55" i="50"/>
  <c r="AL105" i="50"/>
  <c r="AP137" i="50"/>
  <c r="X231" i="57"/>
  <c r="AF231" i="57" s="1"/>
  <c r="X74" i="57"/>
  <c r="AB74" i="57" s="1"/>
  <c r="X144" i="57"/>
  <c r="AP109" i="50"/>
  <c r="AP121" i="50"/>
  <c r="AP175" i="50"/>
  <c r="X209" i="57"/>
  <c r="AB209" i="57" s="1"/>
  <c r="AP235" i="50"/>
  <c r="X171" i="57"/>
  <c r="AF171" i="57" s="1"/>
  <c r="X109" i="57"/>
  <c r="AA109" i="57" s="1"/>
  <c r="AF116" i="57"/>
  <c r="X181" i="57"/>
  <c r="AF181" i="57" s="1"/>
  <c r="X182" i="57"/>
  <c r="AF182" i="57" s="1"/>
  <c r="X239" i="57"/>
  <c r="AF239" i="57" s="1"/>
  <c r="X24" i="57"/>
  <c r="X107" i="57"/>
  <c r="AF107" i="57" s="1"/>
  <c r="X53" i="57"/>
  <c r="X42" i="57"/>
  <c r="AF42" i="57" s="1"/>
  <c r="AL27" i="50"/>
  <c r="AP16" i="50"/>
  <c r="X80" i="57"/>
  <c r="AF80" i="57" s="1"/>
  <c r="AP32" i="50"/>
  <c r="X113" i="57"/>
  <c r="AB113" i="57" s="1"/>
  <c r="X146" i="57"/>
  <c r="AB146" i="57" s="1"/>
  <c r="X177" i="57"/>
  <c r="AA177" i="57" s="1"/>
  <c r="X169" i="57"/>
  <c r="AF169" i="57" s="1"/>
  <c r="X190" i="57"/>
  <c r="AF190" i="57" s="1"/>
  <c r="AL172" i="50"/>
  <c r="AL191" i="50"/>
  <c r="X44" i="57"/>
  <c r="AF44" i="57" s="1"/>
  <c r="X91" i="57"/>
  <c r="AB91" i="57" s="1"/>
  <c r="AL40" i="50"/>
  <c r="X95" i="57"/>
  <c r="AF95" i="57" s="1"/>
  <c r="AL59" i="50"/>
  <c r="AL81" i="50"/>
  <c r="X159" i="57"/>
  <c r="X154" i="57"/>
  <c r="AB154" i="57" s="1"/>
  <c r="AF203" i="57"/>
  <c r="AB203" i="57"/>
  <c r="AA203" i="57"/>
  <c r="AA30" i="57"/>
  <c r="AB30" i="57"/>
  <c r="AB151" i="57"/>
  <c r="AA151" i="57"/>
  <c r="AF151" i="57"/>
  <c r="AB15" i="57"/>
  <c r="X58" i="57"/>
  <c r="AF58" i="57" s="1"/>
  <c r="AF73" i="57"/>
  <c r="AF83" i="57"/>
  <c r="X26" i="57"/>
  <c r="AB26" i="57" s="1"/>
  <c r="X13" i="57"/>
  <c r="AF13" i="57" s="1"/>
  <c r="X71" i="57"/>
  <c r="AB71" i="57" s="1"/>
  <c r="AF96" i="57"/>
  <c r="AP56" i="50"/>
  <c r="AP52" i="50"/>
  <c r="AF158" i="57"/>
  <c r="AP117" i="50"/>
  <c r="AP244" i="50"/>
  <c r="AC153" i="22"/>
  <c r="E123" i="36"/>
  <c r="G123" i="36" s="1"/>
  <c r="AP38" i="50"/>
  <c r="AP62" i="50"/>
  <c r="X131" i="57"/>
  <c r="AB131" i="57" s="1"/>
  <c r="AL82" i="50"/>
  <c r="AF186" i="57"/>
  <c r="AP161" i="50"/>
  <c r="AL216" i="50"/>
  <c r="X184" i="57"/>
  <c r="E128" i="36"/>
  <c r="G128" i="36" s="1"/>
  <c r="AC158" i="22"/>
  <c r="X54" i="57"/>
  <c r="AF54" i="57" s="1"/>
  <c r="AP30" i="50"/>
  <c r="AF90" i="57"/>
  <c r="AP55" i="50"/>
  <c r="AL41" i="50"/>
  <c r="X115" i="57"/>
  <c r="AA115" i="57" s="1"/>
  <c r="X124" i="57"/>
  <c r="AP81" i="50"/>
  <c r="X150" i="57"/>
  <c r="AA150" i="57" s="1"/>
  <c r="X132" i="57"/>
  <c r="AA132" i="57" s="1"/>
  <c r="X143" i="57"/>
  <c r="AF143" i="57" s="1"/>
  <c r="AP92" i="50"/>
  <c r="AP122" i="50"/>
  <c r="X197" i="57"/>
  <c r="AF197" i="57" s="1"/>
  <c r="X200" i="57"/>
  <c r="AB200" i="57" s="1"/>
  <c r="X205" i="57"/>
  <c r="AF205" i="57" s="1"/>
  <c r="AP234" i="50"/>
  <c r="X32" i="57"/>
  <c r="X152" i="57"/>
  <c r="AF152" i="57" s="1"/>
  <c r="AC156" i="22"/>
  <c r="E126" i="36"/>
  <c r="G126" i="36" s="1"/>
  <c r="AL125" i="50"/>
  <c r="AF221" i="57"/>
  <c r="X245" i="57"/>
  <c r="AA245" i="57" s="1"/>
  <c r="AP159" i="50"/>
  <c r="AL171" i="50"/>
  <c r="AG171" i="50"/>
  <c r="AH171" i="50" s="1"/>
  <c r="AI171" i="50" s="1"/>
  <c r="AP171" i="50" s="1"/>
  <c r="X61" i="57"/>
  <c r="AA61" i="57" s="1"/>
  <c r="AF76" i="57"/>
  <c r="X70" i="57"/>
  <c r="AB70" i="57" s="1"/>
  <c r="AP49" i="50"/>
  <c r="X100" i="57"/>
  <c r="AF100" i="57" s="1"/>
  <c r="AP83" i="50"/>
  <c r="AP185" i="50"/>
  <c r="AP163" i="50"/>
  <c r="AP152" i="50"/>
  <c r="AP205" i="50"/>
  <c r="AP256" i="50"/>
  <c r="X178" i="57"/>
  <c r="AF178" i="57" s="1"/>
  <c r="X40" i="57"/>
  <c r="AF40" i="57" s="1"/>
  <c r="AF30" i="57"/>
  <c r="X29" i="57"/>
  <c r="AA29" i="57" s="1"/>
  <c r="X55" i="57"/>
  <c r="AB55" i="57" s="1"/>
  <c r="X23" i="57"/>
  <c r="AF23" i="57" s="1"/>
  <c r="X78" i="57"/>
  <c r="AF78" i="57" s="1"/>
  <c r="X68" i="57"/>
  <c r="AB68" i="57" s="1"/>
  <c r="AP27" i="50"/>
  <c r="X81" i="57"/>
  <c r="AB81" i="57" s="1"/>
  <c r="AF102" i="57"/>
  <c r="X138" i="57"/>
  <c r="X145" i="57"/>
  <c r="AB145" i="57" s="1"/>
  <c r="X155" i="57"/>
  <c r="AA155" i="57" s="1"/>
  <c r="AP103" i="50"/>
  <c r="AL108" i="50"/>
  <c r="X199" i="57"/>
  <c r="AD159" i="22"/>
  <c r="D44" i="104" s="1"/>
  <c r="F129" i="36"/>
  <c r="H129" i="36" s="1"/>
  <c r="E120" i="36"/>
  <c r="G120" i="36" s="1"/>
  <c r="AC150" i="22"/>
  <c r="AF64" i="57"/>
  <c r="AP21" i="50"/>
  <c r="AL42" i="50"/>
  <c r="AP34" i="50"/>
  <c r="X128" i="57"/>
  <c r="AA128" i="57" s="1"/>
  <c r="X149" i="57"/>
  <c r="AB149" i="57" s="1"/>
  <c r="AP118" i="50"/>
  <c r="AP160" i="50"/>
  <c r="AP162" i="50"/>
  <c r="AL164" i="50"/>
  <c r="X251" i="57"/>
  <c r="AF251" i="57" s="1"/>
  <c r="F120" i="36"/>
  <c r="H120" i="36" s="1"/>
  <c r="AD150" i="22"/>
  <c r="D14" i="104" s="1"/>
  <c r="D15" i="104" s="1"/>
  <c r="AP19" i="50"/>
  <c r="AL64" i="50"/>
  <c r="AF168" i="57"/>
  <c r="AL182" i="50"/>
  <c r="AP190" i="50"/>
  <c r="X254" i="57"/>
  <c r="AB254" i="57" s="1"/>
  <c r="AP211" i="50"/>
  <c r="AL194" i="50"/>
  <c r="X147" i="57"/>
  <c r="AL256" i="50"/>
  <c r="AA125" i="57"/>
  <c r="AB125" i="57"/>
  <c r="AF125" i="57"/>
  <c r="AA97" i="57"/>
  <c r="AB97" i="57"/>
  <c r="AB222" i="57"/>
  <c r="AA222" i="57"/>
  <c r="AB67" i="57"/>
  <c r="AA67" i="57"/>
  <c r="AB93" i="57"/>
  <c r="AA93" i="57"/>
  <c r="AA127" i="57"/>
  <c r="AB127" i="57"/>
  <c r="AF127" i="57"/>
  <c r="AA201" i="57"/>
  <c r="AB201" i="57"/>
  <c r="AA202" i="57"/>
  <c r="AB202" i="57"/>
  <c r="AA27" i="57"/>
  <c r="AB27" i="57"/>
  <c r="AB137" i="57"/>
  <c r="AA137" i="57"/>
  <c r="AF137" i="57"/>
  <c r="AA244" i="57"/>
  <c r="AB244" i="57"/>
  <c r="AA192" i="57"/>
  <c r="AB192" i="57"/>
  <c r="AB224" i="57"/>
  <c r="AA224" i="57"/>
  <c r="AB38" i="57"/>
  <c r="AA38" i="57"/>
  <c r="AB98" i="57"/>
  <c r="AA98" i="57"/>
  <c r="AF98" i="57"/>
  <c r="AB148" i="57"/>
  <c r="AA148" i="57"/>
  <c r="AB253" i="57"/>
  <c r="AA41" i="57"/>
  <c r="AB41" i="57"/>
  <c r="AF41" i="57"/>
  <c r="AA187" i="57"/>
  <c r="AB187" i="57"/>
  <c r="AA28" i="57"/>
  <c r="AB28" i="57"/>
  <c r="AF28" i="57"/>
  <c r="AB17" i="57"/>
  <c r="AA17" i="57"/>
  <c r="AF17" i="57"/>
  <c r="AB94" i="57"/>
  <c r="AA94" i="57"/>
  <c r="AA153" i="57"/>
  <c r="AB153" i="57"/>
  <c r="AF220" i="57"/>
  <c r="AA220" i="57"/>
  <c r="AB220" i="57"/>
  <c r="AP53" i="50"/>
  <c r="AA117" i="57"/>
  <c r="AB117" i="57"/>
  <c r="AF238" i="57"/>
  <c r="AA238" i="57"/>
  <c r="AB238" i="57"/>
  <c r="AL213" i="50"/>
  <c r="AG213" i="50"/>
  <c r="AH213" i="50" s="1"/>
  <c r="AI213" i="50" s="1"/>
  <c r="AP213" i="50" s="1"/>
  <c r="AG253" i="50"/>
  <c r="AH253" i="50" s="1"/>
  <c r="AI253" i="50" s="1"/>
  <c r="AP253" i="50" s="1"/>
  <c r="AL253" i="50"/>
  <c r="AG257" i="50"/>
  <c r="AH257" i="50" s="1"/>
  <c r="AI257" i="50" s="1"/>
  <c r="AP257" i="50" s="1"/>
  <c r="AL257" i="50"/>
  <c r="X35" i="57"/>
  <c r="AF35" i="57" s="1"/>
  <c r="AA64" i="57"/>
  <c r="AB64" i="57"/>
  <c r="AP14" i="50"/>
  <c r="AL18" i="50"/>
  <c r="AF94" i="57"/>
  <c r="AP33" i="50"/>
  <c r="AF97" i="57"/>
  <c r="AA99" i="57"/>
  <c r="AB99" i="57"/>
  <c r="AG67" i="50"/>
  <c r="AH67" i="50" s="1"/>
  <c r="AI67" i="50" s="1"/>
  <c r="AP67" i="50" s="1"/>
  <c r="AL67" i="50"/>
  <c r="AL65" i="50"/>
  <c r="AG65" i="50"/>
  <c r="AH65" i="50" s="1"/>
  <c r="AI65" i="50" s="1"/>
  <c r="AP65" i="50" s="1"/>
  <c r="AP72" i="50"/>
  <c r="AF105" i="57"/>
  <c r="AL56" i="50"/>
  <c r="AA119" i="57"/>
  <c r="AB119" i="57"/>
  <c r="AL79" i="50"/>
  <c r="AG79" i="50"/>
  <c r="AH79" i="50" s="1"/>
  <c r="AI79" i="50" s="1"/>
  <c r="AP79" i="50" s="1"/>
  <c r="AL77" i="50"/>
  <c r="AG77" i="50"/>
  <c r="AH77" i="50" s="1"/>
  <c r="AI77" i="50" s="1"/>
  <c r="AP77" i="50" s="1"/>
  <c r="AP86" i="50"/>
  <c r="AG98" i="50"/>
  <c r="AH98" i="50" s="1"/>
  <c r="AI98" i="50" s="1"/>
  <c r="AP98" i="50" s="1"/>
  <c r="AL98" i="50"/>
  <c r="AP100" i="50"/>
  <c r="AG97" i="50"/>
  <c r="AH97" i="50" s="1"/>
  <c r="AI97" i="50" s="1"/>
  <c r="AP97" i="50" s="1"/>
  <c r="AL97" i="50"/>
  <c r="X156" i="57"/>
  <c r="AF156" i="57" s="1"/>
  <c r="X166" i="57"/>
  <c r="AP131" i="50"/>
  <c r="X195" i="57"/>
  <c r="AF207" i="57"/>
  <c r="AF242" i="57"/>
  <c r="AG133" i="50"/>
  <c r="AH133" i="50" s="1"/>
  <c r="AI133" i="50" s="1"/>
  <c r="AP133" i="50" s="1"/>
  <c r="AL133" i="50"/>
  <c r="X217" i="57"/>
  <c r="AF217" i="57" s="1"/>
  <c r="AL177" i="50"/>
  <c r="AG177" i="50"/>
  <c r="AH177" i="50" s="1"/>
  <c r="AI177" i="50" s="1"/>
  <c r="AF236" i="57"/>
  <c r="AL179" i="50"/>
  <c r="AL202" i="50"/>
  <c r="AG202" i="50"/>
  <c r="AH202" i="50" s="1"/>
  <c r="AI202" i="50" s="1"/>
  <c r="AP202" i="50" s="1"/>
  <c r="AP195" i="50"/>
  <c r="E129" i="36"/>
  <c r="G129" i="36" s="1"/>
  <c r="AC159" i="22"/>
  <c r="AC154" i="22"/>
  <c r="E124" i="36"/>
  <c r="G124" i="36" s="1"/>
  <c r="AP179" i="50"/>
  <c r="AF256" i="57"/>
  <c r="AP201" i="50"/>
  <c r="AP191" i="50"/>
  <c r="AL237" i="50"/>
  <c r="AP249" i="50"/>
  <c r="AG252" i="50"/>
  <c r="AH252" i="50" s="1"/>
  <c r="AI252" i="50" s="1"/>
  <c r="AP252" i="50" s="1"/>
  <c r="AL252" i="50"/>
  <c r="AP223" i="50"/>
  <c r="AG238" i="50"/>
  <c r="AH238" i="50" s="1"/>
  <c r="AI238" i="50" s="1"/>
  <c r="AP238" i="50" s="1"/>
  <c r="AL238" i="50"/>
  <c r="AG232" i="50"/>
  <c r="AH232" i="50" s="1"/>
  <c r="AI232" i="50" s="1"/>
  <c r="AL232" i="50"/>
  <c r="BC19" i="22"/>
  <c r="AC102" i="22"/>
  <c r="BC64" i="22"/>
  <c r="AC108" i="22"/>
  <c r="BC31" i="22"/>
  <c r="AC16" i="22"/>
  <c r="BC146" i="22"/>
  <c r="AC128" i="22"/>
  <c r="BC96" i="22"/>
  <c r="AC65" i="22"/>
  <c r="BC84" i="22"/>
  <c r="AC21" i="22"/>
  <c r="BC36" i="22"/>
  <c r="AC36" i="22"/>
  <c r="BC33" i="22"/>
  <c r="AC23" i="22"/>
  <c r="BC69" i="22"/>
  <c r="AC119" i="22"/>
  <c r="BC52" i="22"/>
  <c r="AM28" i="22"/>
  <c r="E66" i="36" s="1"/>
  <c r="G66" i="36" s="1"/>
  <c r="AC90" i="22"/>
  <c r="BC23" i="22"/>
  <c r="AC111" i="22"/>
  <c r="BC99" i="22"/>
  <c r="AC96" i="22"/>
  <c r="BC21" i="22"/>
  <c r="AC107" i="22"/>
  <c r="AD60" i="22"/>
  <c r="AN26" i="22"/>
  <c r="F64" i="36" s="1"/>
  <c r="H64" i="36" s="1"/>
  <c r="BC132" i="22"/>
  <c r="AC75" i="22"/>
  <c r="BC157" i="22"/>
  <c r="AC64" i="22"/>
  <c r="AN34" i="22"/>
  <c r="F73" i="36" s="1"/>
  <c r="H73" i="36" s="1"/>
  <c r="AD76" i="22"/>
  <c r="BC93" i="22"/>
  <c r="AC48" i="22"/>
  <c r="BC32" i="22"/>
  <c r="AC17" i="22"/>
  <c r="AB52" i="57"/>
  <c r="AA52" i="57"/>
  <c r="AG215" i="50"/>
  <c r="AH215" i="50" s="1"/>
  <c r="AI215" i="50" s="1"/>
  <c r="AP215" i="50" s="1"/>
  <c r="AL215" i="50"/>
  <c r="BC14" i="22"/>
  <c r="AC84" i="22"/>
  <c r="BC138" i="22"/>
  <c r="AC94" i="22"/>
  <c r="AC67" i="22"/>
  <c r="BC129" i="22"/>
  <c r="BC49" i="22"/>
  <c r="AC58" i="22"/>
  <c r="BC117" i="22"/>
  <c r="AC13" i="22"/>
  <c r="AC8" i="22"/>
  <c r="BC113" i="22"/>
  <c r="V32" i="46"/>
  <c r="W32" i="46" s="1"/>
  <c r="X32" i="46" s="1"/>
  <c r="S32" i="46"/>
  <c r="T32" i="46" s="1"/>
  <c r="X56" i="57"/>
  <c r="AF56" i="57" s="1"/>
  <c r="X69" i="57"/>
  <c r="AF69" i="57" s="1"/>
  <c r="AP12" i="50"/>
  <c r="V259" i="50"/>
  <c r="V260" i="50" s="1"/>
  <c r="AF93" i="57"/>
  <c r="AP22" i="50"/>
  <c r="AB87" i="57"/>
  <c r="AA87" i="57"/>
  <c r="AP54" i="50"/>
  <c r="AF121" i="57"/>
  <c r="AL62" i="50"/>
  <c r="AF119" i="57"/>
  <c r="AF148" i="57"/>
  <c r="AP69" i="50"/>
  <c r="AB135" i="57"/>
  <c r="AA135" i="57"/>
  <c r="AP89" i="50"/>
  <c r="AB158" i="57"/>
  <c r="AA158" i="57"/>
  <c r="X165" i="57"/>
  <c r="AF170" i="57"/>
  <c r="AA186" i="57"/>
  <c r="AB186" i="57"/>
  <c r="AG124" i="50"/>
  <c r="AH124" i="50" s="1"/>
  <c r="AI124" i="50" s="1"/>
  <c r="AP124" i="50" s="1"/>
  <c r="AL124" i="50"/>
  <c r="AF192" i="57"/>
  <c r="AL123" i="50"/>
  <c r="AG123" i="50"/>
  <c r="AH123" i="50" s="1"/>
  <c r="AI123" i="50" s="1"/>
  <c r="AP123" i="50" s="1"/>
  <c r="AP134" i="50"/>
  <c r="X194" i="57"/>
  <c r="AF194" i="57" s="1"/>
  <c r="AP135" i="50"/>
  <c r="X189" i="57"/>
  <c r="AF189" i="57" s="1"/>
  <c r="AF241" i="57"/>
  <c r="AL180" i="50"/>
  <c r="AG180" i="50"/>
  <c r="AH180" i="50" s="1"/>
  <c r="AI180" i="50" s="1"/>
  <c r="AP180" i="50" s="1"/>
  <c r="AA214" i="57"/>
  <c r="AF248" i="57"/>
  <c r="AA232" i="57"/>
  <c r="AB232" i="57"/>
  <c r="AL146" i="50"/>
  <c r="AG146" i="50"/>
  <c r="AH146" i="50" s="1"/>
  <c r="AI146" i="50" s="1"/>
  <c r="AP146" i="50" s="1"/>
  <c r="AP165" i="50"/>
  <c r="AF225" i="57"/>
  <c r="AP193" i="50"/>
  <c r="AP187" i="50"/>
  <c r="AL138" i="50"/>
  <c r="AG138" i="50"/>
  <c r="AH138" i="50" s="1"/>
  <c r="AI138" i="50" s="1"/>
  <c r="AP138" i="50" s="1"/>
  <c r="F126" i="36"/>
  <c r="H126" i="36" s="1"/>
  <c r="AD156" i="22"/>
  <c r="D34" i="104" s="1"/>
  <c r="AD155" i="22"/>
  <c r="D33" i="104" s="1"/>
  <c r="F125" i="36"/>
  <c r="H125" i="36" s="1"/>
  <c r="AL239" i="50"/>
  <c r="AL233" i="50"/>
  <c r="AG233" i="50"/>
  <c r="AH233" i="50" s="1"/>
  <c r="AI233" i="50" s="1"/>
  <c r="AP233" i="50" s="1"/>
  <c r="AP250" i="50"/>
  <c r="AP258" i="50"/>
  <c r="BC82" i="22"/>
  <c r="AC6" i="22"/>
  <c r="BC34" i="22"/>
  <c r="AC25" i="22"/>
  <c r="BC62" i="22"/>
  <c r="AC104" i="22"/>
  <c r="AM31" i="22"/>
  <c r="E69" i="36" s="1"/>
  <c r="G69" i="36" s="1"/>
  <c r="BC95" i="22"/>
  <c r="AC59" i="22"/>
  <c r="BC79" i="22"/>
  <c r="AC4" i="22"/>
  <c r="AM21" i="22"/>
  <c r="E59" i="36" s="1"/>
  <c r="G59" i="36" s="1"/>
  <c r="AD90" i="22"/>
  <c r="AN28" i="22"/>
  <c r="F66" i="36" s="1"/>
  <c r="H66" i="36" s="1"/>
  <c r="BC56" i="22"/>
  <c r="AC93" i="22"/>
  <c r="AC87" i="22"/>
  <c r="BC17" i="22"/>
  <c r="AD4" i="22"/>
  <c r="AN21" i="22"/>
  <c r="F59" i="36" s="1"/>
  <c r="H59" i="36" s="1"/>
  <c r="BC135" i="22"/>
  <c r="AC77" i="22"/>
  <c r="AC118" i="22"/>
  <c r="BC24" i="22"/>
  <c r="BC51" i="22"/>
  <c r="AC88" i="22"/>
  <c r="AC122" i="22"/>
  <c r="BC140" i="22"/>
  <c r="BC37" i="22"/>
  <c r="AC39" i="22"/>
  <c r="BC125" i="22"/>
  <c r="AM26" i="22"/>
  <c r="E64" i="36" s="1"/>
  <c r="G64" i="36" s="1"/>
  <c r="AC60" i="22"/>
  <c r="AD131" i="22"/>
  <c r="AN33" i="22"/>
  <c r="F71" i="36" s="1"/>
  <c r="H71" i="36" s="1"/>
  <c r="BC116" i="22"/>
  <c r="AC12" i="22"/>
  <c r="BC87" i="22"/>
  <c r="AM23" i="22"/>
  <c r="E61" i="36" s="1"/>
  <c r="G61" i="36" s="1"/>
  <c r="AC27" i="22"/>
  <c r="AJ258" i="57"/>
  <c r="L25" i="73" s="1"/>
  <c r="AB86" i="57"/>
  <c r="AF86" i="57"/>
  <c r="AA86" i="57"/>
  <c r="AL53" i="50"/>
  <c r="AB105" i="57"/>
  <c r="AA105" i="57"/>
  <c r="AA167" i="57"/>
  <c r="AB167" i="57"/>
  <c r="AC161" i="22"/>
  <c r="E131" i="36"/>
  <c r="G131" i="36" s="1"/>
  <c r="AB223" i="57"/>
  <c r="AA223" i="57"/>
  <c r="AF223" i="57"/>
  <c r="BC11" i="22"/>
  <c r="AC57" i="22"/>
  <c r="AC131" i="22"/>
  <c r="BC147" i="22"/>
  <c r="AM33" i="22"/>
  <c r="E71" i="36" s="1"/>
  <c r="G71" i="36" s="1"/>
  <c r="BC5" i="22"/>
  <c r="AC18" i="22"/>
  <c r="BC83" i="22"/>
  <c r="AC7" i="22"/>
  <c r="AB22" i="57"/>
  <c r="AF22" i="57"/>
  <c r="AA22" i="57"/>
  <c r="AK258" i="57"/>
  <c r="H25" i="73" s="1"/>
  <c r="H29" i="73" s="1"/>
  <c r="AF47" i="57"/>
  <c r="AB47" i="57"/>
  <c r="AA47" i="57"/>
  <c r="AA12" i="57"/>
  <c r="AB12" i="57"/>
  <c r="AF51" i="57"/>
  <c r="X31" i="57"/>
  <c r="AF31" i="57" s="1"/>
  <c r="X43" i="57"/>
  <c r="AF43" i="57" s="1"/>
  <c r="AA73" i="57"/>
  <c r="AB73" i="57"/>
  <c r="AG13" i="50"/>
  <c r="AH13" i="50" s="1"/>
  <c r="AI13" i="50" s="1"/>
  <c r="AP13" i="50" s="1"/>
  <c r="AL13" i="50"/>
  <c r="AG31" i="50"/>
  <c r="AH31" i="50" s="1"/>
  <c r="AI31" i="50" s="1"/>
  <c r="AP31" i="50" s="1"/>
  <c r="AL31" i="50"/>
  <c r="AL32" i="50"/>
  <c r="AL23" i="50"/>
  <c r="AG23" i="50"/>
  <c r="AH23" i="50" s="1"/>
  <c r="AI23" i="50" s="1"/>
  <c r="AP23" i="50" s="1"/>
  <c r="AL19" i="50"/>
  <c r="AB92" i="57"/>
  <c r="AA92" i="57"/>
  <c r="AB96" i="57"/>
  <c r="AA96" i="57"/>
  <c r="AB106" i="57"/>
  <c r="AA106" i="57"/>
  <c r="AF106" i="57"/>
  <c r="AL43" i="50"/>
  <c r="AL16" i="50"/>
  <c r="AG48" i="50"/>
  <c r="AH48" i="50" s="1"/>
  <c r="AI48" i="50" s="1"/>
  <c r="AP48" i="50" s="1"/>
  <c r="AL48" i="50"/>
  <c r="X112" i="57"/>
  <c r="AF112" i="57" s="1"/>
  <c r="AF117" i="57"/>
  <c r="AP61" i="50"/>
  <c r="AP43" i="50"/>
  <c r="AP47" i="50"/>
  <c r="AG63" i="50"/>
  <c r="AH63" i="50" s="1"/>
  <c r="AI63" i="50" s="1"/>
  <c r="AP63" i="50" s="1"/>
  <c r="AL63" i="50"/>
  <c r="AL71" i="50"/>
  <c r="AP82" i="50"/>
  <c r="AF167" i="57"/>
  <c r="AP108" i="50"/>
  <c r="AG126" i="50"/>
  <c r="AH126" i="50" s="1"/>
  <c r="AI126" i="50" s="1"/>
  <c r="AP126" i="50" s="1"/>
  <c r="AL126" i="50"/>
  <c r="AF180" i="57"/>
  <c r="AF214" i="57"/>
  <c r="AF215" i="57"/>
  <c r="AP158" i="50"/>
  <c r="AL200" i="50"/>
  <c r="AG200" i="50"/>
  <c r="AH200" i="50" s="1"/>
  <c r="AI200" i="50" s="1"/>
  <c r="AP153" i="50"/>
  <c r="AP164" i="50"/>
  <c r="AF232" i="57"/>
  <c r="X243" i="57"/>
  <c r="AL149" i="50"/>
  <c r="AG156" i="50"/>
  <c r="AH156" i="50" s="1"/>
  <c r="AI156" i="50" s="1"/>
  <c r="AP156" i="50" s="1"/>
  <c r="AL156" i="50"/>
  <c r="AP182" i="50"/>
  <c r="AP208" i="50"/>
  <c r="AP177" i="50"/>
  <c r="AP224" i="50"/>
  <c r="AD157" i="22"/>
  <c r="D35" i="104" s="1"/>
  <c r="F127" i="36"/>
  <c r="H127" i="36" s="1"/>
  <c r="AC155" i="22"/>
  <c r="E125" i="36"/>
  <c r="G125" i="36" s="1"/>
  <c r="AP105" i="50"/>
  <c r="AL229" i="50"/>
  <c r="AG229" i="50"/>
  <c r="AH229" i="50" s="1"/>
  <c r="AI229" i="50" s="1"/>
  <c r="AP229" i="50" s="1"/>
  <c r="AG247" i="50"/>
  <c r="AH247" i="50" s="1"/>
  <c r="AI247" i="50" s="1"/>
  <c r="AP247" i="50" s="1"/>
  <c r="AL247" i="50"/>
  <c r="AG222" i="50"/>
  <c r="AH222" i="50" s="1"/>
  <c r="AI222" i="50" s="1"/>
  <c r="AP222" i="50" s="1"/>
  <c r="AL222" i="50"/>
  <c r="AP226" i="50"/>
  <c r="AG246" i="50"/>
  <c r="AH246" i="50" s="1"/>
  <c r="AI246" i="50" s="1"/>
  <c r="AP246" i="50" s="1"/>
  <c r="AL246" i="50"/>
  <c r="AL245" i="50"/>
  <c r="AG255" i="50"/>
  <c r="AH255" i="50" s="1"/>
  <c r="AI255" i="50" s="1"/>
  <c r="AL255" i="50"/>
  <c r="AG254" i="50"/>
  <c r="AH254" i="50" s="1"/>
  <c r="AI254" i="50" s="1"/>
  <c r="AP254" i="50" s="1"/>
  <c r="AL254" i="50"/>
  <c r="BC35" i="22"/>
  <c r="AC32" i="22"/>
  <c r="BC90" i="22"/>
  <c r="AC30" i="22"/>
  <c r="AC125" i="22"/>
  <c r="BC143" i="22"/>
  <c r="BC41" i="22"/>
  <c r="AC44" i="22"/>
  <c r="BC20" i="22"/>
  <c r="AC105" i="22"/>
  <c r="BC150" i="22"/>
  <c r="AC63" i="22"/>
  <c r="BC48" i="22"/>
  <c r="AC56" i="22"/>
  <c r="BC137" i="22"/>
  <c r="AC81" i="22"/>
  <c r="BC128" i="22"/>
  <c r="AC70" i="22"/>
  <c r="BC103" i="22"/>
  <c r="AC133" i="22"/>
  <c r="AN27" i="22"/>
  <c r="F65" i="36" s="1"/>
  <c r="H65" i="36" s="1"/>
  <c r="AD82" i="22"/>
  <c r="BC121" i="22"/>
  <c r="AC35" i="22"/>
  <c r="AC132" i="22"/>
  <c r="BC148" i="22"/>
  <c r="BC114" i="22"/>
  <c r="AC10" i="22"/>
  <c r="BC145" i="22"/>
  <c r="AC127" i="22"/>
  <c r="BC40" i="22"/>
  <c r="AC43" i="22"/>
  <c r="AC120" i="22"/>
  <c r="BC70" i="22"/>
  <c r="AL178" i="50"/>
  <c r="AG178" i="50"/>
  <c r="AH178" i="50" s="1"/>
  <c r="AI178" i="50" s="1"/>
  <c r="AP178" i="50" s="1"/>
  <c r="AC151" i="22"/>
  <c r="E121" i="36"/>
  <c r="G121" i="36" s="1"/>
  <c r="AG231" i="50"/>
  <c r="AH231" i="50" s="1"/>
  <c r="AI231" i="50" s="1"/>
  <c r="AP231" i="50" s="1"/>
  <c r="AL231" i="50"/>
  <c r="AD104" i="22"/>
  <c r="AN31" i="22"/>
  <c r="F69" i="36" s="1"/>
  <c r="H69" i="36" s="1"/>
  <c r="AC134" i="22"/>
  <c r="AO35" i="22" s="1"/>
  <c r="AM35" i="22"/>
  <c r="E72" i="36" s="1"/>
  <c r="G72" i="36" s="1"/>
  <c r="AA76" i="57"/>
  <c r="AB76" i="57"/>
  <c r="AP60" i="50"/>
  <c r="X123" i="57"/>
  <c r="AF123" i="57" s="1"/>
  <c r="AL49" i="50"/>
  <c r="AB116" i="57"/>
  <c r="AA116" i="57"/>
  <c r="AL80" i="50"/>
  <c r="AG80" i="50"/>
  <c r="AH80" i="50" s="1"/>
  <c r="AI80" i="50" s="1"/>
  <c r="AP80" i="50" s="1"/>
  <c r="AP40" i="50"/>
  <c r="AG87" i="50"/>
  <c r="AH87" i="50" s="1"/>
  <c r="AI87" i="50" s="1"/>
  <c r="AP87" i="50" s="1"/>
  <c r="AL87" i="50"/>
  <c r="AG90" i="50"/>
  <c r="AH90" i="50" s="1"/>
  <c r="AI90" i="50" s="1"/>
  <c r="AP90" i="50" s="1"/>
  <c r="AL90" i="50"/>
  <c r="AG113" i="50"/>
  <c r="AH113" i="50" s="1"/>
  <c r="AI113" i="50" s="1"/>
  <c r="AP113" i="50" s="1"/>
  <c r="AL113" i="50"/>
  <c r="AB180" i="57"/>
  <c r="AB168" i="57"/>
  <c r="AA168" i="57"/>
  <c r="AA170" i="57"/>
  <c r="AB170" i="57"/>
  <c r="AL120" i="50"/>
  <c r="AG120" i="50"/>
  <c r="AH120" i="50" s="1"/>
  <c r="AI120" i="50" s="1"/>
  <c r="AP120" i="50" s="1"/>
  <c r="AB188" i="57"/>
  <c r="AP142" i="50"/>
  <c r="AA221" i="57"/>
  <c r="AB221" i="57"/>
  <c r="AF233" i="57"/>
  <c r="AP143" i="50"/>
  <c r="AG167" i="50"/>
  <c r="AH167" i="50" s="1"/>
  <c r="AI167" i="50" s="1"/>
  <c r="AP167" i="50" s="1"/>
  <c r="AL167" i="50"/>
  <c r="AA248" i="57"/>
  <c r="AB248" i="57"/>
  <c r="AL176" i="50"/>
  <c r="AG176" i="50"/>
  <c r="AH176" i="50" s="1"/>
  <c r="AI176" i="50" s="1"/>
  <c r="AP176" i="50" s="1"/>
  <c r="AB241" i="57"/>
  <c r="AA241" i="57"/>
  <c r="AL154" i="50"/>
  <c r="AG154" i="50"/>
  <c r="AH154" i="50" s="1"/>
  <c r="AI154" i="50" s="1"/>
  <c r="AP154" i="50" s="1"/>
  <c r="AF222" i="57"/>
  <c r="AL190" i="50"/>
  <c r="AA257" i="57"/>
  <c r="AB257" i="57"/>
  <c r="AP172" i="50"/>
  <c r="F122" i="36"/>
  <c r="H122" i="36" s="1"/>
  <c r="AD152" i="22"/>
  <c r="D23" i="104" s="1"/>
  <c r="AC160" i="22"/>
  <c r="E130" i="36"/>
  <c r="G130" i="36" s="1"/>
  <c r="F130" i="36"/>
  <c r="H130" i="36" s="1"/>
  <c r="AD160" i="22"/>
  <c r="D45" i="104" s="1"/>
  <c r="AL224" i="50"/>
  <c r="AG220" i="50"/>
  <c r="AH220" i="50" s="1"/>
  <c r="AI220" i="50" s="1"/>
  <c r="AP220" i="50" s="1"/>
  <c r="AL220" i="50"/>
  <c r="AL223" i="50"/>
  <c r="AL228" i="50"/>
  <c r="AL248" i="50"/>
  <c r="AG248" i="50"/>
  <c r="AH248" i="50" s="1"/>
  <c r="AI248" i="50" s="1"/>
  <c r="AP248" i="50" s="1"/>
  <c r="AM34" i="22"/>
  <c r="E73" i="36" s="1"/>
  <c r="G73" i="36" s="1"/>
  <c r="AC76" i="22"/>
  <c r="BC105" i="22"/>
  <c r="AC124" i="22"/>
  <c r="BC142" i="22"/>
  <c r="AD112" i="22"/>
  <c r="AN29" i="22"/>
  <c r="F67" i="36" s="1"/>
  <c r="H67" i="36" s="1"/>
  <c r="BC81" i="22"/>
  <c r="AC5" i="22"/>
  <c r="BC63" i="22"/>
  <c r="AC106" i="22"/>
  <c r="BC131" i="22"/>
  <c r="AC74" i="22"/>
  <c r="BC72" i="22"/>
  <c r="AC130" i="22"/>
  <c r="BC122" i="22"/>
  <c r="AC41" i="22"/>
  <c r="BC8" i="22"/>
  <c r="AC34" i="22"/>
  <c r="BC46" i="22"/>
  <c r="AC52" i="22"/>
  <c r="BC98" i="22"/>
  <c r="AC95" i="22"/>
  <c r="AC123" i="22"/>
  <c r="BC141" i="22"/>
  <c r="BC127" i="22"/>
  <c r="AC69" i="22"/>
  <c r="AM27" i="22"/>
  <c r="E65" i="36" s="1"/>
  <c r="G65" i="36" s="1"/>
  <c r="BC12" i="22"/>
  <c r="AC82" i="22"/>
  <c r="AC121" i="22"/>
  <c r="BC71" i="22"/>
  <c r="AC86" i="22"/>
  <c r="BC16" i="22"/>
  <c r="BC65" i="22"/>
  <c r="AC110" i="22"/>
  <c r="AG110" i="50"/>
  <c r="AH110" i="50" s="1"/>
  <c r="AI110" i="50" s="1"/>
  <c r="AP110" i="50" s="1"/>
  <c r="AL110" i="50"/>
  <c r="AB236" i="57"/>
  <c r="AA236" i="57"/>
  <c r="AC51" i="22"/>
  <c r="BC10" i="22"/>
  <c r="AM25" i="22"/>
  <c r="E63" i="36" s="1"/>
  <c r="G63" i="36" s="1"/>
  <c r="BC42" i="22"/>
  <c r="AC45" i="22"/>
  <c r="BC91" i="22"/>
  <c r="AC31" i="22"/>
  <c r="AF12" i="57"/>
  <c r="AF27" i="57"/>
  <c r="AB57" i="57"/>
  <c r="AA57" i="57"/>
  <c r="AA83" i="57"/>
  <c r="AB83" i="57"/>
  <c r="AB25" i="57"/>
  <c r="AA25" i="57"/>
  <c r="AF46" i="57"/>
  <c r="X37" i="57"/>
  <c r="AF37" i="57" s="1"/>
  <c r="X63" i="57"/>
  <c r="AF52" i="57"/>
  <c r="AP17" i="50"/>
  <c r="AP46" i="50"/>
  <c r="AP45" i="50"/>
  <c r="AA136" i="57"/>
  <c r="X126" i="57"/>
  <c r="AP42" i="50"/>
  <c r="AP66" i="50"/>
  <c r="AP75" i="50"/>
  <c r="AG73" i="50"/>
  <c r="AH73" i="50" s="1"/>
  <c r="AI73" i="50" s="1"/>
  <c r="AP73" i="50" s="1"/>
  <c r="AL73" i="50"/>
  <c r="AL85" i="50"/>
  <c r="AG85" i="50"/>
  <c r="AH85" i="50" s="1"/>
  <c r="AI85" i="50" s="1"/>
  <c r="AP85" i="50" s="1"/>
  <c r="AG93" i="50"/>
  <c r="AH93" i="50" s="1"/>
  <c r="AI93" i="50" s="1"/>
  <c r="AP93" i="50" s="1"/>
  <c r="AL93" i="50"/>
  <c r="AP94" i="50"/>
  <c r="AL106" i="50"/>
  <c r="AP132" i="50"/>
  <c r="AG130" i="50"/>
  <c r="AH130" i="50" s="1"/>
  <c r="AI130" i="50" s="1"/>
  <c r="AP130" i="50" s="1"/>
  <c r="AL130" i="50"/>
  <c r="AL121" i="50"/>
  <c r="AF187" i="57"/>
  <c r="AF202" i="57"/>
  <c r="X226" i="57"/>
  <c r="AF226" i="57" s="1"/>
  <c r="AP169" i="50"/>
  <c r="AF224" i="57"/>
  <c r="AG186" i="50"/>
  <c r="AH186" i="50" s="1"/>
  <c r="AI186" i="50" s="1"/>
  <c r="AP186" i="50" s="1"/>
  <c r="AL186" i="50"/>
  <c r="AG210" i="50"/>
  <c r="AH210" i="50" s="1"/>
  <c r="AI210" i="50" s="1"/>
  <c r="AP210" i="50" s="1"/>
  <c r="AL210" i="50"/>
  <c r="AL163" i="50"/>
  <c r="AP149" i="50"/>
  <c r="AP168" i="50"/>
  <c r="AF244" i="57"/>
  <c r="AP199" i="50"/>
  <c r="AA240" i="57"/>
  <c r="AB240" i="57"/>
  <c r="AG192" i="50"/>
  <c r="AH192" i="50" s="1"/>
  <c r="AI192" i="50" s="1"/>
  <c r="AP192" i="50" s="1"/>
  <c r="AL192" i="50"/>
  <c r="AL204" i="50"/>
  <c r="AG204" i="50"/>
  <c r="AH204" i="50" s="1"/>
  <c r="AI204" i="50" s="1"/>
  <c r="AP204" i="50" s="1"/>
  <c r="AD162" i="22"/>
  <c r="D47" i="104" s="1"/>
  <c r="F132" i="36"/>
  <c r="H132" i="36" s="1"/>
  <c r="AD161" i="22"/>
  <c r="D46" i="104" s="1"/>
  <c r="F131" i="36"/>
  <c r="H131" i="36" s="1"/>
  <c r="AL187" i="50"/>
  <c r="AP214" i="50"/>
  <c r="AG240" i="50"/>
  <c r="AH240" i="50" s="1"/>
  <c r="AI240" i="50" s="1"/>
  <c r="AP240" i="50" s="1"/>
  <c r="AL240" i="50"/>
  <c r="AL225" i="50"/>
  <c r="AG225" i="50"/>
  <c r="AH225" i="50" s="1"/>
  <c r="AI225" i="50" s="1"/>
  <c r="AP225" i="50" s="1"/>
  <c r="AG221" i="50"/>
  <c r="AH221" i="50" s="1"/>
  <c r="AI221" i="50" s="1"/>
  <c r="AP221" i="50" s="1"/>
  <c r="AL221" i="50"/>
  <c r="BC43" i="22"/>
  <c r="AC46" i="22"/>
  <c r="BC123" i="22"/>
  <c r="AC54" i="22"/>
  <c r="AC38" i="22"/>
  <c r="BC104" i="22"/>
  <c r="BC97" i="22"/>
  <c r="AC71" i="22"/>
  <c r="AM32" i="22"/>
  <c r="E70" i="36" s="1"/>
  <c r="G70" i="36" s="1"/>
  <c r="BC61" i="22"/>
  <c r="AC103" i="22"/>
  <c r="AO32" i="22" s="1"/>
  <c r="BC158" i="22"/>
  <c r="AC66" i="22"/>
  <c r="AC116" i="22"/>
  <c r="BC139" i="22"/>
  <c r="AN35" i="22"/>
  <c r="F72" i="36" s="1"/>
  <c r="H72" i="36" s="1"/>
  <c r="AD134" i="22"/>
  <c r="AP35" i="22" s="1"/>
  <c r="BC9" i="22"/>
  <c r="AC40" i="22"/>
  <c r="AM24" i="22"/>
  <c r="E62" i="36" s="1"/>
  <c r="G62" i="36" s="1"/>
  <c r="AC112" i="22"/>
  <c r="BC101" i="22"/>
  <c r="AM29" i="22"/>
  <c r="E67" i="36" s="1"/>
  <c r="G67" i="36" s="1"/>
  <c r="BC115" i="22"/>
  <c r="AC11" i="22"/>
  <c r="BC6" i="22"/>
  <c r="AC19" i="22"/>
  <c r="AC80" i="22"/>
  <c r="BC134" i="22"/>
  <c r="BC57" i="22"/>
  <c r="AC98" i="22"/>
  <c r="BC124" i="22"/>
  <c r="AC62" i="22"/>
  <c r="BC45" i="22"/>
  <c r="AC50" i="22"/>
  <c r="BC47" i="22"/>
  <c r="AC53" i="22"/>
  <c r="BC73" i="22"/>
  <c r="AC117" i="22"/>
  <c r="AF33" i="57"/>
  <c r="AB33" i="57"/>
  <c r="AA33" i="57"/>
  <c r="AB62" i="57"/>
  <c r="AF67" i="57"/>
  <c r="AG116" i="50"/>
  <c r="AH116" i="50" s="1"/>
  <c r="AI116" i="50" s="1"/>
  <c r="AP116" i="50" s="1"/>
  <c r="AL116" i="50"/>
  <c r="AL128" i="50"/>
  <c r="AG128" i="50"/>
  <c r="AH128" i="50" s="1"/>
  <c r="AI128" i="50" s="1"/>
  <c r="AP128" i="50" s="1"/>
  <c r="AG157" i="50"/>
  <c r="AH157" i="50" s="1"/>
  <c r="AI157" i="50" s="1"/>
  <c r="AP157" i="50" s="1"/>
  <c r="AL157" i="50"/>
  <c r="AG243" i="50"/>
  <c r="AH243" i="50" s="1"/>
  <c r="AI243" i="50" s="1"/>
  <c r="AP243" i="50" s="1"/>
  <c r="AL243" i="50"/>
  <c r="AL197" i="50"/>
  <c r="AG197" i="50"/>
  <c r="AH197" i="50" s="1"/>
  <c r="AI197" i="50" s="1"/>
  <c r="AP197" i="50" s="1"/>
  <c r="BC94" i="22"/>
  <c r="AC49" i="22"/>
  <c r="AC114" i="22"/>
  <c r="BC67" i="22"/>
  <c r="AA51" i="57"/>
  <c r="AB51" i="57"/>
  <c r="AB18" i="57"/>
  <c r="AA18" i="57"/>
  <c r="AF45" i="57"/>
  <c r="AG36" i="50"/>
  <c r="AH36" i="50" s="1"/>
  <c r="AI36" i="50" s="1"/>
  <c r="AP36" i="50" s="1"/>
  <c r="AL36" i="50"/>
  <c r="AB77" i="57"/>
  <c r="AA77" i="57"/>
  <c r="AG44" i="50"/>
  <c r="AH44" i="50" s="1"/>
  <c r="AI44" i="50" s="1"/>
  <c r="AP44" i="50" s="1"/>
  <c r="AL44" i="50"/>
  <c r="AB104" i="57"/>
  <c r="AF104" i="57"/>
  <c r="AA104" i="57"/>
  <c r="AG58" i="50"/>
  <c r="AH58" i="50" s="1"/>
  <c r="AI58" i="50" s="1"/>
  <c r="AP58" i="50" s="1"/>
  <c r="AL58" i="50"/>
  <c r="AL50" i="50"/>
  <c r="AG50" i="50"/>
  <c r="AH50" i="50" s="1"/>
  <c r="AI50" i="50" s="1"/>
  <c r="AP50" i="50" s="1"/>
  <c r="AB142" i="57"/>
  <c r="AF153" i="57"/>
  <c r="AB143" i="57"/>
  <c r="AA143" i="57"/>
  <c r="AA160" i="57"/>
  <c r="AB160" i="57"/>
  <c r="AG101" i="50"/>
  <c r="AH101" i="50" s="1"/>
  <c r="AI101" i="50" s="1"/>
  <c r="AP101" i="50" s="1"/>
  <c r="AL101" i="50"/>
  <c r="AL86" i="50"/>
  <c r="AG96" i="50"/>
  <c r="AH96" i="50" s="1"/>
  <c r="AI96" i="50" s="1"/>
  <c r="AP96" i="50" s="1"/>
  <c r="AL96" i="50"/>
  <c r="AF164" i="57"/>
  <c r="AA174" i="57"/>
  <c r="X193" i="57"/>
  <c r="T11" i="46"/>
  <c r="Y11" i="46" s="1"/>
  <c r="N2" i="46"/>
  <c r="AL144" i="50"/>
  <c r="AG144" i="50"/>
  <c r="AH144" i="50" s="1"/>
  <c r="AI144" i="50" s="1"/>
  <c r="AP144" i="50" s="1"/>
  <c r="X179" i="57"/>
  <c r="AF179" i="57" s="1"/>
  <c r="AB190" i="57"/>
  <c r="AL150" i="50"/>
  <c r="AG150" i="50"/>
  <c r="AH150" i="50" s="1"/>
  <c r="AI150" i="50" s="1"/>
  <c r="AP150" i="50" s="1"/>
  <c r="AB219" i="57"/>
  <c r="AA219" i="57"/>
  <c r="AG148" i="50"/>
  <c r="AH148" i="50" s="1"/>
  <c r="AI148" i="50" s="1"/>
  <c r="AP148" i="50" s="1"/>
  <c r="AL148" i="50"/>
  <c r="AA225" i="57"/>
  <c r="AB225" i="57"/>
  <c r="AG140" i="50"/>
  <c r="AH140" i="50" s="1"/>
  <c r="AI140" i="50" s="1"/>
  <c r="AP140" i="50" s="1"/>
  <c r="AL140" i="50"/>
  <c r="AG170" i="50"/>
  <c r="AH170" i="50" s="1"/>
  <c r="AI170" i="50" s="1"/>
  <c r="AP170" i="50" s="1"/>
  <c r="AL170" i="50"/>
  <c r="AP151" i="50"/>
  <c r="AB242" i="57"/>
  <c r="AA242" i="57"/>
  <c r="AG184" i="50"/>
  <c r="AH184" i="50" s="1"/>
  <c r="AI184" i="50" s="1"/>
  <c r="AP184" i="50" s="1"/>
  <c r="AL184" i="50"/>
  <c r="AF219" i="57"/>
  <c r="AL188" i="50"/>
  <c r="AG188" i="50"/>
  <c r="AH188" i="50" s="1"/>
  <c r="AI188" i="50" s="1"/>
  <c r="AP188" i="50" s="1"/>
  <c r="AP200" i="50"/>
  <c r="AP203" i="50"/>
  <c r="AL193" i="50"/>
  <c r="AP194" i="50"/>
  <c r="AF257" i="57"/>
  <c r="AC157" i="22"/>
  <c r="E127" i="36"/>
  <c r="G127" i="36" s="1"/>
  <c r="AD158" i="22"/>
  <c r="D36" i="104" s="1"/>
  <c r="F128" i="36"/>
  <c r="H128" i="36" s="1"/>
  <c r="F124" i="36"/>
  <c r="H124" i="36" s="1"/>
  <c r="AD154" i="22"/>
  <c r="D32" i="104" s="1"/>
  <c r="AA252" i="57"/>
  <c r="AB252" i="57"/>
  <c r="AP227" i="50"/>
  <c r="AP206" i="50"/>
  <c r="AP245" i="50"/>
  <c r="AP232" i="50"/>
  <c r="AL250" i="50"/>
  <c r="AG219" i="50"/>
  <c r="AH219" i="50" s="1"/>
  <c r="AI219" i="50" s="1"/>
  <c r="AP219" i="50" s="1"/>
  <c r="AL219" i="50"/>
  <c r="AP237" i="50"/>
  <c r="AP241" i="50"/>
  <c r="BC119" i="22"/>
  <c r="AC20" i="22"/>
  <c r="BC53" i="22"/>
  <c r="AC91" i="22"/>
  <c r="AD115" i="22"/>
  <c r="AN30" i="22"/>
  <c r="F68" i="36" s="1"/>
  <c r="H68" i="36" s="1"/>
  <c r="AD40" i="22"/>
  <c r="AN24" i="22"/>
  <c r="F62" i="36" s="1"/>
  <c r="H62" i="36" s="1"/>
  <c r="AC26" i="22"/>
  <c r="BC7" i="22"/>
  <c r="BC88" i="22"/>
  <c r="AC28" i="22"/>
  <c r="BC136" i="22"/>
  <c r="AC79" i="22"/>
  <c r="AC55" i="22"/>
  <c r="BC151" i="22"/>
  <c r="BC130" i="22"/>
  <c r="AC72" i="22"/>
  <c r="AC126" i="22"/>
  <c r="BC144" i="22"/>
  <c r="AD27" i="22"/>
  <c r="AN23" i="22"/>
  <c r="F61" i="36" s="1"/>
  <c r="H61" i="36" s="1"/>
  <c r="BC149" i="22"/>
  <c r="AC37" i="22"/>
  <c r="BC13" i="22"/>
  <c r="AC83" i="22"/>
  <c r="BC89" i="22"/>
  <c r="AC29" i="22"/>
  <c r="BC118" i="22"/>
  <c r="AC9" i="22"/>
  <c r="BC120" i="22"/>
  <c r="AC15" i="22"/>
  <c r="BC126" i="22"/>
  <c r="AC68" i="22"/>
  <c r="BC58" i="22"/>
  <c r="AC99" i="22"/>
  <c r="AC135" i="22"/>
  <c r="BC80" i="22"/>
  <c r="AG28" i="50"/>
  <c r="AH28" i="50" s="1"/>
  <c r="AI28" i="50" s="1"/>
  <c r="AP28" i="50" s="1"/>
  <c r="AL28" i="50"/>
  <c r="AA216" i="57"/>
  <c r="AB216" i="57"/>
  <c r="AF216" i="57"/>
  <c r="AD151" i="22"/>
  <c r="D22" i="104" s="1"/>
  <c r="F121" i="36"/>
  <c r="H121" i="36" s="1"/>
  <c r="AA256" i="57"/>
  <c r="AB256" i="57"/>
  <c r="BC44" i="22"/>
  <c r="AC47" i="22"/>
  <c r="X19" i="57"/>
  <c r="AF19" i="57" s="1"/>
  <c r="AF38" i="57"/>
  <c r="AA21" i="57"/>
  <c r="AB21" i="57"/>
  <c r="AA16" i="57"/>
  <c r="AB16" i="57"/>
  <c r="AF57" i="57"/>
  <c r="AP18" i="50"/>
  <c r="AB90" i="57"/>
  <c r="AA90" i="57"/>
  <c r="AG25" i="50"/>
  <c r="AH25" i="50" s="1"/>
  <c r="AI25" i="50" s="1"/>
  <c r="AP25" i="50" s="1"/>
  <c r="AL25" i="50"/>
  <c r="AP29" i="50"/>
  <c r="AA130" i="57"/>
  <c r="AB130" i="57"/>
  <c r="AP68" i="50"/>
  <c r="AB121" i="57"/>
  <c r="AA121" i="57"/>
  <c r="AL60" i="50"/>
  <c r="AP57" i="50"/>
  <c r="AG76" i="50"/>
  <c r="AH76" i="50" s="1"/>
  <c r="AI76" i="50" s="1"/>
  <c r="AP76" i="50" s="1"/>
  <c r="AL76" i="50"/>
  <c r="AB111" i="57"/>
  <c r="AA111" i="57"/>
  <c r="AB134" i="57"/>
  <c r="AF145" i="57"/>
  <c r="AP74" i="50"/>
  <c r="AG84" i="50"/>
  <c r="AH84" i="50" s="1"/>
  <c r="AI84" i="50" s="1"/>
  <c r="AP84" i="50" s="1"/>
  <c r="AL84" i="50"/>
  <c r="AG95" i="50"/>
  <c r="AH95" i="50" s="1"/>
  <c r="AI95" i="50" s="1"/>
  <c r="AP95" i="50" s="1"/>
  <c r="AL95" i="50"/>
  <c r="AP99" i="50"/>
  <c r="X161" i="57"/>
  <c r="AF161" i="57" s="1"/>
  <c r="AB172" i="57"/>
  <c r="AA172" i="57"/>
  <c r="AP106" i="50"/>
  <c r="AG107" i="50"/>
  <c r="AH107" i="50" s="1"/>
  <c r="AI107" i="50" s="1"/>
  <c r="AP107" i="50" s="1"/>
  <c r="AL107" i="50"/>
  <c r="AP119" i="50"/>
  <c r="AP129" i="50"/>
  <c r="AL114" i="50"/>
  <c r="AG114" i="50"/>
  <c r="AH114" i="50" s="1"/>
  <c r="AI114" i="50" s="1"/>
  <c r="AP114" i="50" s="1"/>
  <c r="AB185" i="57"/>
  <c r="AA185" i="57"/>
  <c r="AF201" i="57"/>
  <c r="AA207" i="57"/>
  <c r="AB207" i="57"/>
  <c r="X227" i="57"/>
  <c r="AG174" i="50"/>
  <c r="AH174" i="50" s="1"/>
  <c r="AI174" i="50" s="1"/>
  <c r="AP174" i="50" s="1"/>
  <c r="AL174" i="50"/>
  <c r="AP183" i="50"/>
  <c r="AP147" i="50"/>
  <c r="AB250" i="57"/>
  <c r="AA250" i="57"/>
  <c r="AL168" i="50"/>
  <c r="AL189" i="50"/>
  <c r="AG189" i="50"/>
  <c r="AH189" i="50" s="1"/>
  <c r="AI189" i="50" s="1"/>
  <c r="AP189" i="50" s="1"/>
  <c r="AG196" i="50"/>
  <c r="AH196" i="50" s="1"/>
  <c r="AI196" i="50" s="1"/>
  <c r="AP196" i="50" s="1"/>
  <c r="AL196" i="50"/>
  <c r="AP207" i="50"/>
  <c r="AD153" i="22"/>
  <c r="D24" i="104" s="1"/>
  <c r="F123" i="36"/>
  <c r="H123" i="36" s="1"/>
  <c r="AC152" i="22"/>
  <c r="E122" i="36"/>
  <c r="G122" i="36" s="1"/>
  <c r="AC162" i="22"/>
  <c r="E132" i="36"/>
  <c r="G132" i="36" s="1"/>
  <c r="AP228" i="50"/>
  <c r="AG242" i="50"/>
  <c r="AH242" i="50" s="1"/>
  <c r="AI242" i="50" s="1"/>
  <c r="AP242" i="50" s="1"/>
  <c r="AL242" i="50"/>
  <c r="BC15" i="22"/>
  <c r="AC85" i="22"/>
  <c r="BC30" i="22"/>
  <c r="AM22" i="22"/>
  <c r="E60" i="36" s="1"/>
  <c r="G60" i="36" s="1"/>
  <c r="AC14" i="22"/>
  <c r="BC59" i="22"/>
  <c r="AC100" i="22"/>
  <c r="BC50" i="22"/>
  <c r="AC73" i="22"/>
  <c r="BC86" i="22"/>
  <c r="AC24" i="22"/>
  <c r="BC159" i="22"/>
  <c r="AC78" i="22"/>
  <c r="AN32" i="22"/>
  <c r="F70" i="36" s="1"/>
  <c r="H70" i="36" s="1"/>
  <c r="AD103" i="22"/>
  <c r="BC156" i="22"/>
  <c r="AC61" i="22"/>
  <c r="AC113" i="22"/>
  <c r="BC66" i="22"/>
  <c r="BC18" i="22"/>
  <c r="AC89" i="22"/>
  <c r="AC109" i="22"/>
  <c r="BC22" i="22"/>
  <c r="AN22" i="22"/>
  <c r="F60" i="36" s="1"/>
  <c r="H60" i="36" s="1"/>
  <c r="AD14" i="22"/>
  <c r="BC39" i="22"/>
  <c r="AC42" i="22"/>
  <c r="BC92" i="22"/>
  <c r="AC33" i="22"/>
  <c r="AN25" i="22"/>
  <c r="F63" i="36" s="1"/>
  <c r="H63" i="36" s="1"/>
  <c r="AD51" i="22"/>
  <c r="BC54" i="22"/>
  <c r="AC92" i="22"/>
  <c r="BC85" i="22"/>
  <c r="AC22" i="22"/>
  <c r="BC68" i="22"/>
  <c r="AC115" i="22"/>
  <c r="AM30" i="22"/>
  <c r="E68" i="36" s="1"/>
  <c r="G68" i="36" s="1"/>
  <c r="BC100" i="22"/>
  <c r="AC97" i="22"/>
  <c r="BC60" i="22"/>
  <c r="AC101" i="22"/>
  <c r="AC129" i="22"/>
  <c r="BC102" i="22"/>
  <c r="AP251" i="50"/>
  <c r="AP255" i="50"/>
  <c r="B14" i="65" l="1"/>
  <c r="AO13" i="63" a="1"/>
  <c r="AO13" i="63" s="1"/>
  <c r="B15" i="65" s="1"/>
  <c r="AO14" i="63" a="1"/>
  <c r="AO14" i="63" s="1"/>
  <c r="B16" i="65" s="1"/>
  <c r="H24" i="36"/>
  <c r="AN14" i="63" a="1"/>
  <c r="AN14" i="63" s="1"/>
  <c r="O13" i="65"/>
  <c r="L13" i="65"/>
  <c r="M13" i="65" s="1"/>
  <c r="C13" i="65"/>
  <c r="H30" i="36"/>
  <c r="H34" i="73"/>
  <c r="J34" i="73" s="1"/>
  <c r="H43" i="73"/>
  <c r="N12" i="65"/>
  <c r="D12" i="65"/>
  <c r="E12" i="65" s="1"/>
  <c r="F12" i="65" s="1"/>
  <c r="G12" i="65" s="1"/>
  <c r="H12" i="65" s="1"/>
  <c r="I12" i="65" s="1"/>
  <c r="J12" i="65" s="1"/>
  <c r="K12" i="65" s="1"/>
  <c r="P12" i="65"/>
  <c r="AM12" i="65"/>
  <c r="H31" i="36"/>
  <c r="AB258" i="67"/>
  <c r="J33" i="22"/>
  <c r="AX92" i="22" s="1"/>
  <c r="AQ34" i="11"/>
  <c r="H9" i="73"/>
  <c r="E62" i="73" s="1"/>
  <c r="F62" i="73" s="1"/>
  <c r="F22" i="36"/>
  <c r="AF230" i="57"/>
  <c r="AF113" i="57"/>
  <c r="AA59" i="57"/>
  <c r="AA102" i="57"/>
  <c r="AA196" i="57"/>
  <c r="AA204" i="57"/>
  <c r="AF196" i="57"/>
  <c r="AA84" i="57"/>
  <c r="AB39" i="57"/>
  <c r="AB230" i="57"/>
  <c r="AF204" i="57"/>
  <c r="AB233" i="57"/>
  <c r="AB89" i="57"/>
  <c r="AB40" i="57"/>
  <c r="AB75" i="57"/>
  <c r="AA81" i="57"/>
  <c r="AF81" i="57"/>
  <c r="AF50" i="57"/>
  <c r="AF174" i="57"/>
  <c r="AA234" i="57"/>
  <c r="AF245" i="57"/>
  <c r="AB234" i="57"/>
  <c r="AA39" i="57"/>
  <c r="AF183" i="57"/>
  <c r="AA183" i="57"/>
  <c r="AF128" i="57"/>
  <c r="AF75" i="57"/>
  <c r="N12" i="53"/>
  <c r="AB128" i="57"/>
  <c r="AA40" i="57"/>
  <c r="AB44" i="57"/>
  <c r="AF122" i="57"/>
  <c r="AA228" i="57"/>
  <c r="AB45" i="57"/>
  <c r="AA65" i="57"/>
  <c r="AF188" i="57"/>
  <c r="AA134" i="57"/>
  <c r="AA108" i="57"/>
  <c r="AA79" i="57"/>
  <c r="AA85" i="57"/>
  <c r="AA142" i="57"/>
  <c r="AB108" i="57"/>
  <c r="AB79" i="57"/>
  <c r="AF229" i="57"/>
  <c r="AF85" i="57"/>
  <c r="AF36" i="57"/>
  <c r="AA229" i="57"/>
  <c r="AF88" i="57"/>
  <c r="AF48" i="57"/>
  <c r="AB246" i="57"/>
  <c r="AB164" i="57"/>
  <c r="AB50" i="57"/>
  <c r="AA88" i="57"/>
  <c r="AA48" i="57"/>
  <c r="AA246" i="57"/>
  <c r="AA198" i="57"/>
  <c r="AB198" i="57"/>
  <c r="E63" i="73"/>
  <c r="F63" i="73" s="1"/>
  <c r="AA89" i="57"/>
  <c r="AA173" i="57"/>
  <c r="AB36" i="57"/>
  <c r="AB173" i="57"/>
  <c r="AA212" i="57"/>
  <c r="AB175" i="57"/>
  <c r="AF14" i="57"/>
  <c r="AB213" i="57"/>
  <c r="AB212" i="57"/>
  <c r="AA175" i="57"/>
  <c r="AA213" i="57"/>
  <c r="AF208" i="57"/>
  <c r="AF74" i="57"/>
  <c r="AA140" i="57"/>
  <c r="AB208" i="57"/>
  <c r="AB140" i="57"/>
  <c r="AB206" i="57"/>
  <c r="AJ13" i="52" a="1"/>
  <c r="AJ13" i="52" s="1"/>
  <c r="AJ14" i="52" s="1" a="1"/>
  <c r="AJ14" i="52" s="1"/>
  <c r="AA237" i="57"/>
  <c r="AF65" i="57"/>
  <c r="AA62" i="57"/>
  <c r="AF200" i="57"/>
  <c r="AA200" i="57"/>
  <c r="AF60" i="57"/>
  <c r="AA60" i="57"/>
  <c r="AF235" i="57"/>
  <c r="AB235" i="57"/>
  <c r="AF136" i="57"/>
  <c r="AB136" i="57"/>
  <c r="AA53" i="57"/>
  <c r="AB53" i="57"/>
  <c r="AB218" i="57"/>
  <c r="AA218" i="57"/>
  <c r="AB124" i="57"/>
  <c r="AA124" i="57"/>
  <c r="AT12" i="53"/>
  <c r="Q12" i="53"/>
  <c r="AD12" i="53"/>
  <c r="R12" i="53"/>
  <c r="AF253" i="57"/>
  <c r="AF149" i="57"/>
  <c r="AA149" i="57"/>
  <c r="AF114" i="57"/>
  <c r="AF237" i="57"/>
  <c r="AF34" i="57"/>
  <c r="AA34" i="57"/>
  <c r="AK13" i="52" a="1"/>
  <c r="AK13" i="52" s="1"/>
  <c r="AK14" i="52" s="1" a="1"/>
  <c r="AK14" i="52" s="1"/>
  <c r="G14" i="53"/>
  <c r="F14" i="53"/>
  <c r="C14" i="53"/>
  <c r="M14" i="53"/>
  <c r="L14" i="53"/>
  <c r="O14" i="53"/>
  <c r="AG14" i="53" s="1"/>
  <c r="I14" i="53"/>
  <c r="P14" i="53"/>
  <c r="J14" i="53"/>
  <c r="E14" i="53"/>
  <c r="K14" i="53"/>
  <c r="H14" i="53"/>
  <c r="N14" i="53"/>
  <c r="D14" i="53"/>
  <c r="I13" i="53"/>
  <c r="J13" i="53"/>
  <c r="M13" i="53"/>
  <c r="P13" i="53"/>
  <c r="E13" i="53"/>
  <c r="N13" i="53"/>
  <c r="F13" i="53"/>
  <c r="L13" i="53"/>
  <c r="G13" i="53"/>
  <c r="K13" i="53"/>
  <c r="O13" i="53"/>
  <c r="H13" i="53"/>
  <c r="C13" i="53"/>
  <c r="D13" i="53"/>
  <c r="AF146" i="57"/>
  <c r="AA13" i="57"/>
  <c r="AF72" i="57"/>
  <c r="AM14" i="11" a="1"/>
  <c r="AM14" i="11" s="1"/>
  <c r="AM15" i="11" s="1" a="1"/>
  <c r="AM15" i="11" s="1"/>
  <c r="AF84" i="57"/>
  <c r="AB72" i="57"/>
  <c r="AA215" i="57"/>
  <c r="AA23" i="57"/>
  <c r="AB13" i="57"/>
  <c r="AO30" i="22"/>
  <c r="AF103" i="57"/>
  <c r="AA42" i="57"/>
  <c r="AB20" i="57"/>
  <c r="AF228" i="57"/>
  <c r="AA235" i="57"/>
  <c r="AA146" i="57"/>
  <c r="AB14" i="57"/>
  <c r="AA103" i="57"/>
  <c r="AF20" i="57"/>
  <c r="AB42" i="57"/>
  <c r="AA82" i="57"/>
  <c r="AB162" i="57"/>
  <c r="AB95" i="57"/>
  <c r="AF176" i="57"/>
  <c r="AA118" i="57"/>
  <c r="AA95" i="57"/>
  <c r="AA176" i="57"/>
  <c r="AB118" i="57"/>
  <c r="AB231" i="57"/>
  <c r="AB249" i="57"/>
  <c r="AA231" i="57"/>
  <c r="AA249" i="57"/>
  <c r="AF209" i="57"/>
  <c r="AF82" i="57"/>
  <c r="AF191" i="57"/>
  <c r="AB191" i="57"/>
  <c r="AA139" i="57"/>
  <c r="AB139" i="57"/>
  <c r="AF211" i="57"/>
  <c r="AA74" i="57"/>
  <c r="AA122" i="57"/>
  <c r="AB245" i="57"/>
  <c r="AF53" i="57"/>
  <c r="AB101" i="57"/>
  <c r="AB255" i="57"/>
  <c r="AA197" i="57"/>
  <c r="AF109" i="57"/>
  <c r="AA251" i="57"/>
  <c r="AF255" i="57"/>
  <c r="AA129" i="57"/>
  <c r="AB129" i="57"/>
  <c r="AF129" i="57"/>
  <c r="AA78" i="57"/>
  <c r="AF91" i="57"/>
  <c r="AF132" i="57"/>
  <c r="AF55" i="57"/>
  <c r="AA211" i="57"/>
  <c r="AA26" i="57"/>
  <c r="AA100" i="57"/>
  <c r="AA190" i="57"/>
  <c r="AB23" i="57"/>
  <c r="AF61" i="57"/>
  <c r="AB61" i="57"/>
  <c r="AA182" i="57"/>
  <c r="AF157" i="57"/>
  <c r="AF162" i="57"/>
  <c r="AA66" i="57"/>
  <c r="AB66" i="57"/>
  <c r="AF66" i="57"/>
  <c r="AF133" i="57"/>
  <c r="AA157" i="57"/>
  <c r="AB141" i="57"/>
  <c r="AA141" i="57"/>
  <c r="AB114" i="57"/>
  <c r="AF24" i="57"/>
  <c r="AA24" i="57"/>
  <c r="AA80" i="57"/>
  <c r="AB80" i="57"/>
  <c r="AB138" i="57"/>
  <c r="AF138" i="57"/>
  <c r="AA169" i="57"/>
  <c r="AB169" i="57"/>
  <c r="AF159" i="57"/>
  <c r="AA159" i="57"/>
  <c r="AB159" i="57"/>
  <c r="AF144" i="57"/>
  <c r="AB144" i="57"/>
  <c r="P12" i="32"/>
  <c r="AD5" i="32"/>
  <c r="AB251" i="57"/>
  <c r="AB205" i="57"/>
  <c r="AF68" i="57"/>
  <c r="AB46" i="57"/>
  <c r="AA181" i="57"/>
  <c r="AA91" i="57"/>
  <c r="AF115" i="57"/>
  <c r="AA205" i="57"/>
  <c r="AA58" i="57"/>
  <c r="AB181" i="57"/>
  <c r="AB177" i="57"/>
  <c r="E14" i="32"/>
  <c r="H13" i="32"/>
  <c r="J13" i="32"/>
  <c r="L13" i="32"/>
  <c r="I13" i="32"/>
  <c r="K13" i="32"/>
  <c r="A13" i="32"/>
  <c r="Q13" i="32" s="1"/>
  <c r="P13" i="32" s="1"/>
  <c r="O13" i="32"/>
  <c r="B13" i="32"/>
  <c r="R13" i="32" s="1"/>
  <c r="S13" i="32" s="1"/>
  <c r="F13" i="32"/>
  <c r="AK13" i="32"/>
  <c r="G13" i="32"/>
  <c r="N13" i="32"/>
  <c r="T13" i="32"/>
  <c r="M13" i="32"/>
  <c r="AF131" i="57"/>
  <c r="AB58" i="57"/>
  <c r="AA145" i="57"/>
  <c r="AA15" i="57"/>
  <c r="AJ12" i="32"/>
  <c r="C12" i="32"/>
  <c r="Z12" i="32"/>
  <c r="W12" i="32"/>
  <c r="X12" i="32" s="1"/>
  <c r="V12" i="32"/>
  <c r="AB109" i="57"/>
  <c r="AA131" i="57"/>
  <c r="AA101" i="57"/>
  <c r="AF70" i="57"/>
  <c r="U12" i="32"/>
  <c r="AD12" i="32" s="1"/>
  <c r="AM12" i="32"/>
  <c r="AL14" i="11" a="1"/>
  <c r="AL14" i="11" s="1"/>
  <c r="AA209" i="57"/>
  <c r="AB197" i="57"/>
  <c r="AA144" i="57"/>
  <c r="AB78" i="57"/>
  <c r="AF206" i="57"/>
  <c r="AB239" i="57"/>
  <c r="AA138" i="57"/>
  <c r="AF26" i="57"/>
  <c r="AF124" i="57"/>
  <c r="AF49" i="57"/>
  <c r="AA49" i="57"/>
  <c r="AF71" i="57"/>
  <c r="AA239" i="57"/>
  <c r="AA44" i="57"/>
  <c r="AA71" i="57"/>
  <c r="AB150" i="57"/>
  <c r="AB182" i="57"/>
  <c r="AB100" i="57"/>
  <c r="AF150" i="57"/>
  <c r="AB115" i="57"/>
  <c r="AA54" i="57"/>
  <c r="AA210" i="57"/>
  <c r="AB54" i="57"/>
  <c r="AB29" i="57"/>
  <c r="AF29" i="57"/>
  <c r="AA113" i="57"/>
  <c r="AA70" i="57"/>
  <c r="AF177" i="57"/>
  <c r="AB24" i="57"/>
  <c r="AK16" i="11" a="1"/>
  <c r="AK16" i="11" s="1"/>
  <c r="AB210" i="57"/>
  <c r="AA133" i="57"/>
  <c r="AB155" i="57"/>
  <c r="AA154" i="57"/>
  <c r="AB110" i="57"/>
  <c r="AA110" i="57"/>
  <c r="D22" i="36"/>
  <c r="H8" i="73"/>
  <c r="E61" i="73" s="1"/>
  <c r="F61" i="73" s="1"/>
  <c r="X259" i="11"/>
  <c r="D31" i="36" s="1"/>
  <c r="J20" i="22"/>
  <c r="AX119" i="22" s="1"/>
  <c r="AQ17" i="11"/>
  <c r="AQ259" i="11" s="1"/>
  <c r="G5" i="72" s="1"/>
  <c r="AF154" i="57"/>
  <c r="AA254" i="57"/>
  <c r="AF155" i="57"/>
  <c r="AA247" i="57"/>
  <c r="AB247" i="57"/>
  <c r="AB163" i="57"/>
  <c r="AA163" i="57"/>
  <c r="AF247" i="57"/>
  <c r="AF254" i="57"/>
  <c r="AA68" i="57"/>
  <c r="AB132" i="57"/>
  <c r="AA107" i="57"/>
  <c r="AB107" i="57"/>
  <c r="AB171" i="57"/>
  <c r="AA171" i="57"/>
  <c r="AB178" i="57"/>
  <c r="AA178" i="57"/>
  <c r="AB152" i="57"/>
  <c r="AA152" i="57"/>
  <c r="AB147" i="57"/>
  <c r="AA147" i="57"/>
  <c r="AF147" i="57"/>
  <c r="AA55" i="57"/>
  <c r="AO33" i="22"/>
  <c r="AF32" i="57"/>
  <c r="AA32" i="57"/>
  <c r="AB32" i="57"/>
  <c r="AB199" i="57"/>
  <c r="AA199" i="57"/>
  <c r="AF199" i="57"/>
  <c r="AA184" i="57"/>
  <c r="AB184" i="57"/>
  <c r="AF184" i="57"/>
  <c r="BD10" i="22"/>
  <c r="E18" i="72" s="1"/>
  <c r="AP25" i="22"/>
  <c r="AP32" i="22"/>
  <c r="BD61" i="22"/>
  <c r="E70" i="72" s="1"/>
  <c r="Y257" i="46"/>
  <c r="L22" i="22"/>
  <c r="AP21" i="22"/>
  <c r="BD79" i="22"/>
  <c r="E89" i="72" s="1"/>
  <c r="AO21" i="22"/>
  <c r="AA217" i="57"/>
  <c r="AB217" i="57"/>
  <c r="AO29" i="22"/>
  <c r="AB63" i="57"/>
  <c r="AA63" i="57"/>
  <c r="AO25" i="22"/>
  <c r="AO34" i="22"/>
  <c r="AD2" i="50"/>
  <c r="BD147" i="22"/>
  <c r="E160" i="72" s="1"/>
  <c r="AP33" i="22"/>
  <c r="AA165" i="57"/>
  <c r="AF165" i="57"/>
  <c r="AB165" i="57"/>
  <c r="AB56" i="57"/>
  <c r="AA56" i="57"/>
  <c r="AA166" i="57"/>
  <c r="AB166" i="57"/>
  <c r="AF166" i="57"/>
  <c r="AO22" i="22"/>
  <c r="AA243" i="57"/>
  <c r="AB243" i="57"/>
  <c r="AF243" i="57"/>
  <c r="AB31" i="57"/>
  <c r="AA31" i="57"/>
  <c r="AO26" i="22"/>
  <c r="AO28" i="22"/>
  <c r="AP23" i="22"/>
  <c r="BD87" i="22"/>
  <c r="BD62" i="22"/>
  <c r="E71" i="72" s="1"/>
  <c r="AP31" i="22"/>
  <c r="AO24" i="22"/>
  <c r="AB126" i="57"/>
  <c r="AA126" i="57"/>
  <c r="AB37" i="57"/>
  <c r="AA37" i="57"/>
  <c r="AF126" i="57"/>
  <c r="AO23" i="22"/>
  <c r="AP259" i="50"/>
  <c r="L24" i="73" s="1"/>
  <c r="H32" i="73" s="1"/>
  <c r="Y32" i="46"/>
  <c r="L135" i="22" s="1"/>
  <c r="BD125" i="22"/>
  <c r="E139" i="72" s="1"/>
  <c r="AP26" i="22"/>
  <c r="AA161" i="57"/>
  <c r="AB161" i="57"/>
  <c r="AB19" i="57"/>
  <c r="AA19" i="57"/>
  <c r="AB193" i="57"/>
  <c r="AA193" i="57"/>
  <c r="AA226" i="57"/>
  <c r="AB226" i="57"/>
  <c r="BD12" i="22"/>
  <c r="E20" i="72" s="1"/>
  <c r="AP27" i="22"/>
  <c r="AF63" i="57"/>
  <c r="BD105" i="22"/>
  <c r="E108" i="72" s="1"/>
  <c r="AP34" i="22"/>
  <c r="AB156" i="57"/>
  <c r="AA156" i="57"/>
  <c r="AA35" i="57"/>
  <c r="AB35" i="57"/>
  <c r="BD68" i="22"/>
  <c r="E77" i="72" s="1"/>
  <c r="AP30" i="22"/>
  <c r="BD9" i="22"/>
  <c r="E17" i="72" s="1"/>
  <c r="AP24" i="22"/>
  <c r="AA179" i="57"/>
  <c r="AB179" i="57"/>
  <c r="AO27" i="22"/>
  <c r="BD101" i="22"/>
  <c r="E113" i="72" s="1"/>
  <c r="AP29" i="22"/>
  <c r="D48" i="104"/>
  <c r="H33" i="73"/>
  <c r="H42" i="73" s="1"/>
  <c r="AF193" i="57"/>
  <c r="AO31" i="22"/>
  <c r="AB194" i="57"/>
  <c r="AA194" i="57"/>
  <c r="AB69" i="57"/>
  <c r="AA69" i="57"/>
  <c r="AA227" i="57"/>
  <c r="AB227" i="57"/>
  <c r="AF227" i="57"/>
  <c r="AB112" i="57"/>
  <c r="AA112" i="57"/>
  <c r="AA43" i="57"/>
  <c r="AB43" i="57"/>
  <c r="BD30" i="22"/>
  <c r="AP22" i="22"/>
  <c r="AB123" i="57"/>
  <c r="AA123" i="57"/>
  <c r="BD52" i="22"/>
  <c r="E62" i="72" s="1"/>
  <c r="AP28" i="22"/>
  <c r="AA189" i="57"/>
  <c r="AB189" i="57"/>
  <c r="AF195" i="57"/>
  <c r="AB195" i="57"/>
  <c r="AA195" i="57"/>
  <c r="L15" i="65" l="1"/>
  <c r="M15" i="65" s="1"/>
  <c r="O15" i="65"/>
  <c r="C15" i="65"/>
  <c r="R12" i="65"/>
  <c r="S12" i="65" s="1"/>
  <c r="AE12" i="65"/>
  <c r="U12" i="65"/>
  <c r="AV12" i="65"/>
  <c r="AF12" i="65"/>
  <c r="Q12" i="65"/>
  <c r="AH12" i="65"/>
  <c r="C14" i="65"/>
  <c r="L14" i="65"/>
  <c r="M14" i="65" s="1"/>
  <c r="O14" i="65"/>
  <c r="N13" i="65"/>
  <c r="AM13" i="65"/>
  <c r="P13" i="65"/>
  <c r="D13" i="65"/>
  <c r="E13" i="65" s="1"/>
  <c r="F13" i="65" s="1"/>
  <c r="G13" i="65" s="1"/>
  <c r="H13" i="65" s="1"/>
  <c r="I13" i="65" s="1"/>
  <c r="J13" i="65" s="1"/>
  <c r="K13" i="65" s="1"/>
  <c r="AN15" i="63" a="1"/>
  <c r="AN15" i="63" s="1"/>
  <c r="Y12" i="65"/>
  <c r="C16" i="65"/>
  <c r="L16" i="65"/>
  <c r="M16" i="65" s="1"/>
  <c r="O16" i="65"/>
  <c r="AO15" i="63" a="1"/>
  <c r="AO15" i="63" s="1"/>
  <c r="O12" i="53"/>
  <c r="AG12" i="53" s="1"/>
  <c r="B16" i="53"/>
  <c r="AK15" i="52" a="1"/>
  <c r="AK15" i="52" s="1"/>
  <c r="B17" i="53" s="1"/>
  <c r="AJ15" i="52" a="1"/>
  <c r="AJ15" i="52" s="1"/>
  <c r="AJ16" i="52" s="1" a="1"/>
  <c r="AJ16" i="52" s="1"/>
  <c r="AE14" i="53"/>
  <c r="AH14" i="53"/>
  <c r="Q14" i="53"/>
  <c r="AC14" i="53"/>
  <c r="R14" i="53"/>
  <c r="X14" i="53" s="1"/>
  <c r="AT14" i="53"/>
  <c r="AD14" i="53"/>
  <c r="AG13" i="53"/>
  <c r="AE13" i="53"/>
  <c r="AC13" i="53"/>
  <c r="AH13" i="53"/>
  <c r="AT13" i="53"/>
  <c r="R13" i="53"/>
  <c r="X13" i="53" s="1"/>
  <c r="AD13" i="53"/>
  <c r="Q13" i="53"/>
  <c r="B15" i="53"/>
  <c r="AM16" i="11" a="1"/>
  <c r="AM16" i="11" s="1"/>
  <c r="E33" i="72"/>
  <c r="E15" i="32"/>
  <c r="U13" i="32"/>
  <c r="AD13" i="32" s="1"/>
  <c r="AM13" i="32"/>
  <c r="T14" i="32"/>
  <c r="O14" i="32"/>
  <c r="B14" i="32"/>
  <c r="R14" i="32" s="1"/>
  <c r="S14" i="32" s="1"/>
  <c r="H14" i="32"/>
  <c r="K14" i="32"/>
  <c r="L14" i="32"/>
  <c r="G14" i="32"/>
  <c r="I14" i="32"/>
  <c r="AK14" i="32"/>
  <c r="M14" i="32"/>
  <c r="J14" i="32"/>
  <c r="F14" i="32"/>
  <c r="N14" i="32"/>
  <c r="A14" i="32"/>
  <c r="Q14" i="32" s="1"/>
  <c r="P14" i="32" s="1"/>
  <c r="AL12" i="32"/>
  <c r="AG12" i="32"/>
  <c r="AH12" i="32" s="1"/>
  <c r="AI12" i="32" s="1"/>
  <c r="AN12" i="32" s="1"/>
  <c r="W13" i="32"/>
  <c r="X13" i="32" s="1"/>
  <c r="V13" i="32"/>
  <c r="C13" i="32"/>
  <c r="AJ13" i="32"/>
  <c r="Z13" i="32"/>
  <c r="AL15" i="11" a="1"/>
  <c r="AL15" i="11" s="1"/>
  <c r="AK17" i="11" a="1"/>
  <c r="AK17" i="11" s="1"/>
  <c r="AK18" i="11" s="1" a="1"/>
  <c r="AK18" i="11" s="1"/>
  <c r="X2" i="57"/>
  <c r="D37" i="104"/>
  <c r="D38" i="104" s="1"/>
  <c r="E41" i="72"/>
  <c r="E83" i="72" s="1"/>
  <c r="J33" i="73"/>
  <c r="J32" i="73"/>
  <c r="H41" i="73"/>
  <c r="D25" i="104"/>
  <c r="D26" i="104" s="1"/>
  <c r="E96" i="72"/>
  <c r="E116" i="72" s="1"/>
  <c r="B17" i="65" l="1"/>
  <c r="AO16" i="63" a="1"/>
  <c r="AO16" i="63" s="1"/>
  <c r="AB12" i="65"/>
  <c r="AC12" i="65" s="1"/>
  <c r="AD12" i="65" s="1"/>
  <c r="N15" i="65"/>
  <c r="P15" i="65"/>
  <c r="D15" i="65"/>
  <c r="E15" i="65" s="1"/>
  <c r="F15" i="65" s="1"/>
  <c r="G15" i="65" s="1"/>
  <c r="H15" i="65" s="1"/>
  <c r="I15" i="65" s="1"/>
  <c r="J15" i="65" s="1"/>
  <c r="K15" i="65" s="1"/>
  <c r="AM15" i="65"/>
  <c r="AN16" i="63" a="1"/>
  <c r="AN16" i="63" s="1"/>
  <c r="D14" i="65"/>
  <c r="E14" i="65" s="1"/>
  <c r="F14" i="65" s="1"/>
  <c r="G14" i="65" s="1"/>
  <c r="H14" i="65" s="1"/>
  <c r="I14" i="65" s="1"/>
  <c r="J14" i="65" s="1"/>
  <c r="K14" i="65" s="1"/>
  <c r="P14" i="65"/>
  <c r="N14" i="65"/>
  <c r="AM14" i="65"/>
  <c r="AO17" i="63" a="1"/>
  <c r="AO17" i="63" s="1"/>
  <c r="AG12" i="65"/>
  <c r="AN17" i="63" a="1"/>
  <c r="AN17" i="63" s="1"/>
  <c r="P16" i="65"/>
  <c r="N16" i="65"/>
  <c r="AM16" i="65"/>
  <c r="D16" i="65"/>
  <c r="E16" i="65" s="1"/>
  <c r="F16" i="65" s="1"/>
  <c r="G16" i="65" s="1"/>
  <c r="H16" i="65" s="1"/>
  <c r="I16" i="65" s="1"/>
  <c r="J16" i="65" s="1"/>
  <c r="K16" i="65" s="1"/>
  <c r="AV13" i="65"/>
  <c r="AH13" i="65"/>
  <c r="Q13" i="65"/>
  <c r="R13" i="65"/>
  <c r="S13" i="65" s="1"/>
  <c r="Y13" i="65" s="1"/>
  <c r="AE13" i="65"/>
  <c r="U13" i="65"/>
  <c r="AF13" i="65"/>
  <c r="X12" i="53"/>
  <c r="AF13" i="53"/>
  <c r="AA13" i="53"/>
  <c r="AB13" i="53"/>
  <c r="P15" i="53"/>
  <c r="E15" i="53"/>
  <c r="O15" i="53"/>
  <c r="K15" i="53"/>
  <c r="C15" i="53"/>
  <c r="N15" i="53"/>
  <c r="I15" i="53"/>
  <c r="J15" i="53"/>
  <c r="G15" i="53"/>
  <c r="L15" i="53"/>
  <c r="D15" i="53"/>
  <c r="F15" i="53"/>
  <c r="H15" i="53"/>
  <c r="M15" i="53"/>
  <c r="AJ17" i="52" a="1"/>
  <c r="AJ17" i="52" s="1"/>
  <c r="AJ18" i="52" s="1" a="1"/>
  <c r="AJ18" i="52" s="1"/>
  <c r="AA14" i="53"/>
  <c r="AB14" i="53"/>
  <c r="H16" i="53"/>
  <c r="I16" i="53"/>
  <c r="M16" i="53"/>
  <c r="K16" i="53"/>
  <c r="E16" i="53"/>
  <c r="N16" i="53"/>
  <c r="J16" i="53"/>
  <c r="D16" i="53"/>
  <c r="P16" i="53"/>
  <c r="L16" i="53"/>
  <c r="O16" i="53"/>
  <c r="AG16" i="53" s="1"/>
  <c r="G16" i="53"/>
  <c r="F16" i="53"/>
  <c r="C16" i="53"/>
  <c r="AF14" i="53"/>
  <c r="AK16" i="52" a="1"/>
  <c r="AK16" i="52" s="1"/>
  <c r="K17" i="53"/>
  <c r="F17" i="53"/>
  <c r="G17" i="53"/>
  <c r="J17" i="53"/>
  <c r="N17" i="53"/>
  <c r="D17" i="53"/>
  <c r="H17" i="53"/>
  <c r="C17" i="53"/>
  <c r="P17" i="53"/>
  <c r="E17" i="53"/>
  <c r="I17" i="53"/>
  <c r="L17" i="53"/>
  <c r="M17" i="53"/>
  <c r="O17" i="53"/>
  <c r="AG17" i="53" s="1"/>
  <c r="AM17" i="11" a="1"/>
  <c r="AM17" i="11" s="1"/>
  <c r="U14" i="32"/>
  <c r="AD14" i="32" s="1"/>
  <c r="AG14" i="32" s="1"/>
  <c r="AH14" i="32" s="1"/>
  <c r="AI14" i="32" s="1"/>
  <c r="AM14" i="32"/>
  <c r="AG13" i="32"/>
  <c r="AH13" i="32" s="1"/>
  <c r="AI13" i="32" s="1"/>
  <c r="AN13" i="32" s="1"/>
  <c r="AJ14" i="32"/>
  <c r="C14" i="32"/>
  <c r="W14" i="32"/>
  <c r="X14" i="32" s="1"/>
  <c r="Z14" i="32"/>
  <c r="V14" i="32"/>
  <c r="AL13" i="32"/>
  <c r="E16" i="32"/>
  <c r="T15" i="32"/>
  <c r="O15" i="32"/>
  <c r="K15" i="32"/>
  <c r="J15" i="32"/>
  <c r="M15" i="32"/>
  <c r="H15" i="32"/>
  <c r="A15" i="32"/>
  <c r="Q15" i="32" s="1"/>
  <c r="P15" i="32" s="1"/>
  <c r="N15" i="32"/>
  <c r="B15" i="32"/>
  <c r="R15" i="32" s="1"/>
  <c r="S15" i="32" s="1"/>
  <c r="G15" i="32"/>
  <c r="L15" i="32"/>
  <c r="AK15" i="32"/>
  <c r="F15" i="32"/>
  <c r="I15" i="32"/>
  <c r="AL16" i="11" a="1"/>
  <c r="AL16" i="11" s="1"/>
  <c r="E17" i="32" s="1"/>
  <c r="AK19" i="11" a="1"/>
  <c r="AK19" i="11" s="1"/>
  <c r="AK20" i="11" s="1" a="1"/>
  <c r="AK20" i="11" s="1"/>
  <c r="AK21" i="11" s="1" a="1"/>
  <c r="AK21" i="11" s="1"/>
  <c r="AK22" i="11" s="1" a="1"/>
  <c r="AK22" i="11" s="1"/>
  <c r="AK23" i="11" s="1" a="1"/>
  <c r="AK23" i="11" s="1"/>
  <c r="AB13" i="65" l="1"/>
  <c r="AC13" i="65" s="1"/>
  <c r="AD13" i="65" s="1"/>
  <c r="B19" i="65"/>
  <c r="AO18" i="63" a="1"/>
  <c r="AO18" i="63" s="1"/>
  <c r="AE15" i="65"/>
  <c r="R15" i="65"/>
  <c r="S15" i="65" s="1"/>
  <c r="Y15" i="65" s="1"/>
  <c r="AB15" i="65" s="1"/>
  <c r="AC15" i="65" s="1"/>
  <c r="AD15" i="65" s="1"/>
  <c r="AV15" i="65"/>
  <c r="AH15" i="65"/>
  <c r="Q15" i="65"/>
  <c r="AF15" i="65"/>
  <c r="AG15" i="65" s="1"/>
  <c r="U15" i="65"/>
  <c r="B18" i="65"/>
  <c r="AO19" i="63" a="1"/>
  <c r="AO19" i="63" s="1"/>
  <c r="B21" i="65" s="1"/>
  <c r="Q14" i="65"/>
  <c r="AE14" i="65"/>
  <c r="AH14" i="65"/>
  <c r="AF14" i="65"/>
  <c r="AG14" i="65" s="1"/>
  <c r="R14" i="65"/>
  <c r="S14" i="65" s="1"/>
  <c r="Y14" i="65" s="1"/>
  <c r="AB14" i="65" s="1"/>
  <c r="AC14" i="65" s="1"/>
  <c r="AD14" i="65" s="1"/>
  <c r="U14" i="65"/>
  <c r="AV14" i="65"/>
  <c r="AG13" i="65"/>
  <c r="C17" i="65"/>
  <c r="L17" i="65"/>
  <c r="M17" i="65" s="1"/>
  <c r="O17" i="65"/>
  <c r="R16" i="65"/>
  <c r="S16" i="65" s="1"/>
  <c r="Y16" i="65" s="1"/>
  <c r="AB16" i="65" s="1"/>
  <c r="AC16" i="65" s="1"/>
  <c r="AD16" i="65" s="1"/>
  <c r="U16" i="65"/>
  <c r="AF16" i="65"/>
  <c r="AG16" i="65" s="1"/>
  <c r="Q16" i="65"/>
  <c r="AE16" i="65"/>
  <c r="AV16" i="65"/>
  <c r="AH16" i="65"/>
  <c r="AN18" i="63" a="1"/>
  <c r="AN18" i="63" s="1"/>
  <c r="AA12" i="53"/>
  <c r="AE12" i="53" s="1"/>
  <c r="AF12" i="53" s="1"/>
  <c r="AJ19" i="52" a="1"/>
  <c r="AJ19" i="52" s="1"/>
  <c r="R15" i="53"/>
  <c r="X15" i="53" s="1"/>
  <c r="AT15" i="53"/>
  <c r="AH15" i="53"/>
  <c r="AD15" i="53"/>
  <c r="AC15" i="53"/>
  <c r="Q15" i="53"/>
  <c r="AE15" i="53"/>
  <c r="AC16" i="53"/>
  <c r="AH16" i="53"/>
  <c r="AE16" i="53"/>
  <c r="AD16" i="53"/>
  <c r="R16" i="53"/>
  <c r="X16" i="53" s="1"/>
  <c r="AT16" i="53"/>
  <c r="Q16" i="53"/>
  <c r="AD17" i="53"/>
  <c r="AH17" i="53"/>
  <c r="AC17" i="53"/>
  <c r="R17" i="53"/>
  <c r="X17" i="53" s="1"/>
  <c r="AT17" i="53"/>
  <c r="Q17" i="53"/>
  <c r="AE17" i="53"/>
  <c r="B18" i="53"/>
  <c r="AK17" i="52" a="1"/>
  <c r="AK17" i="52" s="1"/>
  <c r="AK18" i="52" s="1" a="1"/>
  <c r="AK18" i="52" s="1"/>
  <c r="B20" i="53" s="1"/>
  <c r="AG15" i="53"/>
  <c r="AL17" i="11" a="1"/>
  <c r="AL17" i="11" s="1"/>
  <c r="E18" i="32" s="1"/>
  <c r="AM18" i="11" a="1"/>
  <c r="AM18" i="11" s="1"/>
  <c r="AL14" i="32"/>
  <c r="AJ15" i="32"/>
  <c r="V15" i="32"/>
  <c r="W15" i="32"/>
  <c r="X15" i="32" s="1"/>
  <c r="Z15" i="32"/>
  <c r="C15" i="32"/>
  <c r="O16" i="32"/>
  <c r="T16" i="32"/>
  <c r="A16" i="32"/>
  <c r="Q16" i="32" s="1"/>
  <c r="P16" i="32" s="1"/>
  <c r="F16" i="32"/>
  <c r="G16" i="32"/>
  <c r="B16" i="32"/>
  <c r="R16" i="32" s="1"/>
  <c r="S16" i="32" s="1"/>
  <c r="L16" i="32"/>
  <c r="N16" i="32"/>
  <c r="H16" i="32"/>
  <c r="I16" i="32"/>
  <c r="J16" i="32"/>
  <c r="K16" i="32"/>
  <c r="M16" i="32"/>
  <c r="AK16" i="32"/>
  <c r="AL18" i="11" a="1"/>
  <c r="AL18" i="11" s="1"/>
  <c r="T18" i="32"/>
  <c r="O18" i="32"/>
  <c r="J18" i="32"/>
  <c r="L18" i="32"/>
  <c r="AK18" i="32"/>
  <c r="I18" i="32"/>
  <c r="K18" i="32"/>
  <c r="M18" i="32"/>
  <c r="H18" i="32"/>
  <c r="A18" i="32"/>
  <c r="Q18" i="32" s="1"/>
  <c r="P18" i="32" s="1"/>
  <c r="B18" i="32"/>
  <c r="R18" i="32" s="1"/>
  <c r="S18" i="32" s="1"/>
  <c r="F18" i="32"/>
  <c r="N18" i="32"/>
  <c r="G18" i="32"/>
  <c r="U15" i="32"/>
  <c r="AD15" i="32" s="1"/>
  <c r="AM15" i="32"/>
  <c r="AN14" i="32"/>
  <c r="I17" i="32"/>
  <c r="O17" i="32"/>
  <c r="T17" i="32"/>
  <c r="L17" i="32"/>
  <c r="G17" i="32"/>
  <c r="A17" i="32"/>
  <c r="Q17" i="32" s="1"/>
  <c r="P17" i="32" s="1"/>
  <c r="B17" i="32"/>
  <c r="R17" i="32" s="1"/>
  <c r="S17" i="32" s="1"/>
  <c r="H17" i="32"/>
  <c r="K17" i="32"/>
  <c r="M17" i="32"/>
  <c r="J17" i="32"/>
  <c r="F17" i="32"/>
  <c r="N17" i="32"/>
  <c r="AK17" i="32"/>
  <c r="AK24" i="11" a="1"/>
  <c r="AK24" i="11" s="1"/>
  <c r="AK25" i="11" s="1" a="1"/>
  <c r="AK25" i="11" s="1"/>
  <c r="AK26" i="11" s="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L18" i="65" l="1"/>
  <c r="M18" i="65" s="1"/>
  <c r="O18" i="65"/>
  <c r="C18" i="65"/>
  <c r="L21" i="65"/>
  <c r="M21" i="65" s="1"/>
  <c r="C21" i="65"/>
  <c r="O21" i="65"/>
  <c r="P17" i="65"/>
  <c r="D17" i="65"/>
  <c r="E17" i="65" s="1"/>
  <c r="F17" i="65" s="1"/>
  <c r="G17" i="65" s="1"/>
  <c r="H17" i="65" s="1"/>
  <c r="I17" i="65" s="1"/>
  <c r="J17" i="65" s="1"/>
  <c r="K17" i="65" s="1"/>
  <c r="AM17" i="65"/>
  <c r="N17" i="65"/>
  <c r="B20" i="65"/>
  <c r="AO20" i="63" a="1"/>
  <c r="AO20" i="63" s="1"/>
  <c r="L19" i="65"/>
  <c r="M19" i="65" s="1"/>
  <c r="O19" i="65"/>
  <c r="C19" i="65"/>
  <c r="AN19" i="63" a="1"/>
  <c r="AN19" i="63" s="1"/>
  <c r="AB12" i="53"/>
  <c r="AC12" i="53" s="1"/>
  <c r="AH12" i="53" s="1"/>
  <c r="AA15" i="53"/>
  <c r="AB15" i="53"/>
  <c r="B19" i="53"/>
  <c r="AA16" i="53"/>
  <c r="AB16" i="53"/>
  <c r="AJ20" i="52" a="1"/>
  <c r="AJ20" i="52" s="1"/>
  <c r="J20" i="53"/>
  <c r="L20" i="53"/>
  <c r="G20" i="53"/>
  <c r="O20" i="53"/>
  <c r="AG20" i="53" s="1"/>
  <c r="H20" i="53"/>
  <c r="I20" i="53"/>
  <c r="P20" i="53"/>
  <c r="M20" i="53"/>
  <c r="D20" i="53"/>
  <c r="N20" i="53"/>
  <c r="E20" i="53"/>
  <c r="K20" i="53"/>
  <c r="C20" i="53"/>
  <c r="F20" i="53"/>
  <c r="M18" i="53"/>
  <c r="G18" i="53"/>
  <c r="O18" i="53"/>
  <c r="P18" i="53"/>
  <c r="J18" i="53"/>
  <c r="F18" i="53"/>
  <c r="E18" i="53"/>
  <c r="D18" i="53"/>
  <c r="H18" i="53"/>
  <c r="K18" i="53"/>
  <c r="N18" i="53"/>
  <c r="C18" i="53"/>
  <c r="I18" i="53"/>
  <c r="L18" i="53"/>
  <c r="AF16" i="53"/>
  <c r="AF17" i="53"/>
  <c r="AK19" i="52" a="1"/>
  <c r="AK19" i="52" s="1"/>
  <c r="AA17" i="53"/>
  <c r="AB17" i="53"/>
  <c r="AF15" i="53"/>
  <c r="AM19" i="11" a="1"/>
  <c r="AM19" i="11" s="1"/>
  <c r="AL15" i="32"/>
  <c r="U18" i="32"/>
  <c r="AD18" i="32" s="1"/>
  <c r="AG18" i="32" s="1"/>
  <c r="AH18" i="32" s="1"/>
  <c r="AI18" i="32" s="1"/>
  <c r="AM18" i="32"/>
  <c r="U16" i="32"/>
  <c r="AD16" i="32" s="1"/>
  <c r="AG16" i="32" s="1"/>
  <c r="AH16" i="32" s="1"/>
  <c r="AI16" i="32" s="1"/>
  <c r="AM16" i="32"/>
  <c r="U17" i="32"/>
  <c r="AD17" i="32" s="1"/>
  <c r="AG17" i="32" s="1"/>
  <c r="AH17" i="32" s="1"/>
  <c r="AI17" i="32" s="1"/>
  <c r="AM17" i="32"/>
  <c r="V18" i="32"/>
  <c r="Z18" i="32"/>
  <c r="AJ18" i="32"/>
  <c r="C18" i="32"/>
  <c r="W18" i="32"/>
  <c r="X18" i="32" s="1"/>
  <c r="AG15" i="32"/>
  <c r="AH15" i="32" s="1"/>
  <c r="AI15" i="32" s="1"/>
  <c r="AN15" i="32" s="1"/>
  <c r="AJ17" i="32"/>
  <c r="W17" i="32"/>
  <c r="X17" i="32" s="1"/>
  <c r="Z17" i="32"/>
  <c r="C17" i="32"/>
  <c r="V17" i="32"/>
  <c r="E19" i="32"/>
  <c r="AL19" i="11" a="1"/>
  <c r="AL19" i="11" s="1"/>
  <c r="W16" i="32"/>
  <c r="X16" i="32" s="1"/>
  <c r="AJ16" i="32"/>
  <c r="V16" i="32"/>
  <c r="C16" i="32"/>
  <c r="Z16" i="32"/>
  <c r="AK125" i="1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AN20" i="63" l="1" a="1"/>
  <c r="AN20" i="63" s="1"/>
  <c r="AV17" i="65"/>
  <c r="AE17" i="65"/>
  <c r="Q17" i="65"/>
  <c r="U17" i="65"/>
  <c r="AF17" i="65"/>
  <c r="R17" i="65"/>
  <c r="S17" i="65" s="1"/>
  <c r="Y17" i="65" s="1"/>
  <c r="AH17" i="65"/>
  <c r="AM21" i="65"/>
  <c r="N21" i="65"/>
  <c r="P21" i="65"/>
  <c r="D21" i="65"/>
  <c r="E21" i="65" s="1"/>
  <c r="F21" i="65" s="1"/>
  <c r="G21" i="65" s="1"/>
  <c r="H21" i="65" s="1"/>
  <c r="I21" i="65" s="1"/>
  <c r="J21" i="65" s="1"/>
  <c r="K21" i="65" s="1"/>
  <c r="N19" i="65"/>
  <c r="D19" i="65"/>
  <c r="E19" i="65" s="1"/>
  <c r="F19" i="65" s="1"/>
  <c r="G19" i="65" s="1"/>
  <c r="H19" i="65" s="1"/>
  <c r="I19" i="65" s="1"/>
  <c r="J19" i="65" s="1"/>
  <c r="K19" i="65" s="1"/>
  <c r="AM19" i="65"/>
  <c r="P19" i="65"/>
  <c r="B22" i="65"/>
  <c r="AO21" i="63" a="1"/>
  <c r="AO21" i="63" s="1"/>
  <c r="B23" i="65" s="1"/>
  <c r="L20" i="65"/>
  <c r="M20" i="65" s="1"/>
  <c r="O20" i="65"/>
  <c r="C20" i="65"/>
  <c r="N18" i="65"/>
  <c r="P18" i="65"/>
  <c r="AM18" i="65"/>
  <c r="D18" i="65"/>
  <c r="E18" i="65" s="1"/>
  <c r="F18" i="65" s="1"/>
  <c r="G18" i="65" s="1"/>
  <c r="H18" i="65" s="1"/>
  <c r="I18" i="65" s="1"/>
  <c r="J18" i="65" s="1"/>
  <c r="K18" i="65" s="1"/>
  <c r="O19" i="53"/>
  <c r="AG19" i="53" s="1"/>
  <c r="C19" i="53"/>
  <c r="N19" i="53"/>
  <c r="P19" i="53"/>
  <c r="E19" i="53"/>
  <c r="L19" i="53"/>
  <c r="D19" i="53"/>
  <c r="K19" i="53"/>
  <c r="F19" i="53"/>
  <c r="I19" i="53"/>
  <c r="J19" i="53"/>
  <c r="H19" i="53"/>
  <c r="G19" i="53"/>
  <c r="M19" i="53"/>
  <c r="AG18" i="53"/>
  <c r="AJ21" i="52" a="1"/>
  <c r="AJ21" i="52" s="1"/>
  <c r="AD18" i="53"/>
  <c r="AE18" i="53"/>
  <c r="AC18" i="53"/>
  <c r="R18" i="53"/>
  <c r="X18" i="53" s="1"/>
  <c r="AH18" i="53"/>
  <c r="AT18" i="53"/>
  <c r="Q18" i="53"/>
  <c r="AD20" i="53"/>
  <c r="AT20" i="53"/>
  <c r="AC20" i="53"/>
  <c r="AE20" i="53"/>
  <c r="AH20" i="53"/>
  <c r="R20" i="53"/>
  <c r="X20" i="53" s="1"/>
  <c r="Q20" i="53"/>
  <c r="B21" i="53"/>
  <c r="AK20" i="52" a="1"/>
  <c r="AK20" i="52" s="1"/>
  <c r="AM20" i="11" a="1"/>
  <c r="AM20" i="11" s="1"/>
  <c r="AL18" i="32"/>
  <c r="AN17" i="32"/>
  <c r="AL17" i="32"/>
  <c r="AN18" i="32"/>
  <c r="T19" i="32"/>
  <c r="O19" i="32"/>
  <c r="H19" i="32"/>
  <c r="L19" i="32"/>
  <c r="A19" i="32"/>
  <c r="Q19" i="32" s="1"/>
  <c r="P19" i="32" s="1"/>
  <c r="G19" i="32"/>
  <c r="I19" i="32"/>
  <c r="N19" i="32"/>
  <c r="F19" i="32"/>
  <c r="K19" i="32"/>
  <c r="B19" i="32"/>
  <c r="R19" i="32" s="1"/>
  <c r="S19" i="32" s="1"/>
  <c r="M19" i="32"/>
  <c r="J19" i="32"/>
  <c r="AK19" i="32"/>
  <c r="AL16" i="32"/>
  <c r="E20" i="32"/>
  <c r="AL20" i="11" a="1"/>
  <c r="AL20" i="11" s="1"/>
  <c r="AN16" i="32"/>
  <c r="R21" i="65" l="1"/>
  <c r="S21" i="65" s="1"/>
  <c r="Q21" i="65"/>
  <c r="U21" i="65"/>
  <c r="AH21" i="65"/>
  <c r="AV21" i="65"/>
  <c r="AE21" i="65"/>
  <c r="AF21" i="65"/>
  <c r="AO22" i="63" a="1"/>
  <c r="AO22" i="63" s="1"/>
  <c r="U19" i="65"/>
  <c r="AV19" i="65"/>
  <c r="R19" i="65"/>
  <c r="S19" i="65" s="1"/>
  <c r="AE19" i="65"/>
  <c r="Q19" i="65"/>
  <c r="AH19" i="65"/>
  <c r="AF19" i="65"/>
  <c r="C22" i="65"/>
  <c r="L22" i="65"/>
  <c r="M22" i="65" s="1"/>
  <c r="O22" i="65"/>
  <c r="Y18" i="65"/>
  <c r="AB18" i="65" s="1"/>
  <c r="AC18" i="65" s="1"/>
  <c r="AD18" i="65" s="1"/>
  <c r="U18" i="65"/>
  <c r="Q18" i="65"/>
  <c r="AE18" i="65"/>
  <c r="AV18" i="65"/>
  <c r="R18" i="65"/>
  <c r="S18" i="65" s="1"/>
  <c r="AH18" i="65"/>
  <c r="AF18" i="65"/>
  <c r="C23" i="65"/>
  <c r="L23" i="65"/>
  <c r="M23" i="65" s="1"/>
  <c r="O23" i="65"/>
  <c r="AB17" i="65"/>
  <c r="AC17" i="65" s="1"/>
  <c r="AD17" i="65" s="1"/>
  <c r="AN21" i="63" a="1"/>
  <c r="AN21" i="63" s="1"/>
  <c r="AN22" i="63" s="1" a="1"/>
  <c r="AN22" i="63" s="1"/>
  <c r="AN23" i="63" s="1" a="1"/>
  <c r="AN23" i="63" s="1"/>
  <c r="AN24" i="63" s="1" a="1"/>
  <c r="AN24" i="63" s="1"/>
  <c r="AN25" i="63" s="1" a="1"/>
  <c r="AN25" i="63" s="1"/>
  <c r="AN26" i="63" s="1" a="1"/>
  <c r="AN26" i="63" s="1"/>
  <c r="AN27" i="63" s="1" a="1"/>
  <c r="AN27" i="63" s="1"/>
  <c r="AN28" i="63" s="1" a="1"/>
  <c r="AN28" i="63" s="1"/>
  <c r="AN29" i="63" s="1" a="1"/>
  <c r="AN29" i="63" s="1"/>
  <c r="AN30" i="63" s="1" a="1"/>
  <c r="AN30" i="63" s="1"/>
  <c r="AN31" i="63" s="1" a="1"/>
  <c r="AN31" i="63" s="1"/>
  <c r="AN32" i="63" s="1" a="1"/>
  <c r="AN32" i="63" s="1"/>
  <c r="AN33" i="63" s="1" a="1"/>
  <c r="AN33" i="63" s="1"/>
  <c r="AN34" i="63" s="1"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AG17" i="65"/>
  <c r="D20" i="65"/>
  <c r="E20" i="65" s="1"/>
  <c r="F20" i="65" s="1"/>
  <c r="G20" i="65" s="1"/>
  <c r="H20" i="65" s="1"/>
  <c r="I20" i="65" s="1"/>
  <c r="J20" i="65" s="1"/>
  <c r="K20" i="65" s="1"/>
  <c r="N20" i="65"/>
  <c r="P20" i="65"/>
  <c r="AM20" i="65"/>
  <c r="Y19" i="65"/>
  <c r="AB19" i="65" s="1"/>
  <c r="AC19" i="65" s="1"/>
  <c r="AD19" i="65" s="1"/>
  <c r="Y21" i="65"/>
  <c r="AB21" i="65" s="1"/>
  <c r="AC21" i="65" s="1"/>
  <c r="AD21" i="65" s="1"/>
  <c r="AA18" i="53"/>
  <c r="AB18" i="53"/>
  <c r="AF18" i="53"/>
  <c r="B22" i="53"/>
  <c r="AK21" i="52" a="1"/>
  <c r="AK21" i="52" s="1"/>
  <c r="AF20" i="53"/>
  <c r="AJ22" i="52"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J105" i="52" s="1"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P21" i="53"/>
  <c r="I21" i="53"/>
  <c r="J21" i="53"/>
  <c r="O21" i="53"/>
  <c r="AG21" i="53" s="1"/>
  <c r="E21" i="53"/>
  <c r="N21" i="53"/>
  <c r="F21" i="53"/>
  <c r="K21" i="53"/>
  <c r="C21" i="53"/>
  <c r="H21" i="53"/>
  <c r="M21" i="53"/>
  <c r="L21" i="53"/>
  <c r="D21" i="53"/>
  <c r="G21" i="53"/>
  <c r="AA20" i="53"/>
  <c r="AB20" i="53"/>
  <c r="AC19" i="53"/>
  <c r="R19" i="53"/>
  <c r="X19" i="53" s="1"/>
  <c r="AH19" i="53"/>
  <c r="AD19" i="53"/>
  <c r="Q19" i="53"/>
  <c r="AE19" i="53"/>
  <c r="AT19" i="53"/>
  <c r="AM21" i="11" a="1"/>
  <c r="AM21" i="11" s="1"/>
  <c r="AM22" i="11" s="1" a="1"/>
  <c r="AM22" i="11" s="1"/>
  <c r="AM23" i="11" s="1" a="1"/>
  <c r="AM23" i="11" s="1"/>
  <c r="AM24" i="11" s="1" a="1"/>
  <c r="AM24" i="11" s="1"/>
  <c r="AM25" i="11" s="1" a="1"/>
  <c r="AM25" i="11" s="1"/>
  <c r="AM26" i="11" s="1" a="1"/>
  <c r="AM26" i="11" s="1"/>
  <c r="AM27" i="11" s="1" a="1"/>
  <c r="AM27" i="11" s="1"/>
  <c r="AM28" i="11" s="1" a="1"/>
  <c r="AM28" i="11" s="1"/>
  <c r="AM29" i="11" s="1" a="1"/>
  <c r="AM29" i="11" s="1"/>
  <c r="AM30" i="11" s="1" a="1"/>
  <c r="AM30" i="11" s="1"/>
  <c r="AM31" i="11" s="1" a="1"/>
  <c r="AM31" i="11" s="1"/>
  <c r="AM32" i="11" s="1" a="1"/>
  <c r="AM32" i="11" s="1"/>
  <c r="AM33" i="11" s="1" a="1"/>
  <c r="AM33" i="11" s="1"/>
  <c r="AM34" i="11" s="1" a="1"/>
  <c r="AM34" i="11" s="1"/>
  <c r="AM35" i="11" s="1" a="1"/>
  <c r="AM35" i="11" s="1"/>
  <c r="AM36" i="11" s="1" a="1"/>
  <c r="AM36" i="11" s="1"/>
  <c r="AM37" i="11" s="1" a="1"/>
  <c r="AM37" i="11" s="1"/>
  <c r="AM38" i="11" s="1" a="1"/>
  <c r="AM38" i="11" s="1"/>
  <c r="AM39" i="11" s="1" a="1"/>
  <c r="AM39" i="11" s="1"/>
  <c r="AM40" i="11" s="1" a="1"/>
  <c r="AM40" i="11" s="1"/>
  <c r="AM41" i="11" s="1" a="1"/>
  <c r="AM41" i="11" s="1"/>
  <c r="AM42" i="11" s="1" a="1"/>
  <c r="AM42" i="11" s="1"/>
  <c r="AM43" i="11" s="1" a="1"/>
  <c r="AM43" i="11" s="1"/>
  <c r="AM44" i="11" s="1" a="1"/>
  <c r="AM44" i="11" s="1"/>
  <c r="AM45" i="11" s="1" a="1"/>
  <c r="AM45" i="11" s="1"/>
  <c r="AM46" i="11" s="1" a="1"/>
  <c r="AM46" i="11" s="1"/>
  <c r="AM47" i="11" s="1" a="1"/>
  <c r="AM47" i="11" s="1"/>
  <c r="AM48" i="11" s="1" a="1"/>
  <c r="AM48" i="11" s="1"/>
  <c r="AM49" i="11" s="1" a="1"/>
  <c r="AM49" i="11" s="1"/>
  <c r="AM50" i="11" s="1" a="1"/>
  <c r="AM50" i="11" s="1"/>
  <c r="AM51" i="11" s="1" a="1"/>
  <c r="AM51" i="11" s="1"/>
  <c r="AM52" i="11" s="1" a="1"/>
  <c r="AM52" i="11" s="1"/>
  <c r="AM53" i="11" s="1" a="1"/>
  <c r="AM53" i="11" s="1"/>
  <c r="AM54" i="11" s="1" a="1"/>
  <c r="AM54" i="11" s="1"/>
  <c r="AM55" i="11" s="1" a="1"/>
  <c r="AM55" i="11" s="1"/>
  <c r="AM56" i="11" s="1" a="1"/>
  <c r="AM56" i="11" s="1"/>
  <c r="AM57" i="11" s="1" a="1"/>
  <c r="AM57" i="11" s="1"/>
  <c r="AM58" i="11" s="1" a="1"/>
  <c r="AM58" i="11" s="1"/>
  <c r="AM59" i="11" s="1" a="1"/>
  <c r="AM59" i="11" s="1"/>
  <c r="AM60" i="11" s="1" a="1"/>
  <c r="AM60" i="11" s="1"/>
  <c r="AM61" i="11" s="1" a="1"/>
  <c r="AM61" i="11" s="1"/>
  <c r="AM62" i="11" s="1" a="1"/>
  <c r="AM62" i="11" s="1"/>
  <c r="AM63" i="11" s="1" a="1"/>
  <c r="AM63" i="11" s="1"/>
  <c r="AM64" i="11" s="1" a="1"/>
  <c r="AM64" i="11" s="1"/>
  <c r="AM65" i="11" s="1" a="1"/>
  <c r="AM65" i="11" s="1"/>
  <c r="AM66" i="11" s="1" a="1"/>
  <c r="AM66" i="11" s="1"/>
  <c r="AM67" i="11" s="1" a="1"/>
  <c r="AM67" i="11" s="1"/>
  <c r="AM68" i="11" s="1" a="1"/>
  <c r="AM68" i="11" s="1"/>
  <c r="AM69" i="11" s="1" a="1"/>
  <c r="AM69" i="11" s="1"/>
  <c r="AM70" i="11" s="1" a="1"/>
  <c r="AM70" i="11" s="1"/>
  <c r="AM71" i="11" s="1" a="1"/>
  <c r="AM71" i="11" s="1"/>
  <c r="AM72" i="11" s="1" a="1"/>
  <c r="AM72" i="11" s="1"/>
  <c r="AM73" i="11" s="1" a="1"/>
  <c r="AM73" i="11" s="1"/>
  <c r="AM74" i="11" s="1" a="1"/>
  <c r="AM74" i="11" s="1"/>
  <c r="AM75" i="11" s="1" a="1"/>
  <c r="AM75" i="11" s="1"/>
  <c r="AM76" i="11" s="1" a="1"/>
  <c r="AM76" i="11" s="1"/>
  <c r="AM77" i="11" s="1" a="1"/>
  <c r="AM77" i="11" s="1"/>
  <c r="AM78" i="11" s="1" a="1"/>
  <c r="AM78" i="11" s="1"/>
  <c r="AM79" i="11" s="1" a="1"/>
  <c r="AM79" i="11" s="1"/>
  <c r="AM80" i="11" s="1" a="1"/>
  <c r="AM80" i="11" s="1"/>
  <c r="AM81" i="11" s="1" a="1"/>
  <c r="AM81" i="11" s="1"/>
  <c r="AM82" i="11" s="1" a="1"/>
  <c r="AM82" i="11" s="1"/>
  <c r="AM83" i="11" s="1" a="1"/>
  <c r="AM83" i="11" s="1"/>
  <c r="AM84" i="11" s="1" a="1"/>
  <c r="AM84" i="11" s="1"/>
  <c r="AM85" i="11" s="1" a="1"/>
  <c r="AM85" i="11" s="1"/>
  <c r="AM86" i="11" s="1" a="1"/>
  <c r="AM86" i="11" s="1"/>
  <c r="AM87" i="11" s="1" a="1"/>
  <c r="AM87" i="11" s="1"/>
  <c r="AM88" i="11" s="1" a="1"/>
  <c r="AM88" i="11" s="1"/>
  <c r="AM89" i="11" s="1" a="1"/>
  <c r="AM89" i="11" s="1"/>
  <c r="AM90" i="11" s="1" a="1"/>
  <c r="AM90" i="11" s="1"/>
  <c r="AM91" i="11" s="1" a="1"/>
  <c r="AM91" i="11" s="1"/>
  <c r="AM92" i="11" s="1" a="1"/>
  <c r="AM92" i="11" s="1"/>
  <c r="AM93" i="11" s="1" a="1"/>
  <c r="AM93" i="11" s="1"/>
  <c r="AM94" i="11" s="1" a="1"/>
  <c r="AM94" i="11" s="1"/>
  <c r="AM95" i="11" s="1" a="1"/>
  <c r="AM95" i="11" s="1"/>
  <c r="AM96" i="11" s="1" a="1"/>
  <c r="AM96" i="11" s="1"/>
  <c r="AM97" i="11" s="1" a="1"/>
  <c r="AM97" i="11" s="1"/>
  <c r="AM98" i="11" s="1" a="1"/>
  <c r="AM98" i="11" s="1"/>
  <c r="AM99" i="11" s="1" a="1"/>
  <c r="AM99" i="11" s="1"/>
  <c r="AM100" i="11" s="1" a="1"/>
  <c r="AM100" i="11" s="1"/>
  <c r="AM101" i="11" s="1" a="1"/>
  <c r="AM101" i="11" s="1"/>
  <c r="AM102" i="11" s="1" a="1"/>
  <c r="AM102" i="11" s="1"/>
  <c r="AM103" i="11" s="1" a="1"/>
  <c r="AM103" i="11" s="1"/>
  <c r="AM104" i="11" s="1" a="1"/>
  <c r="AM104" i="11" s="1"/>
  <c r="AM105" i="11" s="1" a="1"/>
  <c r="AM105" i="11" s="1"/>
  <c r="AM106" i="11" s="1" a="1"/>
  <c r="AM106" i="11" s="1"/>
  <c r="AM107" i="11" s="1" a="1"/>
  <c r="AM107" i="11" s="1"/>
  <c r="AM108" i="11" s="1" a="1"/>
  <c r="AM108" i="11" s="1"/>
  <c r="AM109" i="11" s="1" a="1"/>
  <c r="AM109" i="11" s="1"/>
  <c r="AM110" i="11" s="1" a="1"/>
  <c r="AM110" i="11" s="1"/>
  <c r="AM111" i="11" s="1" a="1"/>
  <c r="AM111" i="11" s="1"/>
  <c r="AM112" i="11" s="1" a="1"/>
  <c r="AM112" i="11" s="1"/>
  <c r="AM113" i="11" s="1" a="1"/>
  <c r="AM113" i="11" s="1"/>
  <c r="AM114" i="11" s="1" a="1"/>
  <c r="AM114" i="11" s="1"/>
  <c r="AM115" i="11" s="1" a="1"/>
  <c r="AM115" i="11" s="1"/>
  <c r="AM116" i="11" s="1" a="1"/>
  <c r="AM116" i="11" s="1"/>
  <c r="AM117" i="11" s="1" a="1"/>
  <c r="AM117" i="11" s="1"/>
  <c r="AM118" i="11" s="1" a="1"/>
  <c r="AM118" i="11" s="1"/>
  <c r="AM119" i="11" s="1" a="1"/>
  <c r="AM119" i="11" s="1"/>
  <c r="AM120" i="11" s="1" a="1"/>
  <c r="AM120" i="11" s="1"/>
  <c r="AM121" i="11" s="1" a="1"/>
  <c r="AM121" i="11" s="1"/>
  <c r="AM122" i="11" s="1" a="1"/>
  <c r="AM122" i="11" s="1"/>
  <c r="AM123" i="11" s="1" a="1"/>
  <c r="AM123" i="11" s="1"/>
  <c r="AM124" i="11" s="1" a="1"/>
  <c r="AM124" i="11" s="1"/>
  <c r="AM125" i="11" s="1" a="1"/>
  <c r="AM125" i="11" s="1"/>
  <c r="AM126" i="11" s="1" a="1"/>
  <c r="AM126" i="11" s="1"/>
  <c r="AM127" i="11" s="1" a="1"/>
  <c r="AM127" i="11" s="1"/>
  <c r="AM128" i="11" s="1" a="1"/>
  <c r="AM128" i="11" s="1"/>
  <c r="AM129" i="11" s="1" a="1"/>
  <c r="AM129" i="11" s="1"/>
  <c r="AM130" i="11" s="1" a="1"/>
  <c r="AM130" i="11" s="1"/>
  <c r="AM131" i="11" s="1" a="1"/>
  <c r="AM131" i="11" s="1"/>
  <c r="AM132" i="11" s="1" a="1"/>
  <c r="AM132" i="11" s="1"/>
  <c r="AM133" i="11" s="1" a="1"/>
  <c r="AM133" i="11" s="1"/>
  <c r="AM134" i="11" s="1" a="1"/>
  <c r="AM134" i="11" s="1"/>
  <c r="AM135" i="11" s="1" a="1"/>
  <c r="AM135" i="11" s="1"/>
  <c r="AM136" i="11" s="1" a="1"/>
  <c r="AM136" i="11" s="1"/>
  <c r="AM137" i="11" s="1" a="1"/>
  <c r="AM137" i="11" s="1"/>
  <c r="AM138" i="11" s="1" a="1"/>
  <c r="AM138" i="11" s="1"/>
  <c r="AM139" i="11" s="1" a="1"/>
  <c r="AM139" i="11" s="1"/>
  <c r="AM140" i="11" s="1" a="1"/>
  <c r="AM140" i="11" s="1"/>
  <c r="AM141" i="11" s="1" a="1"/>
  <c r="AM141" i="11" s="1"/>
  <c r="AM142" i="11" s="1" a="1"/>
  <c r="AM142" i="11" s="1"/>
  <c r="AM143" i="11" s="1" a="1"/>
  <c r="AM143" i="11" s="1"/>
  <c r="AM144" i="11" s="1" a="1"/>
  <c r="AM144" i="11" s="1"/>
  <c r="AM145" i="11" s="1" a="1"/>
  <c r="AM145" i="11" s="1"/>
  <c r="AM146" i="11" s="1" a="1"/>
  <c r="AM146" i="11" s="1"/>
  <c r="AM147" i="11" s="1" a="1"/>
  <c r="AM147" i="11" s="1"/>
  <c r="AM148" i="11" s="1" a="1"/>
  <c r="AM148" i="11" s="1"/>
  <c r="AM149" i="11" s="1" a="1"/>
  <c r="AM149" i="11" s="1"/>
  <c r="AM150" i="11" s="1" a="1"/>
  <c r="AM150" i="11" s="1"/>
  <c r="AM151" i="11" s="1" a="1"/>
  <c r="AM151" i="11" s="1"/>
  <c r="AM152" i="11" s="1" a="1"/>
  <c r="AM152" i="11" s="1"/>
  <c r="AM153" i="11" s="1" a="1"/>
  <c r="AM153" i="11" s="1"/>
  <c r="AM154" i="11" s="1" a="1"/>
  <c r="AM154" i="11" s="1"/>
  <c r="AM155" i="11" s="1" a="1"/>
  <c r="AM155" i="11" s="1"/>
  <c r="AM156" i="11" s="1" a="1"/>
  <c r="AM156" i="11" s="1"/>
  <c r="AM157" i="11" s="1" a="1"/>
  <c r="AM157" i="11" s="1"/>
  <c r="AM158" i="11" s="1" a="1"/>
  <c r="AM158" i="11" s="1"/>
  <c r="AM159" i="11" s="1" a="1"/>
  <c r="AM159" i="11" s="1"/>
  <c r="AM160" i="11" s="1" a="1"/>
  <c r="AM160" i="11" s="1"/>
  <c r="AM161" i="11" s="1" a="1"/>
  <c r="AM161" i="11" s="1"/>
  <c r="AM162" i="11" s="1" a="1"/>
  <c r="AM162" i="11" s="1"/>
  <c r="AM163" i="11" s="1" a="1"/>
  <c r="AM163" i="11" s="1"/>
  <c r="AM164" i="11" s="1" a="1"/>
  <c r="AM164" i="11" s="1"/>
  <c r="AM165" i="11" s="1" a="1"/>
  <c r="AM165" i="11" s="1"/>
  <c r="AM166" i="11" s="1" a="1"/>
  <c r="AM166" i="11" s="1"/>
  <c r="AM167" i="11" s="1" a="1"/>
  <c r="AM167" i="11" s="1"/>
  <c r="AM168" i="11" s="1" a="1"/>
  <c r="AM168" i="11" s="1"/>
  <c r="AM169" i="11" s="1" a="1"/>
  <c r="AM169" i="11" s="1"/>
  <c r="AM170" i="11" s="1" a="1"/>
  <c r="AM170" i="11" s="1"/>
  <c r="AM171" i="11" s="1" a="1"/>
  <c r="AM171" i="11" s="1"/>
  <c r="AM172" i="11" s="1" a="1"/>
  <c r="AM172" i="11" s="1"/>
  <c r="AM173" i="11" s="1" a="1"/>
  <c r="AM173" i="11" s="1"/>
  <c r="AM174" i="11" s="1" a="1"/>
  <c r="AM174" i="11" s="1"/>
  <c r="AM175" i="11" s="1" a="1"/>
  <c r="AM175" i="11" s="1"/>
  <c r="AM176" i="11" s="1" a="1"/>
  <c r="AM176" i="11" s="1"/>
  <c r="AM177" i="11" s="1" a="1"/>
  <c r="AM177" i="11" s="1"/>
  <c r="AM178" i="11" s="1" a="1"/>
  <c r="AM178" i="11" s="1"/>
  <c r="AM179" i="11" s="1" a="1"/>
  <c r="AM179" i="11" s="1"/>
  <c r="AM180" i="11" s="1" a="1"/>
  <c r="AM180" i="11" s="1"/>
  <c r="AM181" i="11" s="1" a="1"/>
  <c r="AM181" i="11" s="1"/>
  <c r="AM182" i="11" s="1" a="1"/>
  <c r="AM182" i="11" s="1"/>
  <c r="AM183" i="11" s="1" a="1"/>
  <c r="AM183" i="11" s="1"/>
  <c r="AM184" i="11" s="1" a="1"/>
  <c r="AM184" i="11" s="1"/>
  <c r="AM185" i="11" s="1" a="1"/>
  <c r="AM185" i="11" s="1"/>
  <c r="AM186" i="11" s="1" a="1"/>
  <c r="AM186" i="11" s="1"/>
  <c r="AM187" i="11" s="1" a="1"/>
  <c r="AM187" i="11" s="1"/>
  <c r="AM188" i="11" s="1" a="1"/>
  <c r="AM188" i="11" s="1"/>
  <c r="AM189" i="11" s="1" a="1"/>
  <c r="AM189" i="11" s="1"/>
  <c r="AM190" i="11" s="1" a="1"/>
  <c r="AM190" i="11" s="1"/>
  <c r="AM191" i="11" s="1" a="1"/>
  <c r="AM191" i="11" s="1"/>
  <c r="AM192" i="11" s="1" a="1"/>
  <c r="AM192" i="11" s="1"/>
  <c r="AM193" i="11" s="1" a="1"/>
  <c r="AM193" i="11" s="1"/>
  <c r="AM194" i="11" s="1" a="1"/>
  <c r="AM194" i="11" s="1"/>
  <c r="AM195" i="11" s="1" a="1"/>
  <c r="AM195" i="11" s="1"/>
  <c r="AM196" i="11" s="1" a="1"/>
  <c r="AM196" i="11" s="1"/>
  <c r="AM197" i="11" s="1" a="1"/>
  <c r="AM197" i="11" s="1"/>
  <c r="AM198" i="11" s="1" a="1"/>
  <c r="AM198" i="11" s="1"/>
  <c r="AM199" i="11" s="1" a="1"/>
  <c r="AM199" i="11" s="1"/>
  <c r="AM200" i="11" s="1" a="1"/>
  <c r="AM200" i="11" s="1"/>
  <c r="AM201" i="11" s="1" a="1"/>
  <c r="AM201" i="11" s="1"/>
  <c r="AM202" i="11" s="1" a="1"/>
  <c r="AM202" i="11" s="1"/>
  <c r="AM203" i="11" s="1" a="1"/>
  <c r="AM203" i="11" s="1"/>
  <c r="AM204" i="11" s="1" a="1"/>
  <c r="AM204" i="11" s="1"/>
  <c r="AM205" i="11" s="1" a="1"/>
  <c r="AM205" i="11" s="1"/>
  <c r="AM206" i="11" s="1" a="1"/>
  <c r="AM206" i="11" s="1"/>
  <c r="AM207" i="11" s="1" a="1"/>
  <c r="AM207" i="11" s="1"/>
  <c r="AM208" i="11" s="1" a="1"/>
  <c r="AM208" i="11" s="1"/>
  <c r="AM209" i="11" s="1" a="1"/>
  <c r="AM209" i="11" s="1"/>
  <c r="AM210" i="11" s="1" a="1"/>
  <c r="AM210" i="11" s="1"/>
  <c r="AM211" i="11" s="1" a="1"/>
  <c r="AM211" i="11" s="1"/>
  <c r="AM212" i="11" s="1" a="1"/>
  <c r="AM212" i="11" s="1"/>
  <c r="AM213" i="11" s="1" a="1"/>
  <c r="AM213" i="11" s="1"/>
  <c r="AM214" i="11" s="1" a="1"/>
  <c r="AM214" i="11" s="1"/>
  <c r="AM215" i="11" s="1" a="1"/>
  <c r="AM215" i="11" s="1"/>
  <c r="AM216" i="11" s="1" a="1"/>
  <c r="AM216" i="11" s="1"/>
  <c r="AM217" i="11" s="1" a="1"/>
  <c r="AM217" i="11" s="1"/>
  <c r="AM218" i="11" s="1" a="1"/>
  <c r="AM218" i="11" s="1"/>
  <c r="AM219" i="11" s="1" a="1"/>
  <c r="AM219" i="11" s="1"/>
  <c r="AM220" i="11" s="1" a="1"/>
  <c r="AM220" i="11" s="1"/>
  <c r="AM221" i="11" s="1" a="1"/>
  <c r="AM221" i="11" s="1"/>
  <c r="AM222" i="11" s="1" a="1"/>
  <c r="AM222" i="11" s="1"/>
  <c r="AM223" i="11" s="1" a="1"/>
  <c r="AM223" i="11" s="1"/>
  <c r="AM224" i="11" s="1" a="1"/>
  <c r="AM224" i="11" s="1"/>
  <c r="AM225" i="11" s="1" a="1"/>
  <c r="AM225" i="11" s="1"/>
  <c r="AM226" i="11" s="1" a="1"/>
  <c r="AM226" i="11" s="1"/>
  <c r="AM227" i="11" s="1" a="1"/>
  <c r="AM227" i="11" s="1"/>
  <c r="AM228" i="11" s="1" a="1"/>
  <c r="AM228" i="11" s="1"/>
  <c r="AM229" i="11" s="1" a="1"/>
  <c r="AM229" i="11" s="1"/>
  <c r="AM230" i="11" s="1" a="1"/>
  <c r="AM230" i="11" s="1"/>
  <c r="AM231" i="11" s="1" a="1"/>
  <c r="AM231" i="11" s="1"/>
  <c r="AM232" i="11" s="1" a="1"/>
  <c r="AM232" i="11" s="1"/>
  <c r="AM233" i="11" s="1" a="1"/>
  <c r="AM233" i="11" s="1"/>
  <c r="AM234" i="11" s="1" a="1"/>
  <c r="AM234" i="11" s="1"/>
  <c r="AM235" i="11" s="1" a="1"/>
  <c r="AM235" i="11" s="1"/>
  <c r="AM236" i="11" s="1" a="1"/>
  <c r="AM236" i="11" s="1"/>
  <c r="AM237" i="11" s="1" a="1"/>
  <c r="AM237" i="11" s="1"/>
  <c r="AM238" i="11" s="1" a="1"/>
  <c r="AM238" i="11" s="1"/>
  <c r="AM239" i="11" s="1" a="1"/>
  <c r="AM239" i="11" s="1"/>
  <c r="AM240" i="11" s="1" a="1"/>
  <c r="AM240" i="11" s="1"/>
  <c r="AM241" i="11" s="1" a="1"/>
  <c r="AM241" i="11" s="1"/>
  <c r="AM242" i="11" s="1" a="1"/>
  <c r="AM242" i="11" s="1"/>
  <c r="AM243" i="11" s="1" a="1"/>
  <c r="AM243" i="11" s="1"/>
  <c r="AM244" i="11" s="1" a="1"/>
  <c r="AM244" i="11" s="1"/>
  <c r="AM245" i="11" s="1" a="1"/>
  <c r="AM245" i="11" s="1"/>
  <c r="AM246" i="11" s="1" a="1"/>
  <c r="AM246" i="11" s="1"/>
  <c r="AM247" i="11" s="1" a="1"/>
  <c r="AM247" i="11" s="1"/>
  <c r="AM248" i="11" s="1" a="1"/>
  <c r="AM248" i="11" s="1"/>
  <c r="AM249" i="11" s="1" a="1"/>
  <c r="AM249" i="11" s="1"/>
  <c r="AM250" i="11" s="1" a="1"/>
  <c r="AM250" i="11" s="1"/>
  <c r="AM251" i="11" s="1" a="1"/>
  <c r="AM251" i="11" s="1"/>
  <c r="AM252" i="11" s="1" a="1"/>
  <c r="AM252" i="11" s="1"/>
  <c r="AM253" i="11" s="1" a="1"/>
  <c r="AM253" i="11" s="1"/>
  <c r="AM254" i="11" s="1" a="1"/>
  <c r="AM254" i="11" s="1"/>
  <c r="AM255" i="11" s="1" a="1"/>
  <c r="AM255" i="11" s="1"/>
  <c r="AM256" i="11" s="1" a="1"/>
  <c r="AM256" i="11" s="1"/>
  <c r="AM257" i="11" s="1" a="1"/>
  <c r="AM257" i="11" s="1"/>
  <c r="AM258" i="11" s="1" a="1"/>
  <c r="AM258" i="11" s="1"/>
  <c r="E21" i="32"/>
  <c r="AL21" i="11" a="1"/>
  <c r="AL21" i="11" s="1"/>
  <c r="W19" i="32"/>
  <c r="X19" i="32" s="1"/>
  <c r="C19" i="32"/>
  <c r="V19" i="32"/>
  <c r="AJ19" i="32"/>
  <c r="Z19" i="32"/>
  <c r="O20" i="32"/>
  <c r="T20" i="32"/>
  <c r="G20" i="32"/>
  <c r="N20" i="32"/>
  <c r="J20" i="32"/>
  <c r="I20" i="32"/>
  <c r="K20" i="32"/>
  <c r="H20" i="32"/>
  <c r="L20" i="32"/>
  <c r="A20" i="32"/>
  <c r="Q20" i="32" s="1"/>
  <c r="P20" i="32" s="1"/>
  <c r="AK20" i="32"/>
  <c r="M20" i="32"/>
  <c r="F20" i="32"/>
  <c r="B20" i="32"/>
  <c r="R20" i="32" s="1"/>
  <c r="S20" i="32" s="1"/>
  <c r="U19" i="32"/>
  <c r="AD19" i="32" s="1"/>
  <c r="AM19" i="32"/>
  <c r="AG18" i="65" l="1"/>
  <c r="AV20" i="65"/>
  <c r="AE20" i="65"/>
  <c r="AH20" i="65"/>
  <c r="U20" i="65"/>
  <c r="Q20" i="65"/>
  <c r="R20" i="65"/>
  <c r="S20" i="65" s="1"/>
  <c r="Y20" i="65" s="1"/>
  <c r="AB20" i="65" s="1"/>
  <c r="AC20" i="65" s="1"/>
  <c r="AD20" i="65" s="1"/>
  <c r="AF20" i="65"/>
  <c r="AM23" i="65"/>
  <c r="D23" i="65"/>
  <c r="E23" i="65" s="1"/>
  <c r="F23" i="65" s="1"/>
  <c r="G23" i="65" s="1"/>
  <c r="H23" i="65" s="1"/>
  <c r="I23" i="65" s="1"/>
  <c r="J23" i="65" s="1"/>
  <c r="K23" i="65" s="1"/>
  <c r="N23" i="65"/>
  <c r="P23" i="65"/>
  <c r="AG21" i="65"/>
  <c r="N22" i="65"/>
  <c r="P22" i="65"/>
  <c r="D22" i="65"/>
  <c r="E22" i="65" s="1"/>
  <c r="F22" i="65" s="1"/>
  <c r="G22" i="65" s="1"/>
  <c r="H22" i="65" s="1"/>
  <c r="I22" i="65" s="1"/>
  <c r="J22" i="65" s="1"/>
  <c r="K22" i="65" s="1"/>
  <c r="AM22" i="65"/>
  <c r="AG19" i="65"/>
  <c r="B24" i="65"/>
  <c r="AO23" i="63" a="1"/>
  <c r="AO23" i="63" s="1"/>
  <c r="AF19" i="53"/>
  <c r="AA19" i="53"/>
  <c r="AB19" i="53"/>
  <c r="H22" i="53"/>
  <c r="K22" i="53"/>
  <c r="M22" i="53"/>
  <c r="D22" i="53"/>
  <c r="N22" i="53"/>
  <c r="C22" i="53"/>
  <c r="L22" i="53"/>
  <c r="P22" i="53"/>
  <c r="F22" i="53"/>
  <c r="J22" i="53"/>
  <c r="I22" i="53"/>
  <c r="E22" i="53"/>
  <c r="O22" i="53"/>
  <c r="AG22" i="53" s="1"/>
  <c r="G22" i="53"/>
  <c r="AH21" i="53"/>
  <c r="AC21" i="53"/>
  <c r="AT21" i="53"/>
  <c r="AE21" i="53"/>
  <c r="Q21" i="53"/>
  <c r="AD21" i="53"/>
  <c r="R21" i="53"/>
  <c r="X21" i="53" s="1"/>
  <c r="B23" i="53"/>
  <c r="AK22" i="52" a="1"/>
  <c r="AK22" i="52" s="1"/>
  <c r="AL19" i="32"/>
  <c r="W20" i="32"/>
  <c r="X20" i="32" s="1"/>
  <c r="Z20" i="32"/>
  <c r="AJ20" i="32"/>
  <c r="C20" i="32"/>
  <c r="V20" i="32"/>
  <c r="U20" i="32"/>
  <c r="AD20" i="32" s="1"/>
  <c r="AG20" i="32" s="1"/>
  <c r="AH20" i="32" s="1"/>
  <c r="AI20" i="32" s="1"/>
  <c r="AM20" i="32"/>
  <c r="AG19" i="32"/>
  <c r="AH19" i="32" s="1"/>
  <c r="AI19" i="32" s="1"/>
  <c r="AN19" i="32" s="1"/>
  <c r="E22" i="32"/>
  <c r="AL22" i="11" a="1"/>
  <c r="AL22" i="11" s="1"/>
  <c r="O21" i="32"/>
  <c r="T21" i="32"/>
  <c r="J21" i="32"/>
  <c r="M21" i="32"/>
  <c r="B21" i="32"/>
  <c r="R21" i="32" s="1"/>
  <c r="S21" i="32" s="1"/>
  <c r="G21" i="32"/>
  <c r="H21" i="32"/>
  <c r="I21" i="32"/>
  <c r="L21" i="32"/>
  <c r="K21" i="32"/>
  <c r="F21" i="32"/>
  <c r="AK21" i="32"/>
  <c r="A21" i="32"/>
  <c r="Q21" i="32" s="1"/>
  <c r="P21" i="32" s="1"/>
  <c r="N21" i="32"/>
  <c r="B25" i="65" l="1"/>
  <c r="AO24" i="63" a="1"/>
  <c r="AO24" i="63" s="1"/>
  <c r="AV23" i="65"/>
  <c r="R23" i="65"/>
  <c r="S23" i="65" s="1"/>
  <c r="Y23" i="65" s="1"/>
  <c r="AB23" i="65" s="1"/>
  <c r="AC23" i="65" s="1"/>
  <c r="AD23" i="65" s="1"/>
  <c r="Q23" i="65"/>
  <c r="U23" i="65"/>
  <c r="AH23" i="65"/>
  <c r="AF23" i="65"/>
  <c r="AE23" i="65"/>
  <c r="AE22" i="65"/>
  <c r="R22" i="65"/>
  <c r="S22" i="65" s="1"/>
  <c r="Y22" i="65" s="1"/>
  <c r="AB22" i="65" s="1"/>
  <c r="AC22" i="65" s="1"/>
  <c r="AD22" i="65" s="1"/>
  <c r="Q22" i="65"/>
  <c r="AV22" i="65"/>
  <c r="U22" i="65"/>
  <c r="AH22" i="65"/>
  <c r="AF22" i="65"/>
  <c r="AG22" i="65" s="1"/>
  <c r="C24" i="65"/>
  <c r="O24" i="65"/>
  <c r="L24" i="65"/>
  <c r="M24" i="65" s="1"/>
  <c r="AG20" i="65"/>
  <c r="AB21" i="53"/>
  <c r="AA21" i="53"/>
  <c r="AC22" i="53"/>
  <c r="AE22" i="53"/>
  <c r="AT22" i="53"/>
  <c r="AH22" i="53"/>
  <c r="AD22" i="53"/>
  <c r="Q22" i="53"/>
  <c r="R22" i="53"/>
  <c r="X22" i="53" s="1"/>
  <c r="AF21" i="53"/>
  <c r="B24" i="53"/>
  <c r="AK23" i="52" a="1"/>
  <c r="AK23" i="52" s="1"/>
  <c r="N23" i="53"/>
  <c r="H23" i="53"/>
  <c r="L23" i="53"/>
  <c r="P23" i="53"/>
  <c r="J23" i="53"/>
  <c r="D23" i="53"/>
  <c r="K23" i="53"/>
  <c r="I23" i="53"/>
  <c r="F23" i="53"/>
  <c r="M23" i="53"/>
  <c r="O23" i="53"/>
  <c r="AG23" i="53" s="1"/>
  <c r="G23" i="53"/>
  <c r="E23" i="53"/>
  <c r="C23" i="53"/>
  <c r="AK22" i="32"/>
  <c r="T22" i="32"/>
  <c r="O22" i="32"/>
  <c r="J22" i="32"/>
  <c r="F22" i="32"/>
  <c r="I22" i="32"/>
  <c r="A22" i="32"/>
  <c r="Q22" i="32" s="1"/>
  <c r="P22" i="32" s="1"/>
  <c r="M22" i="32"/>
  <c r="H22" i="32"/>
  <c r="L22" i="32"/>
  <c r="B22" i="32"/>
  <c r="R22" i="32" s="1"/>
  <c r="S22" i="32" s="1"/>
  <c r="K22" i="32"/>
  <c r="G22" i="32"/>
  <c r="N22" i="32"/>
  <c r="AN20" i="32"/>
  <c r="E23" i="32"/>
  <c r="AL23" i="11" a="1"/>
  <c r="AL23" i="11" s="1"/>
  <c r="AL20" i="32"/>
  <c r="U21" i="32"/>
  <c r="AD21" i="32" s="1"/>
  <c r="AG21" i="32" s="1"/>
  <c r="AH21" i="32" s="1"/>
  <c r="AI21" i="32" s="1"/>
  <c r="AM21" i="32"/>
  <c r="Z21" i="32"/>
  <c r="V21" i="32"/>
  <c r="AJ21" i="32"/>
  <c r="W21" i="32"/>
  <c r="X21" i="32" s="1"/>
  <c r="C21" i="32"/>
  <c r="P24" i="65" l="1"/>
  <c r="N24" i="65"/>
  <c r="AM24" i="65"/>
  <c r="D24" i="65"/>
  <c r="E24" i="65" s="1"/>
  <c r="F24" i="65" s="1"/>
  <c r="G24" i="65" s="1"/>
  <c r="H24" i="65" s="1"/>
  <c r="I24" i="65" s="1"/>
  <c r="J24" i="65" s="1"/>
  <c r="K24" i="65" s="1"/>
  <c r="AG23" i="65"/>
  <c r="L25" i="65"/>
  <c r="M25" i="65" s="1"/>
  <c r="O25" i="65"/>
  <c r="C25" i="65"/>
  <c r="B26" i="65"/>
  <c r="AO25" i="63" a="1"/>
  <c r="AO25" i="63" s="1"/>
  <c r="AB22" i="53"/>
  <c r="AA22" i="53"/>
  <c r="AC23" i="53"/>
  <c r="AE23" i="53"/>
  <c r="AH23" i="53"/>
  <c r="AT23" i="53"/>
  <c r="R23" i="53"/>
  <c r="X23" i="53" s="1"/>
  <c r="AD23" i="53"/>
  <c r="Q23" i="53"/>
  <c r="B25" i="53"/>
  <c r="AK24" i="52" a="1"/>
  <c r="AK24" i="52" s="1"/>
  <c r="AF22" i="53"/>
  <c r="M24" i="53"/>
  <c r="C24" i="53"/>
  <c r="N24" i="53"/>
  <c r="L24" i="53"/>
  <c r="E24" i="53"/>
  <c r="F24" i="53"/>
  <c r="K24" i="53"/>
  <c r="O24" i="53"/>
  <c r="AG24" i="53" s="1"/>
  <c r="D24" i="53"/>
  <c r="P24" i="53"/>
  <c r="G24" i="53"/>
  <c r="J24" i="53"/>
  <c r="H24" i="53"/>
  <c r="I24" i="53"/>
  <c r="AN21" i="32"/>
  <c r="AK23" i="32"/>
  <c r="T23" i="32"/>
  <c r="O23" i="32"/>
  <c r="A23" i="32"/>
  <c r="Q23" i="32" s="1"/>
  <c r="P23" i="32" s="1"/>
  <c r="F23" i="32"/>
  <c r="L23" i="32"/>
  <c r="N23" i="32"/>
  <c r="J23" i="32"/>
  <c r="H23" i="32"/>
  <c r="I23" i="32"/>
  <c r="B23" i="32"/>
  <c r="R23" i="32" s="1"/>
  <c r="S23" i="32" s="1"/>
  <c r="M23" i="32"/>
  <c r="G23" i="32"/>
  <c r="K23" i="32"/>
  <c r="AL21" i="32"/>
  <c r="U22" i="32"/>
  <c r="AD22" i="32" s="1"/>
  <c r="AG22" i="32" s="1"/>
  <c r="AH22" i="32" s="1"/>
  <c r="AI22" i="32" s="1"/>
  <c r="AM22" i="32"/>
  <c r="AJ22" i="32"/>
  <c r="C22" i="32"/>
  <c r="Z22" i="32"/>
  <c r="V22" i="32"/>
  <c r="W22" i="32"/>
  <c r="X22" i="32" s="1"/>
  <c r="E24" i="32"/>
  <c r="AL24" i="11" a="1"/>
  <c r="AL24" i="11" s="1"/>
  <c r="C26" i="65" l="1"/>
  <c r="L26" i="65"/>
  <c r="M26" i="65" s="1"/>
  <c r="O26" i="65"/>
  <c r="D25" i="65"/>
  <c r="E25" i="65" s="1"/>
  <c r="F25" i="65" s="1"/>
  <c r="G25" i="65" s="1"/>
  <c r="H25" i="65" s="1"/>
  <c r="I25" i="65" s="1"/>
  <c r="J25" i="65" s="1"/>
  <c r="K25" i="65" s="1"/>
  <c r="P25" i="65"/>
  <c r="AM25" i="65"/>
  <c r="N25" i="65"/>
  <c r="B27" i="65"/>
  <c r="AO26" i="63" a="1"/>
  <c r="AO26" i="63" s="1"/>
  <c r="AH24" i="65"/>
  <c r="U24" i="65"/>
  <c r="AE24" i="65"/>
  <c r="AV24" i="65"/>
  <c r="AF24" i="65"/>
  <c r="Q24" i="65"/>
  <c r="R24" i="65"/>
  <c r="S24" i="65" s="1"/>
  <c r="Y24" i="65" s="1"/>
  <c r="AB24" i="65" s="1"/>
  <c r="AC24" i="65" s="1"/>
  <c r="AD24" i="65" s="1"/>
  <c r="AF23" i="53"/>
  <c r="AA23" i="53"/>
  <c r="AB23" i="53"/>
  <c r="O25" i="53"/>
  <c r="AG25" i="53" s="1"/>
  <c r="L25" i="53"/>
  <c r="P25" i="53"/>
  <c r="C25" i="53"/>
  <c r="H25" i="53"/>
  <c r="N25" i="53"/>
  <c r="E25" i="53"/>
  <c r="K25" i="53"/>
  <c r="G25" i="53"/>
  <c r="F25" i="53"/>
  <c r="J25" i="53"/>
  <c r="M25" i="53"/>
  <c r="D25" i="53"/>
  <c r="I25" i="53"/>
  <c r="Q24" i="53"/>
  <c r="AH24" i="53"/>
  <c r="AE24" i="53"/>
  <c r="AT24" i="53"/>
  <c r="AC24" i="53"/>
  <c r="AD24" i="53"/>
  <c r="R24" i="53"/>
  <c r="X24" i="53" s="1"/>
  <c r="B26" i="53"/>
  <c r="AK25" i="52" a="1"/>
  <c r="AK25" i="52" s="1"/>
  <c r="AK24" i="32"/>
  <c r="O24" i="32"/>
  <c r="T24" i="32"/>
  <c r="F24" i="32"/>
  <c r="G24" i="32"/>
  <c r="K24" i="32"/>
  <c r="M24" i="32"/>
  <c r="L24" i="32"/>
  <c r="A24" i="32"/>
  <c r="Q24" i="32" s="1"/>
  <c r="P24" i="32" s="1"/>
  <c r="H24" i="32"/>
  <c r="I24" i="32"/>
  <c r="J24" i="32"/>
  <c r="N24" i="32"/>
  <c r="B24" i="32"/>
  <c r="R24" i="32" s="1"/>
  <c r="S24" i="32" s="1"/>
  <c r="AN22" i="32"/>
  <c r="AL22" i="32"/>
  <c r="U23" i="32"/>
  <c r="AD23" i="32" s="1"/>
  <c r="AG23" i="32" s="1"/>
  <c r="AH23" i="32" s="1"/>
  <c r="AI23" i="32" s="1"/>
  <c r="AM23" i="32"/>
  <c r="V23" i="32"/>
  <c r="AJ23" i="32"/>
  <c r="Z23" i="32"/>
  <c r="W23" i="32"/>
  <c r="X23" i="32" s="1"/>
  <c r="C23" i="32"/>
  <c r="E25" i="32"/>
  <c r="AL25" i="11" a="1"/>
  <c r="AL25" i="11" s="1"/>
  <c r="B28" i="65" l="1"/>
  <c r="AO27" i="63" a="1"/>
  <c r="AO27" i="63" s="1"/>
  <c r="O27" i="65"/>
  <c r="C27" i="65"/>
  <c r="L27" i="65"/>
  <c r="M27" i="65" s="1"/>
  <c r="N26" i="65"/>
  <c r="AM26" i="65"/>
  <c r="P26" i="65"/>
  <c r="D26" i="65"/>
  <c r="E26" i="65" s="1"/>
  <c r="F26" i="65" s="1"/>
  <c r="G26" i="65" s="1"/>
  <c r="H26" i="65" s="1"/>
  <c r="I26" i="65" s="1"/>
  <c r="J26" i="65" s="1"/>
  <c r="K26" i="65" s="1"/>
  <c r="AG24" i="65"/>
  <c r="AE25" i="65"/>
  <c r="AH25" i="65"/>
  <c r="Q25" i="65"/>
  <c r="U25" i="65"/>
  <c r="AV25" i="65"/>
  <c r="AF25" i="65"/>
  <c r="R25" i="65"/>
  <c r="S25" i="65" s="1"/>
  <c r="Y25" i="65" s="1"/>
  <c r="AB25" i="65" s="1"/>
  <c r="AC25" i="65" s="1"/>
  <c r="AD25" i="65" s="1"/>
  <c r="AB24" i="53"/>
  <c r="AA24" i="53"/>
  <c r="Q25" i="53"/>
  <c r="AT25" i="53"/>
  <c r="AH25" i="53"/>
  <c r="AC25" i="53"/>
  <c r="AD25" i="53"/>
  <c r="AE25" i="53"/>
  <c r="R25" i="53"/>
  <c r="X25" i="53" s="1"/>
  <c r="K26" i="53"/>
  <c r="L26" i="53"/>
  <c r="G26" i="53"/>
  <c r="M26" i="53"/>
  <c r="D26" i="53"/>
  <c r="P26" i="53"/>
  <c r="H26" i="53"/>
  <c r="F26" i="53"/>
  <c r="E26" i="53"/>
  <c r="J26" i="53"/>
  <c r="O26" i="53"/>
  <c r="AG26" i="53" s="1"/>
  <c r="N26" i="53"/>
  <c r="C26" i="53"/>
  <c r="I26" i="53"/>
  <c r="AF24" i="53"/>
  <c r="B27" i="53"/>
  <c r="AK26" i="52" a="1"/>
  <c r="AK26" i="52" s="1"/>
  <c r="C24" i="32"/>
  <c r="V24" i="32"/>
  <c r="W24" i="32"/>
  <c r="X24" i="32" s="1"/>
  <c r="Z24" i="32"/>
  <c r="AJ24" i="32"/>
  <c r="AN23" i="32"/>
  <c r="U24" i="32"/>
  <c r="AD24" i="32" s="1"/>
  <c r="AG24" i="32" s="1"/>
  <c r="AH24" i="32" s="1"/>
  <c r="AI24" i="32" s="1"/>
  <c r="AM24" i="32"/>
  <c r="E26" i="32"/>
  <c r="AL26" i="11" a="1"/>
  <c r="AL26" i="11" s="1"/>
  <c r="AK25" i="32"/>
  <c r="O25" i="32"/>
  <c r="T25" i="32"/>
  <c r="J25" i="32"/>
  <c r="N25" i="32"/>
  <c r="F25" i="32"/>
  <c r="H25" i="32"/>
  <c r="K25" i="32"/>
  <c r="M25" i="32"/>
  <c r="I25" i="32"/>
  <c r="A25" i="32"/>
  <c r="Q25" i="32" s="1"/>
  <c r="P25" i="32" s="1"/>
  <c r="B25" i="32"/>
  <c r="R25" i="32" s="1"/>
  <c r="S25" i="32" s="1"/>
  <c r="G25" i="32"/>
  <c r="L25" i="32"/>
  <c r="AL23" i="32"/>
  <c r="C28" i="65" l="1"/>
  <c r="L28" i="65"/>
  <c r="M28" i="65" s="1"/>
  <c r="O28" i="65"/>
  <c r="B29" i="65"/>
  <c r="AO28" i="63" a="1"/>
  <c r="AO28" i="63" s="1"/>
  <c r="AG25" i="65"/>
  <c r="N27" i="65"/>
  <c r="AM27" i="65"/>
  <c r="P27" i="65"/>
  <c r="D27" i="65"/>
  <c r="E27" i="65" s="1"/>
  <c r="F27" i="65" s="1"/>
  <c r="G27" i="65" s="1"/>
  <c r="H27" i="65" s="1"/>
  <c r="I27" i="65" s="1"/>
  <c r="J27" i="65" s="1"/>
  <c r="K27" i="65" s="1"/>
  <c r="AF26" i="65"/>
  <c r="AH26" i="65"/>
  <c r="U26" i="65"/>
  <c r="R26" i="65"/>
  <c r="S26" i="65" s="1"/>
  <c r="Y26" i="65" s="1"/>
  <c r="AB26" i="65" s="1"/>
  <c r="AC26" i="65" s="1"/>
  <c r="AD26" i="65" s="1"/>
  <c r="Q26" i="65"/>
  <c r="AE26" i="65"/>
  <c r="AV26" i="65"/>
  <c r="AB25" i="53"/>
  <c r="AA25" i="53"/>
  <c r="AF25" i="53"/>
  <c r="N27" i="53"/>
  <c r="L27" i="53"/>
  <c r="K27" i="53"/>
  <c r="H27" i="53"/>
  <c r="I27" i="53"/>
  <c r="P27" i="53"/>
  <c r="J27" i="53"/>
  <c r="E27" i="53"/>
  <c r="M27" i="53"/>
  <c r="D27" i="53"/>
  <c r="O27" i="53"/>
  <c r="AG27" i="53" s="1"/>
  <c r="C27" i="53"/>
  <c r="G27" i="53"/>
  <c r="F27" i="53"/>
  <c r="AC26" i="53"/>
  <c r="Q26" i="53"/>
  <c r="AE26" i="53"/>
  <c r="AT26" i="53"/>
  <c r="R26" i="53"/>
  <c r="X26" i="53" s="1"/>
  <c r="AD26" i="53"/>
  <c r="AH26" i="53"/>
  <c r="B28" i="53"/>
  <c r="AK27" i="52" a="1"/>
  <c r="AK27" i="52" s="1"/>
  <c r="AN24" i="32"/>
  <c r="AL24" i="32"/>
  <c r="E27" i="32"/>
  <c r="AL27" i="11" a="1"/>
  <c r="AL27" i="11" s="1"/>
  <c r="AK26" i="32"/>
  <c r="T26" i="32"/>
  <c r="O26" i="32"/>
  <c r="A26" i="32"/>
  <c r="Q26" i="32" s="1"/>
  <c r="P26" i="32" s="1"/>
  <c r="I26" i="32"/>
  <c r="G26" i="32"/>
  <c r="F26" i="32"/>
  <c r="N26" i="32"/>
  <c r="M26" i="32"/>
  <c r="K26" i="32"/>
  <c r="B26" i="32"/>
  <c r="R26" i="32" s="1"/>
  <c r="S26" i="32" s="1"/>
  <c r="L26" i="32"/>
  <c r="J26" i="32"/>
  <c r="H26" i="32"/>
  <c r="V25" i="32"/>
  <c r="W25" i="32"/>
  <c r="X25" i="32" s="1"/>
  <c r="C25" i="32"/>
  <c r="Z25" i="32"/>
  <c r="AJ25" i="32"/>
  <c r="U25" i="32"/>
  <c r="AD25" i="32" s="1"/>
  <c r="AG25" i="32" s="1"/>
  <c r="AH25" i="32" s="1"/>
  <c r="AI25" i="32" s="1"/>
  <c r="AM25" i="32"/>
  <c r="Q27" i="65" l="1"/>
  <c r="AH27" i="65"/>
  <c r="AF27" i="65"/>
  <c r="AE27" i="65"/>
  <c r="AV27" i="65"/>
  <c r="R27" i="65"/>
  <c r="S27" i="65" s="1"/>
  <c r="Y27" i="65" s="1"/>
  <c r="AB27" i="65" s="1"/>
  <c r="AC27" i="65" s="1"/>
  <c r="AD27" i="65" s="1"/>
  <c r="U27" i="65"/>
  <c r="B30" i="65"/>
  <c r="AO29" i="63" a="1"/>
  <c r="AO29" i="63" s="1"/>
  <c r="L29" i="65"/>
  <c r="M29" i="65" s="1"/>
  <c r="C29" i="65"/>
  <c r="O29" i="65"/>
  <c r="AG26" i="65"/>
  <c r="D28" i="65"/>
  <c r="E28" i="65" s="1"/>
  <c r="F28" i="65" s="1"/>
  <c r="G28" i="65" s="1"/>
  <c r="H28" i="65" s="1"/>
  <c r="I28" i="65" s="1"/>
  <c r="J28" i="65" s="1"/>
  <c r="K28" i="65" s="1"/>
  <c r="P28" i="65"/>
  <c r="AM28" i="65"/>
  <c r="N28" i="65"/>
  <c r="AF26" i="53"/>
  <c r="AA26" i="53"/>
  <c r="AB26" i="53"/>
  <c r="AC27" i="53"/>
  <c r="AD27" i="53"/>
  <c r="AE27" i="53"/>
  <c r="Q27" i="53"/>
  <c r="AH27" i="53"/>
  <c r="R27" i="53"/>
  <c r="X27" i="53" s="1"/>
  <c r="AT27" i="53"/>
  <c r="B29" i="53"/>
  <c r="AK28" i="52" a="1"/>
  <c r="AK28" i="52" s="1"/>
  <c r="I28" i="53"/>
  <c r="D28" i="53"/>
  <c r="J28" i="53"/>
  <c r="L28" i="53"/>
  <c r="G28" i="53"/>
  <c r="O28" i="53"/>
  <c r="AG28" i="53" s="1"/>
  <c r="P28" i="53"/>
  <c r="N28" i="53"/>
  <c r="F28" i="53"/>
  <c r="K28" i="53"/>
  <c r="C28" i="53"/>
  <c r="E28" i="53"/>
  <c r="H28" i="53"/>
  <c r="M28" i="53"/>
  <c r="AL25" i="32"/>
  <c r="C26" i="32"/>
  <c r="AJ26" i="32"/>
  <c r="W26" i="32"/>
  <c r="X26" i="32" s="1"/>
  <c r="V26" i="32"/>
  <c r="Z26" i="32"/>
  <c r="AN25" i="32"/>
  <c r="E28" i="32"/>
  <c r="AL28" i="11" a="1"/>
  <c r="AL28" i="11" s="1"/>
  <c r="U26" i="32"/>
  <c r="AD26" i="32" s="1"/>
  <c r="AG26" i="32" s="1"/>
  <c r="AH26" i="32" s="1"/>
  <c r="AI26" i="32" s="1"/>
  <c r="AN26" i="32" s="1"/>
  <c r="AM26" i="32"/>
  <c r="AK27" i="32"/>
  <c r="T27" i="32"/>
  <c r="G27" i="32"/>
  <c r="O27" i="32"/>
  <c r="B27" i="32"/>
  <c r="R27" i="32" s="1"/>
  <c r="S27" i="32" s="1"/>
  <c r="L27" i="32"/>
  <c r="M27" i="32"/>
  <c r="A27" i="32"/>
  <c r="Q27" i="32" s="1"/>
  <c r="P27" i="32" s="1"/>
  <c r="K27" i="32"/>
  <c r="I27" i="32"/>
  <c r="N27" i="32"/>
  <c r="F27" i="32"/>
  <c r="J27" i="32"/>
  <c r="H27" i="32"/>
  <c r="B31" i="65" l="1"/>
  <c r="AO30" i="63" a="1"/>
  <c r="AO30" i="63" s="1"/>
  <c r="C30" i="65"/>
  <c r="L30" i="65"/>
  <c r="M30" i="65" s="1"/>
  <c r="O30" i="65"/>
  <c r="R28" i="65"/>
  <c r="S28" i="65" s="1"/>
  <c r="Y28" i="65" s="1"/>
  <c r="AB28" i="65" s="1"/>
  <c r="AC28" i="65" s="1"/>
  <c r="AD28" i="65" s="1"/>
  <c r="AF28" i="65"/>
  <c r="AG28" i="65" s="1"/>
  <c r="Q28" i="65"/>
  <c r="AH28" i="65"/>
  <c r="AE28" i="65"/>
  <c r="U28" i="65"/>
  <c r="AV28" i="65"/>
  <c r="AM29" i="65"/>
  <c r="D29" i="65"/>
  <c r="E29" i="65" s="1"/>
  <c r="F29" i="65" s="1"/>
  <c r="G29" i="65" s="1"/>
  <c r="H29" i="65" s="1"/>
  <c r="I29" i="65" s="1"/>
  <c r="J29" i="65" s="1"/>
  <c r="K29" i="65" s="1"/>
  <c r="N29" i="65"/>
  <c r="P29" i="65"/>
  <c r="AG27" i="65"/>
  <c r="AA27" i="53"/>
  <c r="AB27" i="53"/>
  <c r="AF27" i="53"/>
  <c r="B30" i="53"/>
  <c r="AK29" i="52" a="1"/>
  <c r="AK29" i="52" s="1"/>
  <c r="C29" i="53"/>
  <c r="L29" i="53"/>
  <c r="J29" i="53"/>
  <c r="G29" i="53"/>
  <c r="I29" i="53"/>
  <c r="M29" i="53"/>
  <c r="D29" i="53"/>
  <c r="O29" i="53"/>
  <c r="H29" i="53"/>
  <c r="P29" i="53"/>
  <c r="F29" i="53"/>
  <c r="N29" i="53"/>
  <c r="K29" i="53"/>
  <c r="E29" i="53"/>
  <c r="AD28" i="53"/>
  <c r="AH28" i="53"/>
  <c r="R28" i="53"/>
  <c r="X28" i="53" s="1"/>
  <c r="AE28" i="53"/>
  <c r="AC28" i="53"/>
  <c r="Q28" i="53"/>
  <c r="AT28" i="53"/>
  <c r="O28" i="32"/>
  <c r="T28" i="32"/>
  <c r="N28" i="32"/>
  <c r="I28" i="32"/>
  <c r="AK28" i="32"/>
  <c r="F28" i="32"/>
  <c r="K28" i="32"/>
  <c r="L28" i="32"/>
  <c r="H28" i="32"/>
  <c r="G28" i="32"/>
  <c r="M28" i="32"/>
  <c r="A28" i="32"/>
  <c r="Q28" i="32" s="1"/>
  <c r="P28" i="32" s="1"/>
  <c r="B28" i="32"/>
  <c r="R28" i="32" s="1"/>
  <c r="S28" i="32" s="1"/>
  <c r="J28" i="32"/>
  <c r="U27" i="32"/>
  <c r="AD27" i="32" s="1"/>
  <c r="AG27" i="32" s="1"/>
  <c r="AH27" i="32" s="1"/>
  <c r="AI27" i="32" s="1"/>
  <c r="AM27" i="32"/>
  <c r="AL26" i="32"/>
  <c r="E29" i="32"/>
  <c r="AL29" i="11" a="1"/>
  <c r="AL29" i="11" s="1"/>
  <c r="C27" i="32"/>
  <c r="W27" i="32"/>
  <c r="X27" i="32" s="1"/>
  <c r="V27" i="32"/>
  <c r="AJ27" i="32"/>
  <c r="Z27" i="32"/>
  <c r="N30" i="65" l="1"/>
  <c r="D30" i="65"/>
  <c r="E30" i="65" s="1"/>
  <c r="F30" i="65" s="1"/>
  <c r="G30" i="65" s="1"/>
  <c r="H30" i="65" s="1"/>
  <c r="I30" i="65" s="1"/>
  <c r="J30" i="65" s="1"/>
  <c r="K30" i="65" s="1"/>
  <c r="AM30" i="65"/>
  <c r="P30" i="65"/>
  <c r="O31" i="65"/>
  <c r="L31" i="65"/>
  <c r="M31" i="65" s="1"/>
  <c r="C31" i="65"/>
  <c r="Y29" i="65"/>
  <c r="AB29" i="65" s="1"/>
  <c r="AC29" i="65" s="1"/>
  <c r="AD29" i="65" s="1"/>
  <c r="AE29" i="65"/>
  <c r="U29" i="65"/>
  <c r="Q29" i="65"/>
  <c r="AV29" i="65"/>
  <c r="AF29" i="65"/>
  <c r="AH29" i="65"/>
  <c r="R29" i="65"/>
  <c r="S29" i="65" s="1"/>
  <c r="B32" i="65"/>
  <c r="AO31" i="63" a="1"/>
  <c r="AO31" i="63" s="1"/>
  <c r="AF28" i="53"/>
  <c r="AB28" i="53"/>
  <c r="AA28" i="53"/>
  <c r="B31" i="53"/>
  <c r="AK30" i="52" a="1"/>
  <c r="AK30" i="52" s="1"/>
  <c r="AG29" i="53"/>
  <c r="J30" i="53"/>
  <c r="L30" i="53"/>
  <c r="D30" i="53"/>
  <c r="E30" i="53"/>
  <c r="C30" i="53"/>
  <c r="M30" i="53"/>
  <c r="G30" i="53"/>
  <c r="F30" i="53"/>
  <c r="P30" i="53"/>
  <c r="I30" i="53"/>
  <c r="K30" i="53"/>
  <c r="H30" i="53"/>
  <c r="O30" i="53"/>
  <c r="AG30" i="53" s="1"/>
  <c r="N30" i="53"/>
  <c r="Q29" i="53"/>
  <c r="AE29" i="53"/>
  <c r="AD29" i="53"/>
  <c r="R29" i="53"/>
  <c r="X29" i="53" s="1"/>
  <c r="AC29" i="53"/>
  <c r="AH29" i="53"/>
  <c r="AT29" i="53"/>
  <c r="AL27" i="32"/>
  <c r="AN27" i="32"/>
  <c r="U28" i="32"/>
  <c r="AD28" i="32" s="1"/>
  <c r="AG28" i="32" s="1"/>
  <c r="AH28" i="32" s="1"/>
  <c r="AI28" i="32" s="1"/>
  <c r="AM28" i="32"/>
  <c r="W28" i="32"/>
  <c r="X28" i="32" s="1"/>
  <c r="C28" i="32"/>
  <c r="V28" i="32"/>
  <c r="Z28" i="32"/>
  <c r="AJ28" i="32"/>
  <c r="E30" i="32"/>
  <c r="AL30" i="11" a="1"/>
  <c r="AL30" i="11" s="1"/>
  <c r="AK29" i="32"/>
  <c r="G29" i="32"/>
  <c r="O29" i="32"/>
  <c r="T29" i="32"/>
  <c r="H29" i="32"/>
  <c r="F29" i="32"/>
  <c r="B29" i="32"/>
  <c r="R29" i="32" s="1"/>
  <c r="S29" i="32" s="1"/>
  <c r="L29" i="32"/>
  <c r="J29" i="32"/>
  <c r="I29" i="32"/>
  <c r="M29" i="32"/>
  <c r="A29" i="32"/>
  <c r="Q29" i="32" s="1"/>
  <c r="P29" i="32" s="1"/>
  <c r="N29" i="32"/>
  <c r="K29" i="32"/>
  <c r="B33" i="65" l="1"/>
  <c r="AO32" i="63" a="1"/>
  <c r="AO32" i="63" s="1"/>
  <c r="R30" i="65"/>
  <c r="S30" i="65" s="1"/>
  <c r="U30" i="65"/>
  <c r="Q30" i="65"/>
  <c r="AV30" i="65"/>
  <c r="AH30" i="65"/>
  <c r="AE30" i="65"/>
  <c r="AF30" i="65"/>
  <c r="O32" i="65"/>
  <c r="C32" i="65"/>
  <c r="L32" i="65"/>
  <c r="M32" i="65" s="1"/>
  <c r="P31" i="65"/>
  <c r="AM31" i="65"/>
  <c r="D31" i="65"/>
  <c r="E31" i="65" s="1"/>
  <c r="F31" i="65" s="1"/>
  <c r="G31" i="65" s="1"/>
  <c r="H31" i="65" s="1"/>
  <c r="I31" i="65" s="1"/>
  <c r="J31" i="65" s="1"/>
  <c r="K31" i="65" s="1"/>
  <c r="N31" i="65"/>
  <c r="Y30" i="65"/>
  <c r="AB30" i="65" s="1"/>
  <c r="AC30" i="65" s="1"/>
  <c r="AD30" i="65" s="1"/>
  <c r="AG29" i="65"/>
  <c r="AB29" i="53"/>
  <c r="AA29" i="53"/>
  <c r="AF29" i="53"/>
  <c r="B32" i="53"/>
  <c r="AK31" i="52" a="1"/>
  <c r="AK31" i="52" s="1"/>
  <c r="AC30" i="53"/>
  <c r="AT30" i="53"/>
  <c r="AH30" i="53"/>
  <c r="R30" i="53"/>
  <c r="X30" i="53" s="1"/>
  <c r="AE30" i="53"/>
  <c r="Q30" i="53"/>
  <c r="AD30" i="53"/>
  <c r="M31" i="53"/>
  <c r="P31" i="53"/>
  <c r="D31" i="53"/>
  <c r="O31" i="53"/>
  <c r="AG31" i="53" s="1"/>
  <c r="H31" i="53"/>
  <c r="L31" i="53"/>
  <c r="I31" i="53"/>
  <c r="C31" i="53"/>
  <c r="K31" i="53"/>
  <c r="G31" i="53"/>
  <c r="N31" i="53"/>
  <c r="F31" i="53"/>
  <c r="J31" i="53"/>
  <c r="E31" i="53"/>
  <c r="C29" i="32"/>
  <c r="V29" i="32"/>
  <c r="W29" i="32"/>
  <c r="X29" i="32" s="1"/>
  <c r="Z29" i="32"/>
  <c r="AJ29" i="32"/>
  <c r="B30" i="32"/>
  <c r="R30" i="32" s="1"/>
  <c r="S30" i="32" s="1"/>
  <c r="AK30" i="32"/>
  <c r="T30" i="32"/>
  <c r="O30" i="32"/>
  <c r="N30" i="32"/>
  <c r="H30" i="32"/>
  <c r="G30" i="32"/>
  <c r="I30" i="32"/>
  <c r="F30" i="32"/>
  <c r="J30" i="32"/>
  <c r="A30" i="32"/>
  <c r="Q30" i="32" s="1"/>
  <c r="P30" i="32" s="1"/>
  <c r="M30" i="32"/>
  <c r="K30" i="32"/>
  <c r="L30" i="32"/>
  <c r="U29" i="32"/>
  <c r="AD29" i="32" s="1"/>
  <c r="AG29" i="32" s="1"/>
  <c r="AH29" i="32" s="1"/>
  <c r="AI29" i="32" s="1"/>
  <c r="AM29" i="32"/>
  <c r="AL28" i="32"/>
  <c r="AN28" i="32"/>
  <c r="E31" i="32"/>
  <c r="AL31" i="11" a="1"/>
  <c r="AL31" i="11" s="1"/>
  <c r="O33" i="65" l="1"/>
  <c r="L33" i="65"/>
  <c r="M33" i="65" s="1"/>
  <c r="C33" i="65"/>
  <c r="U31" i="65"/>
  <c r="AE31" i="65"/>
  <c r="R31" i="65"/>
  <c r="S31" i="65" s="1"/>
  <c r="Y31" i="65" s="1"/>
  <c r="AB31" i="65" s="1"/>
  <c r="AC31" i="65" s="1"/>
  <c r="AD31" i="65" s="1"/>
  <c r="AV31" i="65"/>
  <c r="AF31" i="65"/>
  <c r="Q31" i="65"/>
  <c r="AH31" i="65"/>
  <c r="B34" i="65"/>
  <c r="AO33" i="63" a="1"/>
  <c r="AO33" i="63" s="1"/>
  <c r="AG30" i="65"/>
  <c r="P32" i="65"/>
  <c r="AM32" i="65"/>
  <c r="N32" i="65"/>
  <c r="D32" i="65"/>
  <c r="E32" i="65" s="1"/>
  <c r="F32" i="65" s="1"/>
  <c r="G32" i="65" s="1"/>
  <c r="H32" i="65" s="1"/>
  <c r="I32" i="65" s="1"/>
  <c r="J32" i="65" s="1"/>
  <c r="K32" i="65" s="1"/>
  <c r="AF30" i="53"/>
  <c r="B33" i="53"/>
  <c r="AK32" i="52" a="1"/>
  <c r="AK32" i="52" s="1"/>
  <c r="R31" i="53"/>
  <c r="X31" i="53" s="1"/>
  <c r="Q31" i="53"/>
  <c r="AT31" i="53"/>
  <c r="AH31" i="53"/>
  <c r="AC31" i="53"/>
  <c r="AE31" i="53"/>
  <c r="AD31" i="53"/>
  <c r="M32" i="53"/>
  <c r="E32" i="53"/>
  <c r="O32" i="53"/>
  <c r="AG32" i="53" s="1"/>
  <c r="F32" i="53"/>
  <c r="J32" i="53"/>
  <c r="L32" i="53"/>
  <c r="H32" i="53"/>
  <c r="C32" i="53"/>
  <c r="D32" i="53"/>
  <c r="N32" i="53"/>
  <c r="P32" i="53"/>
  <c r="K32" i="53"/>
  <c r="G32" i="53"/>
  <c r="I32" i="53"/>
  <c r="AB30" i="53"/>
  <c r="AA30" i="53"/>
  <c r="AN29" i="32"/>
  <c r="AL29" i="32"/>
  <c r="U30" i="32"/>
  <c r="AD30" i="32" s="1"/>
  <c r="AG30" i="32" s="1"/>
  <c r="AH30" i="32" s="1"/>
  <c r="AI30" i="32" s="1"/>
  <c r="AM30" i="32"/>
  <c r="C30" i="32"/>
  <c r="V30" i="32"/>
  <c r="AJ30" i="32"/>
  <c r="W30" i="32"/>
  <c r="X30" i="32" s="1"/>
  <c r="Z30" i="32"/>
  <c r="E32" i="32"/>
  <c r="AL32" i="11" a="1"/>
  <c r="AL32" i="11" s="1"/>
  <c r="T31" i="32"/>
  <c r="O31" i="32"/>
  <c r="H31" i="32"/>
  <c r="F31" i="32"/>
  <c r="AK31" i="32"/>
  <c r="B31" i="32"/>
  <c r="R31" i="32" s="1"/>
  <c r="S31" i="32" s="1"/>
  <c r="G31" i="32"/>
  <c r="N31" i="32"/>
  <c r="M31" i="32"/>
  <c r="L31" i="32"/>
  <c r="J31" i="32"/>
  <c r="K31" i="32"/>
  <c r="A31" i="32"/>
  <c r="Q31" i="32" s="1"/>
  <c r="P31" i="32" s="1"/>
  <c r="I31" i="32"/>
  <c r="AG31" i="65" l="1"/>
  <c r="U32" i="65"/>
  <c r="AE32" i="65"/>
  <c r="R32" i="65"/>
  <c r="S32" i="65" s="1"/>
  <c r="Y32" i="65" s="1"/>
  <c r="AB32" i="65" s="1"/>
  <c r="AC32" i="65" s="1"/>
  <c r="AD32" i="65" s="1"/>
  <c r="AV32" i="65"/>
  <c r="AF32" i="65"/>
  <c r="Q32" i="65"/>
  <c r="AH32" i="65"/>
  <c r="B35" i="65"/>
  <c r="AO34" i="63" a="1"/>
  <c r="AO34" i="63" s="1"/>
  <c r="O34" i="65"/>
  <c r="L34" i="65"/>
  <c r="M34" i="65" s="1"/>
  <c r="C34" i="65"/>
  <c r="P33" i="65"/>
  <c r="D33" i="65"/>
  <c r="E33" i="65" s="1"/>
  <c r="F33" i="65" s="1"/>
  <c r="G33" i="65" s="1"/>
  <c r="H33" i="65" s="1"/>
  <c r="I33" i="65" s="1"/>
  <c r="J33" i="65" s="1"/>
  <c r="K33" i="65" s="1"/>
  <c r="N33" i="65"/>
  <c r="AM33" i="65"/>
  <c r="AT32" i="53"/>
  <c r="AC32" i="53"/>
  <c r="Q32" i="53"/>
  <c r="AH32" i="53"/>
  <c r="AD32" i="53"/>
  <c r="R32" i="53"/>
  <c r="X32" i="53" s="1"/>
  <c r="AE32" i="53"/>
  <c r="AF31" i="53"/>
  <c r="B34" i="53"/>
  <c r="AK33" i="52" a="1"/>
  <c r="AK33" i="52" s="1"/>
  <c r="AA31" i="53"/>
  <c r="AB31" i="53"/>
  <c r="F33" i="53"/>
  <c r="N33" i="53"/>
  <c r="K33" i="53"/>
  <c r="I33" i="53"/>
  <c r="J33" i="53"/>
  <c r="P33" i="53"/>
  <c r="H33" i="53"/>
  <c r="D33" i="53"/>
  <c r="O33" i="53"/>
  <c r="L33" i="53"/>
  <c r="M33" i="53"/>
  <c r="G33" i="53"/>
  <c r="E33" i="53"/>
  <c r="C33" i="53"/>
  <c r="AL30" i="32"/>
  <c r="C31" i="32"/>
  <c r="W31" i="32"/>
  <c r="X31" i="32" s="1"/>
  <c r="V31" i="32"/>
  <c r="Z31" i="32"/>
  <c r="AJ31" i="32"/>
  <c r="U31" i="32"/>
  <c r="AD31" i="32" s="1"/>
  <c r="AG31" i="32" s="1"/>
  <c r="AH31" i="32" s="1"/>
  <c r="AI31" i="32" s="1"/>
  <c r="AM31" i="32"/>
  <c r="E33" i="32"/>
  <c r="AL33" i="11" a="1"/>
  <c r="AL33" i="11" s="1"/>
  <c r="AN30" i="32"/>
  <c r="F32" i="32"/>
  <c r="AK32" i="32"/>
  <c r="O32" i="32"/>
  <c r="T32" i="32"/>
  <c r="G32" i="32"/>
  <c r="N32" i="32"/>
  <c r="J32" i="32"/>
  <c r="I32" i="32"/>
  <c r="B32" i="32"/>
  <c r="R32" i="32" s="1"/>
  <c r="S32" i="32" s="1"/>
  <c r="H32" i="32"/>
  <c r="M32" i="32"/>
  <c r="K32" i="32"/>
  <c r="L32" i="32"/>
  <c r="A32" i="32"/>
  <c r="Q32" i="32" s="1"/>
  <c r="P32" i="32" s="1"/>
  <c r="B36" i="65" l="1"/>
  <c r="AO35" i="63" a="1"/>
  <c r="AO35" i="63" s="1"/>
  <c r="AE33" i="65"/>
  <c r="AV33" i="65"/>
  <c r="U33" i="65"/>
  <c r="AF33" i="65"/>
  <c r="Q33" i="65"/>
  <c r="AH33" i="65"/>
  <c r="R33" i="65"/>
  <c r="S33" i="65" s="1"/>
  <c r="Y33" i="65" s="1"/>
  <c r="AB33" i="65" s="1"/>
  <c r="AC33" i="65" s="1"/>
  <c r="AD33" i="65" s="1"/>
  <c r="O35" i="65"/>
  <c r="C35" i="65"/>
  <c r="L35" i="65"/>
  <c r="M35" i="65" s="1"/>
  <c r="AG32" i="65"/>
  <c r="N34" i="65"/>
  <c r="D34" i="65"/>
  <c r="E34" i="65" s="1"/>
  <c r="F34" i="65" s="1"/>
  <c r="G34" i="65" s="1"/>
  <c r="H34" i="65" s="1"/>
  <c r="I34" i="65" s="1"/>
  <c r="J34" i="65" s="1"/>
  <c r="K34" i="65" s="1"/>
  <c r="AM34" i="65"/>
  <c r="P34" i="65"/>
  <c r="Q33" i="53"/>
  <c r="AE33" i="53"/>
  <c r="AT33" i="53"/>
  <c r="AD33" i="53"/>
  <c r="AH33" i="53"/>
  <c r="AC33" i="53"/>
  <c r="R33" i="53"/>
  <c r="X33" i="53" s="1"/>
  <c r="AF32" i="53"/>
  <c r="AB32" i="53"/>
  <c r="AA32" i="53"/>
  <c r="AG33" i="53"/>
  <c r="B35" i="53"/>
  <c r="AK34" i="52" a="1"/>
  <c r="AK34" i="52" s="1"/>
  <c r="D34" i="53"/>
  <c r="E34" i="53"/>
  <c r="C34" i="53"/>
  <c r="L34" i="53"/>
  <c r="M34" i="53"/>
  <c r="G34" i="53"/>
  <c r="O34" i="53"/>
  <c r="AG34" i="53" s="1"/>
  <c r="P34" i="53"/>
  <c r="H34" i="53"/>
  <c r="J34" i="53"/>
  <c r="F34" i="53"/>
  <c r="I34" i="53"/>
  <c r="K34" i="53"/>
  <c r="N34" i="53"/>
  <c r="AN31" i="32"/>
  <c r="T33" i="32"/>
  <c r="N33" i="32"/>
  <c r="AK33" i="32"/>
  <c r="O33" i="32"/>
  <c r="M33" i="32"/>
  <c r="L33" i="32"/>
  <c r="K33" i="32"/>
  <c r="G33" i="32"/>
  <c r="J33" i="32"/>
  <c r="H33" i="32"/>
  <c r="I33" i="32"/>
  <c r="F33" i="32"/>
  <c r="A33" i="32"/>
  <c r="Q33" i="32" s="1"/>
  <c r="P33" i="32" s="1"/>
  <c r="B33" i="32"/>
  <c r="R33" i="32" s="1"/>
  <c r="S33" i="32" s="1"/>
  <c r="AL31" i="32"/>
  <c r="C32" i="32"/>
  <c r="V32" i="32"/>
  <c r="Z32" i="32"/>
  <c r="W32" i="32"/>
  <c r="X32" i="32" s="1"/>
  <c r="AJ32" i="32"/>
  <c r="U32" i="32"/>
  <c r="AD32" i="32" s="1"/>
  <c r="AG32" i="32" s="1"/>
  <c r="AH32" i="32" s="1"/>
  <c r="AI32" i="32" s="1"/>
  <c r="AM32" i="32"/>
  <c r="E34" i="32"/>
  <c r="AL34" i="11" a="1"/>
  <c r="AL34" i="11" s="1"/>
  <c r="N35" i="65" l="1"/>
  <c r="D35" i="65"/>
  <c r="E35" i="65" s="1"/>
  <c r="F35" i="65" s="1"/>
  <c r="G35" i="65" s="1"/>
  <c r="H35" i="65" s="1"/>
  <c r="I35" i="65" s="1"/>
  <c r="J35" i="65" s="1"/>
  <c r="K35" i="65" s="1"/>
  <c r="AM35" i="65"/>
  <c r="P35" i="65"/>
  <c r="O36" i="65"/>
  <c r="L36" i="65"/>
  <c r="M36" i="65" s="1"/>
  <c r="C36" i="65"/>
  <c r="U34" i="65"/>
  <c r="AH34" i="65"/>
  <c r="AE34" i="65"/>
  <c r="Q34" i="65"/>
  <c r="AV34" i="65"/>
  <c r="AF34" i="65"/>
  <c r="R34" i="65"/>
  <c r="S34" i="65" s="1"/>
  <c r="Y34" i="65" s="1"/>
  <c r="AB34" i="65" s="1"/>
  <c r="AC34" i="65" s="1"/>
  <c r="AD34" i="65" s="1"/>
  <c r="AG33" i="65"/>
  <c r="B37" i="65"/>
  <c r="AO36" i="63" a="1"/>
  <c r="AO36" i="63" s="1"/>
  <c r="AF33" i="53"/>
  <c r="B36" i="53"/>
  <c r="AK35" i="52" a="1"/>
  <c r="AK35" i="52" s="1"/>
  <c r="M35" i="53"/>
  <c r="P35" i="53"/>
  <c r="O35" i="53"/>
  <c r="AG35" i="53" s="1"/>
  <c r="F35" i="53"/>
  <c r="I35" i="53"/>
  <c r="D35" i="53"/>
  <c r="C35" i="53"/>
  <c r="E35" i="53"/>
  <c r="H35" i="53"/>
  <c r="L35" i="53"/>
  <c r="K35" i="53"/>
  <c r="J35" i="53"/>
  <c r="G35" i="53"/>
  <c r="N35" i="53"/>
  <c r="AA33" i="53"/>
  <c r="AB33" i="53"/>
  <c r="R34" i="53"/>
  <c r="X34" i="53" s="1"/>
  <c r="AE34" i="53"/>
  <c r="Q34" i="53"/>
  <c r="AT34" i="53"/>
  <c r="AC34" i="53"/>
  <c r="AH34" i="53"/>
  <c r="AD34" i="53"/>
  <c r="AN32" i="32"/>
  <c r="T34" i="32"/>
  <c r="O34" i="32"/>
  <c r="B34" i="32"/>
  <c r="R34" i="32" s="1"/>
  <c r="S34" i="32" s="1"/>
  <c r="L34" i="32"/>
  <c r="AK34" i="32"/>
  <c r="H34" i="32"/>
  <c r="M34" i="32"/>
  <c r="J34" i="32"/>
  <c r="I34" i="32"/>
  <c r="G34" i="32"/>
  <c r="N34" i="32"/>
  <c r="K34" i="32"/>
  <c r="F34" i="32"/>
  <c r="A34" i="32"/>
  <c r="Q34" i="32" s="1"/>
  <c r="P34" i="32" s="1"/>
  <c r="E35" i="32"/>
  <c r="AL35" i="11" a="1"/>
  <c r="AL35" i="11" s="1"/>
  <c r="AL32" i="32"/>
  <c r="V33" i="32"/>
  <c r="C33" i="32"/>
  <c r="W33" i="32"/>
  <c r="X33" i="32" s="1"/>
  <c r="AJ33" i="32"/>
  <c r="Z33" i="32"/>
  <c r="U33" i="32"/>
  <c r="AD33" i="32" s="1"/>
  <c r="AG33" i="32" s="1"/>
  <c r="AH33" i="32" s="1"/>
  <c r="AI33" i="32" s="1"/>
  <c r="AM33" i="32"/>
  <c r="B38" i="65" l="1"/>
  <c r="AO37" i="63" a="1"/>
  <c r="AO37" i="63" s="1"/>
  <c r="U35" i="65"/>
  <c r="AV35" i="65"/>
  <c r="AF35" i="65"/>
  <c r="Q35" i="65"/>
  <c r="R35" i="65"/>
  <c r="S35" i="65" s="1"/>
  <c r="AH35" i="65"/>
  <c r="AE35" i="65"/>
  <c r="C37" i="65"/>
  <c r="O37" i="65"/>
  <c r="L37" i="65"/>
  <c r="M37" i="65" s="1"/>
  <c r="P36" i="65"/>
  <c r="D36" i="65"/>
  <c r="E36" i="65" s="1"/>
  <c r="F36" i="65" s="1"/>
  <c r="G36" i="65" s="1"/>
  <c r="H36" i="65" s="1"/>
  <c r="I36" i="65" s="1"/>
  <c r="J36" i="65" s="1"/>
  <c r="K36" i="65" s="1"/>
  <c r="N36" i="65"/>
  <c r="AM36" i="65"/>
  <c r="Y35" i="65"/>
  <c r="AB35" i="65" s="1"/>
  <c r="AC35" i="65" s="1"/>
  <c r="AD35" i="65" s="1"/>
  <c r="AG34" i="65"/>
  <c r="AF34" i="53"/>
  <c r="H36" i="53"/>
  <c r="M36" i="53"/>
  <c r="E36" i="53"/>
  <c r="J36" i="53"/>
  <c r="P36" i="53"/>
  <c r="F36" i="53"/>
  <c r="L36" i="53"/>
  <c r="G36" i="53"/>
  <c r="N36" i="53"/>
  <c r="C36" i="53"/>
  <c r="I36" i="53"/>
  <c r="D36" i="53"/>
  <c r="K36" i="53"/>
  <c r="O36" i="53"/>
  <c r="AG36" i="53" s="1"/>
  <c r="B37" i="53"/>
  <c r="AK36" i="52" a="1"/>
  <c r="AK36" i="52" s="1"/>
  <c r="AA34" i="53"/>
  <c r="AB34" i="53"/>
  <c r="AD35" i="53"/>
  <c r="AE35" i="53"/>
  <c r="AH35" i="53"/>
  <c r="Q35" i="53"/>
  <c r="AC35" i="53"/>
  <c r="R35" i="53"/>
  <c r="X35" i="53" s="1"/>
  <c r="AT35" i="53"/>
  <c r="E36" i="32"/>
  <c r="AL36" i="11" a="1"/>
  <c r="AL36" i="11" s="1"/>
  <c r="AN33" i="32"/>
  <c r="T35" i="32"/>
  <c r="O35" i="32"/>
  <c r="F35" i="32"/>
  <c r="AK35" i="32"/>
  <c r="N35" i="32"/>
  <c r="A35" i="32"/>
  <c r="Q35" i="32" s="1"/>
  <c r="P35" i="32" s="1"/>
  <c r="M35" i="32"/>
  <c r="H35" i="32"/>
  <c r="K35" i="32"/>
  <c r="B35" i="32"/>
  <c r="R35" i="32" s="1"/>
  <c r="S35" i="32" s="1"/>
  <c r="L35" i="32"/>
  <c r="J35" i="32"/>
  <c r="G35" i="32"/>
  <c r="I35" i="32"/>
  <c r="AL33" i="32"/>
  <c r="AM34" i="32"/>
  <c r="U34" i="32"/>
  <c r="AD34" i="32" s="1"/>
  <c r="AG34" i="32" s="1"/>
  <c r="AH34" i="32" s="1"/>
  <c r="AI34" i="32" s="1"/>
  <c r="V34" i="32"/>
  <c r="Z34" i="32"/>
  <c r="C34" i="32"/>
  <c r="AJ34" i="32"/>
  <c r="W34" i="32"/>
  <c r="X34" i="32" s="1"/>
  <c r="B39" i="65" l="1"/>
  <c r="AO38" i="63" a="1"/>
  <c r="AO38" i="63" s="1"/>
  <c r="O38" i="65"/>
  <c r="C38" i="65"/>
  <c r="L38" i="65"/>
  <c r="M38" i="65" s="1"/>
  <c r="Q36" i="65"/>
  <c r="AF36" i="65"/>
  <c r="R36" i="65"/>
  <c r="S36" i="65" s="1"/>
  <c r="AV36" i="65"/>
  <c r="AE36" i="65"/>
  <c r="AH36" i="65"/>
  <c r="U36" i="65"/>
  <c r="D37" i="65"/>
  <c r="E37" i="65" s="1"/>
  <c r="F37" i="65" s="1"/>
  <c r="G37" i="65" s="1"/>
  <c r="H37" i="65" s="1"/>
  <c r="I37" i="65" s="1"/>
  <c r="J37" i="65" s="1"/>
  <c r="K37" i="65" s="1"/>
  <c r="P37" i="65"/>
  <c r="AM37" i="65"/>
  <c r="N37" i="65"/>
  <c r="AG35" i="65"/>
  <c r="Y36" i="65"/>
  <c r="AB36" i="65" s="1"/>
  <c r="AC36" i="65" s="1"/>
  <c r="AD36" i="65" s="1"/>
  <c r="B38" i="53"/>
  <c r="AK37" i="52" a="1"/>
  <c r="AK37" i="52" s="1"/>
  <c r="N37" i="53"/>
  <c r="E37" i="53"/>
  <c r="D37" i="53"/>
  <c r="P37" i="53"/>
  <c r="O37" i="53"/>
  <c r="I37" i="53"/>
  <c r="G37" i="53"/>
  <c r="C37" i="53"/>
  <c r="L37" i="53"/>
  <c r="F37" i="53"/>
  <c r="M37" i="53"/>
  <c r="K37" i="53"/>
  <c r="H37" i="53"/>
  <c r="J37" i="53"/>
  <c r="AA35" i="53"/>
  <c r="AB35" i="53"/>
  <c r="AF35" i="53"/>
  <c r="AH36" i="53"/>
  <c r="Q36" i="53"/>
  <c r="AC36" i="53"/>
  <c r="AE36" i="53"/>
  <c r="AT36" i="53"/>
  <c r="R36" i="53"/>
  <c r="X36" i="53" s="1"/>
  <c r="AD36" i="53"/>
  <c r="AL34" i="32"/>
  <c r="O36" i="32"/>
  <c r="T36" i="32"/>
  <c r="H36" i="32"/>
  <c r="F36" i="32"/>
  <c r="AK36" i="32"/>
  <c r="A36" i="32"/>
  <c r="Q36" i="32" s="1"/>
  <c r="P36" i="32" s="1"/>
  <c r="K36" i="32"/>
  <c r="G36" i="32"/>
  <c r="I36" i="32"/>
  <c r="J36" i="32"/>
  <c r="B36" i="32"/>
  <c r="R36" i="32" s="1"/>
  <c r="S36" i="32" s="1"/>
  <c r="N36" i="32"/>
  <c r="M36" i="32"/>
  <c r="L36" i="32"/>
  <c r="U35" i="32"/>
  <c r="AD35" i="32" s="1"/>
  <c r="AG35" i="32" s="1"/>
  <c r="AH35" i="32" s="1"/>
  <c r="AI35" i="32" s="1"/>
  <c r="AM35" i="32"/>
  <c r="W35" i="32"/>
  <c r="X35" i="32" s="1"/>
  <c r="V35" i="32"/>
  <c r="C35" i="32"/>
  <c r="AJ35" i="32"/>
  <c r="Z35" i="32"/>
  <c r="AN34" i="32"/>
  <c r="E37" i="32"/>
  <c r="AL37" i="11" a="1"/>
  <c r="AL37" i="11" s="1"/>
  <c r="O39" i="65" l="1"/>
  <c r="L39" i="65"/>
  <c r="M39" i="65" s="1"/>
  <c r="C39" i="65"/>
  <c r="U37" i="65"/>
  <c r="AV37" i="65"/>
  <c r="AF37" i="65"/>
  <c r="AG37" i="65" s="1"/>
  <c r="R37" i="65"/>
  <c r="S37" i="65" s="1"/>
  <c r="Q37" i="65"/>
  <c r="AE37" i="65"/>
  <c r="AH37" i="65"/>
  <c r="AG36" i="65"/>
  <c r="Y37" i="65"/>
  <c r="AB37" i="65" s="1"/>
  <c r="AC37" i="65" s="1"/>
  <c r="AD37" i="65" s="1"/>
  <c r="P38" i="65"/>
  <c r="N38" i="65"/>
  <c r="AM38" i="65"/>
  <c r="D38" i="65"/>
  <c r="E38" i="65" s="1"/>
  <c r="F38" i="65" s="1"/>
  <c r="G38" i="65" s="1"/>
  <c r="H38" i="65" s="1"/>
  <c r="I38" i="65" s="1"/>
  <c r="J38" i="65" s="1"/>
  <c r="K38" i="65" s="1"/>
  <c r="B40" i="65"/>
  <c r="AO39" i="63" a="1"/>
  <c r="AO39" i="63" s="1"/>
  <c r="AF36" i="53"/>
  <c r="AG37" i="53"/>
  <c r="B39" i="53"/>
  <c r="AK38" i="52" a="1"/>
  <c r="AK38" i="52" s="1"/>
  <c r="M38" i="53"/>
  <c r="P38" i="53"/>
  <c r="N38" i="53"/>
  <c r="K38" i="53"/>
  <c r="E38" i="53"/>
  <c r="D38" i="53"/>
  <c r="J38" i="53"/>
  <c r="G38" i="53"/>
  <c r="O38" i="53"/>
  <c r="AG38" i="53" s="1"/>
  <c r="F38" i="53"/>
  <c r="L38" i="53"/>
  <c r="H38" i="53"/>
  <c r="C38" i="53"/>
  <c r="I38" i="53"/>
  <c r="AC37" i="53"/>
  <c r="AD37" i="53"/>
  <c r="AH37" i="53"/>
  <c r="R37" i="53"/>
  <c r="X37" i="53" s="1"/>
  <c r="AE37" i="53"/>
  <c r="Q37" i="53"/>
  <c r="AT37" i="53"/>
  <c r="AA36" i="53"/>
  <c r="AB36" i="53"/>
  <c r="AL35" i="32"/>
  <c r="E38" i="32"/>
  <c r="AL38" i="11" a="1"/>
  <c r="AL38" i="11" s="1"/>
  <c r="AK37" i="32"/>
  <c r="O37" i="32"/>
  <c r="T37" i="32"/>
  <c r="K37" i="32"/>
  <c r="A37" i="32"/>
  <c r="Q37" i="32" s="1"/>
  <c r="P37" i="32" s="1"/>
  <c r="J37" i="32"/>
  <c r="M37" i="32"/>
  <c r="N37" i="32"/>
  <c r="G37" i="32"/>
  <c r="B37" i="32"/>
  <c r="R37" i="32" s="1"/>
  <c r="S37" i="32" s="1"/>
  <c r="H37" i="32"/>
  <c r="I37" i="32"/>
  <c r="L37" i="32"/>
  <c r="F37" i="32"/>
  <c r="AN35" i="32"/>
  <c r="U36" i="32"/>
  <c r="AD36" i="32" s="1"/>
  <c r="AG36" i="32" s="1"/>
  <c r="AH36" i="32" s="1"/>
  <c r="AI36" i="32" s="1"/>
  <c r="AM36" i="32"/>
  <c r="V36" i="32"/>
  <c r="Z36" i="32"/>
  <c r="AJ36" i="32"/>
  <c r="W36" i="32"/>
  <c r="X36" i="32" s="1"/>
  <c r="C36" i="32"/>
  <c r="O40" i="65" l="1"/>
  <c r="C40" i="65"/>
  <c r="L40" i="65"/>
  <c r="M40" i="65" s="1"/>
  <c r="B41" i="65"/>
  <c r="AO40" i="63" a="1"/>
  <c r="AO40" i="63" s="1"/>
  <c r="Y38" i="65"/>
  <c r="AB38" i="65" s="1"/>
  <c r="AC38" i="65" s="1"/>
  <c r="AD38" i="65" s="1"/>
  <c r="R38" i="65"/>
  <c r="S38" i="65" s="1"/>
  <c r="AV38" i="65"/>
  <c r="AH38" i="65"/>
  <c r="AF38" i="65"/>
  <c r="AG38" i="65" s="1"/>
  <c r="AE38" i="65"/>
  <c r="U38" i="65"/>
  <c r="Q38" i="65"/>
  <c r="P39" i="65"/>
  <c r="AM39" i="65"/>
  <c r="D39" i="65"/>
  <c r="E39" i="65" s="1"/>
  <c r="F39" i="65" s="1"/>
  <c r="G39" i="65" s="1"/>
  <c r="H39" i="65" s="1"/>
  <c r="I39" i="65" s="1"/>
  <c r="J39" i="65" s="1"/>
  <c r="K39" i="65" s="1"/>
  <c r="N39" i="65"/>
  <c r="AA37" i="53"/>
  <c r="AB37" i="53"/>
  <c r="AF37" i="53"/>
  <c r="Q38" i="53"/>
  <c r="AH38" i="53"/>
  <c r="AT38" i="53"/>
  <c r="AC38" i="53"/>
  <c r="R38" i="53"/>
  <c r="X38" i="53" s="1"/>
  <c r="AD38" i="53"/>
  <c r="AE38" i="53"/>
  <c r="B40" i="53"/>
  <c r="AK39" i="52" a="1"/>
  <c r="AK39" i="52" s="1"/>
  <c r="G39" i="53"/>
  <c r="P39" i="53"/>
  <c r="D39" i="53"/>
  <c r="E39" i="53"/>
  <c r="H39" i="53"/>
  <c r="I39" i="53"/>
  <c r="M39" i="53"/>
  <c r="N39" i="53"/>
  <c r="C39" i="53"/>
  <c r="F39" i="53"/>
  <c r="O39" i="53"/>
  <c r="K39" i="53"/>
  <c r="L39" i="53"/>
  <c r="J39" i="53"/>
  <c r="AN36" i="32"/>
  <c r="AL36" i="32"/>
  <c r="U37" i="32"/>
  <c r="AD37" i="32" s="1"/>
  <c r="AG37" i="32" s="1"/>
  <c r="AH37" i="32" s="1"/>
  <c r="AI37" i="32" s="1"/>
  <c r="AM37" i="32"/>
  <c r="C37" i="32"/>
  <c r="V37" i="32"/>
  <c r="AJ37" i="32"/>
  <c r="W37" i="32"/>
  <c r="X37" i="32" s="1"/>
  <c r="Z37" i="32"/>
  <c r="E39" i="32"/>
  <c r="AL39" i="11" a="1"/>
  <c r="AL39" i="11" s="1"/>
  <c r="T38" i="32"/>
  <c r="AK38" i="32"/>
  <c r="O38" i="32"/>
  <c r="B38" i="32"/>
  <c r="R38" i="32" s="1"/>
  <c r="S38" i="32" s="1"/>
  <c r="J38" i="32"/>
  <c r="I38" i="32"/>
  <c r="A38" i="32"/>
  <c r="Q38" i="32" s="1"/>
  <c r="P38" i="32" s="1"/>
  <c r="F38" i="32"/>
  <c r="K38" i="32"/>
  <c r="L38" i="32"/>
  <c r="M38" i="32"/>
  <c r="H38" i="32"/>
  <c r="N38" i="32"/>
  <c r="G38" i="32"/>
  <c r="U39" i="65" l="1"/>
  <c r="AF39" i="65"/>
  <c r="Q39" i="65"/>
  <c r="AE39" i="65"/>
  <c r="AV39" i="65"/>
  <c r="R39" i="65"/>
  <c r="S39" i="65" s="1"/>
  <c r="AH39" i="65"/>
  <c r="Y39" i="65"/>
  <c r="AB39" i="65" s="1"/>
  <c r="AC39" i="65" s="1"/>
  <c r="AD39" i="65" s="1"/>
  <c r="P40" i="65"/>
  <c r="D40" i="65"/>
  <c r="E40" i="65" s="1"/>
  <c r="F40" i="65" s="1"/>
  <c r="G40" i="65" s="1"/>
  <c r="H40" i="65" s="1"/>
  <c r="I40" i="65" s="1"/>
  <c r="J40" i="65" s="1"/>
  <c r="K40" i="65" s="1"/>
  <c r="AM40" i="65"/>
  <c r="N40" i="65"/>
  <c r="B42" i="65"/>
  <c r="AO41" i="63" a="1"/>
  <c r="AO41" i="63" s="1"/>
  <c r="O41" i="65"/>
  <c r="C41" i="65"/>
  <c r="L41" i="65"/>
  <c r="M41" i="65" s="1"/>
  <c r="AA38" i="53"/>
  <c r="AB38" i="53"/>
  <c r="AG39" i="53"/>
  <c r="B41" i="53"/>
  <c r="AK40" i="52" a="1"/>
  <c r="AK40" i="52" s="1"/>
  <c r="AC39" i="53"/>
  <c r="AD39" i="53"/>
  <c r="AH39" i="53"/>
  <c r="AE39" i="53"/>
  <c r="Q39" i="53"/>
  <c r="AT39" i="53"/>
  <c r="R39" i="53"/>
  <c r="X39" i="53" s="1"/>
  <c r="L40" i="53"/>
  <c r="H40" i="53"/>
  <c r="E40" i="53"/>
  <c r="C40" i="53"/>
  <c r="D40" i="53"/>
  <c r="O40" i="53"/>
  <c r="AG40" i="53" s="1"/>
  <c r="F40" i="53"/>
  <c r="M40" i="53"/>
  <c r="G40" i="53"/>
  <c r="J40" i="53"/>
  <c r="P40" i="53"/>
  <c r="K40" i="53"/>
  <c r="N40" i="53"/>
  <c r="I40" i="53"/>
  <c r="AF38" i="53"/>
  <c r="U38" i="32"/>
  <c r="AD38" i="32" s="1"/>
  <c r="AG38" i="32" s="1"/>
  <c r="AH38" i="32" s="1"/>
  <c r="AI38" i="32" s="1"/>
  <c r="AM38" i="32"/>
  <c r="AK39" i="32"/>
  <c r="T39" i="32"/>
  <c r="O39" i="32"/>
  <c r="I39" i="32"/>
  <c r="G39" i="32"/>
  <c r="M39" i="32"/>
  <c r="L39" i="32"/>
  <c r="N39" i="32"/>
  <c r="A39" i="32"/>
  <c r="Q39" i="32" s="1"/>
  <c r="P39" i="32" s="1"/>
  <c r="F39" i="32"/>
  <c r="H39" i="32"/>
  <c r="J39" i="32"/>
  <c r="B39" i="32"/>
  <c r="R39" i="32" s="1"/>
  <c r="S39" i="32" s="1"/>
  <c r="K39" i="32"/>
  <c r="C38" i="32"/>
  <c r="W38" i="32"/>
  <c r="X38" i="32" s="1"/>
  <c r="V38" i="32"/>
  <c r="Z38" i="32"/>
  <c r="AJ38" i="32"/>
  <c r="AL37" i="32"/>
  <c r="AN37" i="32"/>
  <c r="E40" i="32"/>
  <c r="AL40" i="11" a="1"/>
  <c r="AL40" i="11" s="1"/>
  <c r="B43" i="65" l="1"/>
  <c r="AO42" i="63" a="1"/>
  <c r="AO42" i="63" s="1"/>
  <c r="L42" i="65"/>
  <c r="M42" i="65" s="1"/>
  <c r="C42" i="65"/>
  <c r="O42" i="65"/>
  <c r="Q40" i="65"/>
  <c r="AE40" i="65"/>
  <c r="AV40" i="65"/>
  <c r="AH40" i="65"/>
  <c r="R40" i="65"/>
  <c r="S40" i="65" s="1"/>
  <c r="Y40" i="65" s="1"/>
  <c r="AB40" i="65" s="1"/>
  <c r="AC40" i="65" s="1"/>
  <c r="AD40" i="65" s="1"/>
  <c r="U40" i="65"/>
  <c r="AF40" i="65"/>
  <c r="AM41" i="65"/>
  <c r="N41" i="65"/>
  <c r="P41" i="65"/>
  <c r="D41" i="65"/>
  <c r="E41" i="65" s="1"/>
  <c r="F41" i="65" s="1"/>
  <c r="G41" i="65" s="1"/>
  <c r="H41" i="65" s="1"/>
  <c r="I41" i="65" s="1"/>
  <c r="J41" i="65" s="1"/>
  <c r="K41" i="65" s="1"/>
  <c r="AG39" i="65"/>
  <c r="AF39" i="53"/>
  <c r="B42" i="53"/>
  <c r="AK41" i="52" a="1"/>
  <c r="AK41" i="52" s="1"/>
  <c r="AD40" i="53"/>
  <c r="Q40" i="53"/>
  <c r="R40" i="53"/>
  <c r="X40" i="53" s="1"/>
  <c r="AH40" i="53"/>
  <c r="AE40" i="53"/>
  <c r="AC40" i="53"/>
  <c r="AT40" i="53"/>
  <c r="G41" i="53"/>
  <c r="O41" i="53"/>
  <c r="AG41" i="53" s="1"/>
  <c r="K41" i="53"/>
  <c r="P41" i="53"/>
  <c r="E41" i="53"/>
  <c r="C41" i="53"/>
  <c r="I41" i="53"/>
  <c r="D41" i="53"/>
  <c r="M41" i="53"/>
  <c r="J41" i="53"/>
  <c r="L41" i="53"/>
  <c r="F41" i="53"/>
  <c r="N41" i="53"/>
  <c r="H41" i="53"/>
  <c r="AA39" i="53"/>
  <c r="AB39" i="53"/>
  <c r="AL38" i="32"/>
  <c r="AK40" i="32"/>
  <c r="O40" i="32"/>
  <c r="T40" i="32"/>
  <c r="M40" i="32"/>
  <c r="F40" i="32"/>
  <c r="N40" i="32"/>
  <c r="H40" i="32"/>
  <c r="L40" i="32"/>
  <c r="K40" i="32"/>
  <c r="I40" i="32"/>
  <c r="J40" i="32"/>
  <c r="G40" i="32"/>
  <c r="A40" i="32"/>
  <c r="Q40" i="32" s="1"/>
  <c r="P40" i="32" s="1"/>
  <c r="B40" i="32"/>
  <c r="R40" i="32" s="1"/>
  <c r="S40" i="32" s="1"/>
  <c r="W39" i="32"/>
  <c r="X39" i="32" s="1"/>
  <c r="C39" i="32"/>
  <c r="V39" i="32"/>
  <c r="AJ39" i="32"/>
  <c r="Z39" i="32"/>
  <c r="U39" i="32"/>
  <c r="AD39" i="32" s="1"/>
  <c r="AG39" i="32" s="1"/>
  <c r="AH39" i="32" s="1"/>
  <c r="AI39" i="32" s="1"/>
  <c r="AM39" i="32"/>
  <c r="AN38" i="32"/>
  <c r="E41" i="32"/>
  <c r="AL41" i="11" a="1"/>
  <c r="AL41" i="11" s="1"/>
  <c r="B44" i="65" l="1"/>
  <c r="AO43" i="63" a="1"/>
  <c r="AO43" i="63" s="1"/>
  <c r="L43" i="65"/>
  <c r="M43" i="65" s="1"/>
  <c r="C43" i="65"/>
  <c r="O43" i="65"/>
  <c r="AF41" i="65"/>
  <c r="AV41" i="65"/>
  <c r="Q41" i="65"/>
  <c r="U41" i="65"/>
  <c r="AH41" i="65"/>
  <c r="AE41" i="65"/>
  <c r="R41" i="65"/>
  <c r="S41" i="65" s="1"/>
  <c r="Y41" i="65" s="1"/>
  <c r="AB41" i="65" s="1"/>
  <c r="AC41" i="65" s="1"/>
  <c r="AD41" i="65" s="1"/>
  <c r="AG40" i="65"/>
  <c r="N42" i="65"/>
  <c r="P42" i="65"/>
  <c r="D42" i="65"/>
  <c r="E42" i="65" s="1"/>
  <c r="F42" i="65" s="1"/>
  <c r="G42" i="65" s="1"/>
  <c r="H42" i="65" s="1"/>
  <c r="I42" i="65" s="1"/>
  <c r="J42" i="65" s="1"/>
  <c r="K42" i="65" s="1"/>
  <c r="AM42" i="65"/>
  <c r="AF40" i="53"/>
  <c r="AA40" i="53"/>
  <c r="AB40" i="53"/>
  <c r="B43" i="53"/>
  <c r="AK42" i="52" a="1"/>
  <c r="AK42" i="52" s="1"/>
  <c r="AD41" i="53"/>
  <c r="R41" i="53"/>
  <c r="X41" i="53" s="1"/>
  <c r="AT41" i="53"/>
  <c r="AE41" i="53"/>
  <c r="AC41" i="53"/>
  <c r="Q41" i="53"/>
  <c r="AH41" i="53"/>
  <c r="H42" i="53"/>
  <c r="O42" i="53"/>
  <c r="AG42" i="53" s="1"/>
  <c r="P42" i="53"/>
  <c r="E42" i="53"/>
  <c r="C42" i="53"/>
  <c r="F42" i="53"/>
  <c r="L42" i="53"/>
  <c r="J42" i="53"/>
  <c r="G42" i="53"/>
  <c r="M42" i="53"/>
  <c r="D42" i="53"/>
  <c r="I42" i="53"/>
  <c r="K42" i="53"/>
  <c r="N42" i="53"/>
  <c r="AN39" i="32"/>
  <c r="AL39" i="32"/>
  <c r="C40" i="32"/>
  <c r="V40" i="32"/>
  <c r="Z40" i="32"/>
  <c r="AJ40" i="32"/>
  <c r="W40" i="32"/>
  <c r="X40" i="32" s="1"/>
  <c r="U40" i="32"/>
  <c r="AD40" i="32" s="1"/>
  <c r="AG40" i="32" s="1"/>
  <c r="AH40" i="32" s="1"/>
  <c r="AI40" i="32" s="1"/>
  <c r="AM40" i="32"/>
  <c r="E42" i="32"/>
  <c r="AL42" i="11" a="1"/>
  <c r="AL42" i="11" s="1"/>
  <c r="AK41" i="32"/>
  <c r="A41" i="32"/>
  <c r="Q41" i="32" s="1"/>
  <c r="P41" i="32" s="1"/>
  <c r="L41" i="32"/>
  <c r="O41" i="32"/>
  <c r="T41" i="32"/>
  <c r="N41" i="32"/>
  <c r="G41" i="32"/>
  <c r="I41" i="32"/>
  <c r="F41" i="32"/>
  <c r="K41" i="32"/>
  <c r="B41" i="32"/>
  <c r="R41" i="32" s="1"/>
  <c r="S41" i="32" s="1"/>
  <c r="H41" i="32"/>
  <c r="M41" i="32"/>
  <c r="J41" i="32"/>
  <c r="O44" i="65" l="1"/>
  <c r="L44" i="65"/>
  <c r="M44" i="65" s="1"/>
  <c r="C44" i="65"/>
  <c r="U42" i="65"/>
  <c r="Q42" i="65"/>
  <c r="R42" i="65"/>
  <c r="S42" i="65" s="1"/>
  <c r="Y42" i="65" s="1"/>
  <c r="AB42" i="65" s="1"/>
  <c r="AC42" i="65" s="1"/>
  <c r="AD42" i="65" s="1"/>
  <c r="AF42" i="65"/>
  <c r="AE42" i="65"/>
  <c r="AV42" i="65"/>
  <c r="AH42" i="65"/>
  <c r="AG41" i="65"/>
  <c r="N43" i="65"/>
  <c r="D43" i="65"/>
  <c r="E43" i="65" s="1"/>
  <c r="F43" i="65" s="1"/>
  <c r="G43" i="65" s="1"/>
  <c r="H43" i="65" s="1"/>
  <c r="I43" i="65" s="1"/>
  <c r="J43" i="65" s="1"/>
  <c r="K43" i="65" s="1"/>
  <c r="P43" i="65"/>
  <c r="AM43" i="65"/>
  <c r="B45" i="65"/>
  <c r="AO44" i="63" a="1"/>
  <c r="AO44" i="63" s="1"/>
  <c r="AF41" i="53"/>
  <c r="AB41" i="53"/>
  <c r="AA41" i="53"/>
  <c r="B44" i="53"/>
  <c r="AK43" i="52" a="1"/>
  <c r="AK43" i="52" s="1"/>
  <c r="R42" i="53"/>
  <c r="X42" i="53" s="1"/>
  <c r="AH42" i="53"/>
  <c r="AC42" i="53"/>
  <c r="AE42" i="53"/>
  <c r="AT42" i="53"/>
  <c r="AD42" i="53"/>
  <c r="Q42" i="53"/>
  <c r="E43" i="53"/>
  <c r="D43" i="53"/>
  <c r="M43" i="53"/>
  <c r="C43" i="53"/>
  <c r="O43" i="53"/>
  <c r="AG43" i="53" s="1"/>
  <c r="L43" i="53"/>
  <c r="J43" i="53"/>
  <c r="P43" i="53"/>
  <c r="N43" i="53"/>
  <c r="G43" i="53"/>
  <c r="H43" i="53"/>
  <c r="K43" i="53"/>
  <c r="F43" i="53"/>
  <c r="I43" i="53"/>
  <c r="AK42" i="32"/>
  <c r="T42" i="32"/>
  <c r="O42" i="32"/>
  <c r="J42" i="32"/>
  <c r="G42" i="32"/>
  <c r="I42" i="32"/>
  <c r="N42" i="32"/>
  <c r="M42" i="32"/>
  <c r="H42" i="32"/>
  <c r="B42" i="32"/>
  <c r="R42" i="32" s="1"/>
  <c r="S42" i="32" s="1"/>
  <c r="F42" i="32"/>
  <c r="K42" i="32"/>
  <c r="L42" i="32"/>
  <c r="A42" i="32"/>
  <c r="Q42" i="32" s="1"/>
  <c r="P42" i="32" s="1"/>
  <c r="C41" i="32"/>
  <c r="W41" i="32"/>
  <c r="X41" i="32" s="1"/>
  <c r="V41" i="32"/>
  <c r="Z41" i="32"/>
  <c r="AJ41" i="32"/>
  <c r="AL40" i="32"/>
  <c r="E43" i="32"/>
  <c r="AL43" i="11" a="1"/>
  <c r="AL43" i="11" s="1"/>
  <c r="U41" i="32"/>
  <c r="AD41" i="32" s="1"/>
  <c r="AG41" i="32" s="1"/>
  <c r="AH41" i="32" s="1"/>
  <c r="AI41" i="32" s="1"/>
  <c r="AM41" i="32"/>
  <c r="AN40" i="32"/>
  <c r="B46" i="65" l="1"/>
  <c r="AO45" i="63" a="1"/>
  <c r="AO45" i="63" s="1"/>
  <c r="O45" i="65"/>
  <c r="L45" i="65"/>
  <c r="M45" i="65" s="1"/>
  <c r="C45" i="65"/>
  <c r="AG42" i="65"/>
  <c r="Y43" i="65"/>
  <c r="AB43" i="65" s="1"/>
  <c r="AC43" i="65" s="1"/>
  <c r="AD43" i="65" s="1"/>
  <c r="AE43" i="65"/>
  <c r="AH43" i="65"/>
  <c r="AV43" i="65"/>
  <c r="U43" i="65"/>
  <c r="Q43" i="65"/>
  <c r="AF43" i="65"/>
  <c r="R43" i="65"/>
  <c r="S43" i="65" s="1"/>
  <c r="D44" i="65"/>
  <c r="E44" i="65" s="1"/>
  <c r="F44" i="65" s="1"/>
  <c r="G44" i="65" s="1"/>
  <c r="H44" i="65" s="1"/>
  <c r="I44" i="65" s="1"/>
  <c r="J44" i="65" s="1"/>
  <c r="K44" i="65" s="1"/>
  <c r="AM44" i="65"/>
  <c r="P44" i="65"/>
  <c r="N44" i="65"/>
  <c r="AF42" i="53"/>
  <c r="AH43" i="53"/>
  <c r="AD43" i="53"/>
  <c r="Q43" i="53"/>
  <c r="AE43" i="53"/>
  <c r="AC43" i="53"/>
  <c r="R43" i="53"/>
  <c r="X43" i="53" s="1"/>
  <c r="AT43" i="53"/>
  <c r="AA42" i="53"/>
  <c r="AB42" i="53"/>
  <c r="B45" i="53"/>
  <c r="AK44" i="52" a="1"/>
  <c r="AK44" i="52" s="1"/>
  <c r="C44" i="53"/>
  <c r="O44" i="53"/>
  <c r="AG44" i="53" s="1"/>
  <c r="D44" i="53"/>
  <c r="L44" i="53"/>
  <c r="P44" i="53"/>
  <c r="K44" i="53"/>
  <c r="H44" i="53"/>
  <c r="F44" i="53"/>
  <c r="M44" i="53"/>
  <c r="I44" i="53"/>
  <c r="J44" i="53"/>
  <c r="E44" i="53"/>
  <c r="G44" i="53"/>
  <c r="N44" i="53"/>
  <c r="C42" i="32"/>
  <c r="W42" i="32"/>
  <c r="X42" i="32" s="1"/>
  <c r="Z42" i="32"/>
  <c r="AJ42" i="32"/>
  <c r="V42" i="32"/>
  <c r="AL41" i="32"/>
  <c r="AN41" i="32"/>
  <c r="E44" i="32"/>
  <c r="AL44" i="11" a="1"/>
  <c r="AL44" i="11" s="1"/>
  <c r="AK43" i="32"/>
  <c r="T43" i="32"/>
  <c r="O43" i="32"/>
  <c r="K43" i="32"/>
  <c r="F43" i="32"/>
  <c r="N43" i="32"/>
  <c r="B43" i="32"/>
  <c r="R43" i="32" s="1"/>
  <c r="S43" i="32" s="1"/>
  <c r="M43" i="32"/>
  <c r="I43" i="32"/>
  <c r="G43" i="32"/>
  <c r="A43" i="32"/>
  <c r="Q43" i="32" s="1"/>
  <c r="P43" i="32" s="1"/>
  <c r="L43" i="32"/>
  <c r="J43" i="32"/>
  <c r="H43" i="32"/>
  <c r="U42" i="32"/>
  <c r="AD42" i="32" s="1"/>
  <c r="AG42" i="32" s="1"/>
  <c r="AH42" i="32" s="1"/>
  <c r="AI42" i="32" s="1"/>
  <c r="AM42" i="32"/>
  <c r="AF44" i="65" l="1"/>
  <c r="AE44" i="65"/>
  <c r="Q44" i="65"/>
  <c r="U44" i="65"/>
  <c r="AH44" i="65"/>
  <c r="AV44" i="65"/>
  <c r="R44" i="65"/>
  <c r="S44" i="65" s="1"/>
  <c r="Y44" i="65"/>
  <c r="AB44" i="65" s="1"/>
  <c r="AC44" i="65" s="1"/>
  <c r="AD44" i="65" s="1"/>
  <c r="O46" i="65"/>
  <c r="C46" i="65"/>
  <c r="L46" i="65"/>
  <c r="M46" i="65" s="1"/>
  <c r="AG43" i="65"/>
  <c r="N45" i="65"/>
  <c r="AM45" i="65"/>
  <c r="D45" i="65"/>
  <c r="E45" i="65" s="1"/>
  <c r="F45" i="65" s="1"/>
  <c r="G45" i="65" s="1"/>
  <c r="H45" i="65" s="1"/>
  <c r="I45" i="65" s="1"/>
  <c r="J45" i="65" s="1"/>
  <c r="K45" i="65" s="1"/>
  <c r="P45" i="65"/>
  <c r="B47" i="65"/>
  <c r="AO46" i="63" a="1"/>
  <c r="AO46" i="63" s="1"/>
  <c r="AB43" i="53"/>
  <c r="AA43" i="53"/>
  <c r="AT44" i="53"/>
  <c r="AD44" i="53"/>
  <c r="AC44" i="53"/>
  <c r="Q44" i="53"/>
  <c r="AH44" i="53"/>
  <c r="R44" i="53"/>
  <c r="X44" i="53" s="1"/>
  <c r="AE44" i="53"/>
  <c r="AF43" i="53"/>
  <c r="B46" i="53"/>
  <c r="AK45" i="52" a="1"/>
  <c r="AK45" i="52" s="1"/>
  <c r="G45" i="53"/>
  <c r="N45" i="53"/>
  <c r="L45" i="53"/>
  <c r="P45" i="53"/>
  <c r="I45" i="53"/>
  <c r="E45" i="53"/>
  <c r="H45" i="53"/>
  <c r="M45" i="53"/>
  <c r="O45" i="53"/>
  <c r="C45" i="53"/>
  <c r="F45" i="53"/>
  <c r="K45" i="53"/>
  <c r="J45" i="53"/>
  <c r="D45" i="53"/>
  <c r="AL42" i="32"/>
  <c r="U43" i="32"/>
  <c r="AD43" i="32" s="1"/>
  <c r="AG43" i="32" s="1"/>
  <c r="AH43" i="32" s="1"/>
  <c r="AI43" i="32" s="1"/>
  <c r="AM43" i="32"/>
  <c r="AN42" i="32"/>
  <c r="E45" i="32"/>
  <c r="AL45" i="11" a="1"/>
  <c r="AL45" i="11" s="1"/>
  <c r="Z43" i="32"/>
  <c r="C43" i="32"/>
  <c r="AJ43" i="32"/>
  <c r="W43" i="32"/>
  <c r="X43" i="32" s="1"/>
  <c r="V43" i="32"/>
  <c r="O44" i="32"/>
  <c r="T44" i="32"/>
  <c r="AK44" i="32"/>
  <c r="G44" i="32"/>
  <c r="L44" i="32"/>
  <c r="I44" i="32"/>
  <c r="B44" i="32"/>
  <c r="R44" i="32" s="1"/>
  <c r="S44" i="32" s="1"/>
  <c r="J44" i="32"/>
  <c r="H44" i="32"/>
  <c r="K44" i="32"/>
  <c r="A44" i="32"/>
  <c r="Q44" i="32" s="1"/>
  <c r="P44" i="32" s="1"/>
  <c r="F44" i="32"/>
  <c r="M44" i="32"/>
  <c r="N44" i="32"/>
  <c r="P46" i="65" l="1"/>
  <c r="AM46" i="65"/>
  <c r="N46" i="65"/>
  <c r="D46" i="65"/>
  <c r="E46" i="65" s="1"/>
  <c r="F46" i="65" s="1"/>
  <c r="G46" i="65" s="1"/>
  <c r="H46" i="65" s="1"/>
  <c r="I46" i="65" s="1"/>
  <c r="J46" i="65" s="1"/>
  <c r="K46" i="65" s="1"/>
  <c r="L47" i="65"/>
  <c r="M47" i="65" s="1"/>
  <c r="C47" i="65"/>
  <c r="O47" i="65"/>
  <c r="B48" i="65"/>
  <c r="AO47" i="63" a="1"/>
  <c r="AO47" i="63" s="1"/>
  <c r="AG44" i="65"/>
  <c r="Q45" i="65"/>
  <c r="AH45" i="65"/>
  <c r="AE45" i="65"/>
  <c r="AF45" i="65"/>
  <c r="R45" i="65"/>
  <c r="S45" i="65" s="1"/>
  <c r="Y45" i="65" s="1"/>
  <c r="AB45" i="65" s="1"/>
  <c r="AC45" i="65" s="1"/>
  <c r="AD45" i="65" s="1"/>
  <c r="U45" i="65"/>
  <c r="AV45" i="65"/>
  <c r="AF44" i="53"/>
  <c r="AB44" i="53"/>
  <c r="AA44" i="53"/>
  <c r="AG45" i="53"/>
  <c r="R45" i="53"/>
  <c r="X45" i="53" s="1"/>
  <c r="AD45" i="53"/>
  <c r="AE45" i="53"/>
  <c r="AT45" i="53"/>
  <c r="AH45" i="53"/>
  <c r="Q45" i="53"/>
  <c r="AC45" i="53"/>
  <c r="B47" i="53"/>
  <c r="AK46" i="52" a="1"/>
  <c r="AK46" i="52" s="1"/>
  <c r="J46" i="53"/>
  <c r="C46" i="53"/>
  <c r="N46" i="53"/>
  <c r="F46" i="53"/>
  <c r="D46" i="53"/>
  <c r="E46" i="53"/>
  <c r="P46" i="53"/>
  <c r="M46" i="53"/>
  <c r="H46" i="53"/>
  <c r="I46" i="53"/>
  <c r="O46" i="53"/>
  <c r="AG46" i="53" s="1"/>
  <c r="L46" i="53"/>
  <c r="K46" i="53"/>
  <c r="G46" i="53"/>
  <c r="AN43" i="32"/>
  <c r="C44" i="32"/>
  <c r="W44" i="32"/>
  <c r="X44" i="32" s="1"/>
  <c r="Z44" i="32"/>
  <c r="AJ44" i="32"/>
  <c r="V44" i="32"/>
  <c r="U44" i="32"/>
  <c r="AD44" i="32" s="1"/>
  <c r="AG44" i="32" s="1"/>
  <c r="AH44" i="32" s="1"/>
  <c r="AI44" i="32" s="1"/>
  <c r="AM44" i="32"/>
  <c r="E46" i="32"/>
  <c r="AL46" i="11" a="1"/>
  <c r="AL46" i="11" s="1"/>
  <c r="AK45" i="32"/>
  <c r="O45" i="32"/>
  <c r="T45" i="32"/>
  <c r="N45" i="32"/>
  <c r="A45" i="32"/>
  <c r="Q45" i="32" s="1"/>
  <c r="P45" i="32" s="1"/>
  <c r="L45" i="32"/>
  <c r="K45" i="32"/>
  <c r="G45" i="32"/>
  <c r="I45" i="32"/>
  <c r="M45" i="32"/>
  <c r="B45" i="32"/>
  <c r="R45" i="32" s="1"/>
  <c r="S45" i="32" s="1"/>
  <c r="J45" i="32"/>
  <c r="H45" i="32"/>
  <c r="F45" i="32"/>
  <c r="AL43" i="32"/>
  <c r="U46" i="65" l="1"/>
  <c r="AV46" i="65"/>
  <c r="Q46" i="65"/>
  <c r="R46" i="65"/>
  <c r="S46" i="65" s="1"/>
  <c r="Y46" i="65" s="1"/>
  <c r="AB46" i="65" s="1"/>
  <c r="AC46" i="65" s="1"/>
  <c r="AD46" i="65" s="1"/>
  <c r="AH46" i="65"/>
  <c r="AE46" i="65"/>
  <c r="AF46" i="65"/>
  <c r="O48" i="65"/>
  <c r="L48" i="65"/>
  <c r="M48" i="65" s="1"/>
  <c r="C48" i="65"/>
  <c r="AG45" i="65"/>
  <c r="P47" i="65"/>
  <c r="N47" i="65"/>
  <c r="D47" i="65"/>
  <c r="E47" i="65" s="1"/>
  <c r="F47" i="65" s="1"/>
  <c r="G47" i="65" s="1"/>
  <c r="H47" i="65" s="1"/>
  <c r="I47" i="65" s="1"/>
  <c r="J47" i="65" s="1"/>
  <c r="K47" i="65" s="1"/>
  <c r="AM47" i="65"/>
  <c r="B49" i="65"/>
  <c r="AO48" i="63" a="1"/>
  <c r="AO48" i="63" s="1"/>
  <c r="AF45" i="53"/>
  <c r="B48" i="53"/>
  <c r="AK47" i="52" a="1"/>
  <c r="AK47" i="52" s="1"/>
  <c r="AH46" i="53"/>
  <c r="R46" i="53"/>
  <c r="X46" i="53" s="1"/>
  <c r="AC46" i="53"/>
  <c r="AT46" i="53"/>
  <c r="AE46" i="53"/>
  <c r="Q46" i="53"/>
  <c r="AD46" i="53"/>
  <c r="K47" i="53"/>
  <c r="I47" i="53"/>
  <c r="J47" i="53"/>
  <c r="L47" i="53"/>
  <c r="N47" i="53"/>
  <c r="C47" i="53"/>
  <c r="F47" i="53"/>
  <c r="G47" i="53"/>
  <c r="P47" i="53"/>
  <c r="D47" i="53"/>
  <c r="M47" i="53"/>
  <c r="H47" i="53"/>
  <c r="O47" i="53"/>
  <c r="E47" i="53"/>
  <c r="AA45" i="53"/>
  <c r="AB45" i="53"/>
  <c r="U45" i="32"/>
  <c r="AD45" i="32" s="1"/>
  <c r="AG45" i="32" s="1"/>
  <c r="AH45" i="32" s="1"/>
  <c r="AI45" i="32" s="1"/>
  <c r="AM45" i="32"/>
  <c r="AL44" i="32"/>
  <c r="C45" i="32"/>
  <c r="V45" i="32"/>
  <c r="W45" i="32"/>
  <c r="X45" i="32" s="1"/>
  <c r="AJ45" i="32"/>
  <c r="Z45" i="32"/>
  <c r="AN44" i="32"/>
  <c r="E47" i="32"/>
  <c r="AL47" i="11" a="1"/>
  <c r="AL47" i="11" s="1"/>
  <c r="T46" i="32"/>
  <c r="O46" i="32"/>
  <c r="AK46" i="32"/>
  <c r="M46" i="32"/>
  <c r="B46" i="32"/>
  <c r="R46" i="32" s="1"/>
  <c r="S46" i="32" s="1"/>
  <c r="J46" i="32"/>
  <c r="N46" i="32"/>
  <c r="L46" i="32"/>
  <c r="F46" i="32"/>
  <c r="G46" i="32"/>
  <c r="A46" i="32"/>
  <c r="Q46" i="32" s="1"/>
  <c r="P46" i="32" s="1"/>
  <c r="H46" i="32"/>
  <c r="I46" i="32"/>
  <c r="K46" i="32"/>
  <c r="B50" i="65" l="1"/>
  <c r="AO49" i="63" a="1"/>
  <c r="AO49" i="63" s="1"/>
  <c r="C49" i="65"/>
  <c r="O49" i="65"/>
  <c r="L49" i="65"/>
  <c r="M49" i="65" s="1"/>
  <c r="AG46" i="65"/>
  <c r="U47" i="65"/>
  <c r="AH47" i="65"/>
  <c r="AE47" i="65"/>
  <c r="R47" i="65"/>
  <c r="S47" i="65" s="1"/>
  <c r="Y47" i="65" s="1"/>
  <c r="AB47" i="65" s="1"/>
  <c r="AC47" i="65" s="1"/>
  <c r="AD47" i="65" s="1"/>
  <c r="Q47" i="65"/>
  <c r="AV47" i="65"/>
  <c r="AF47" i="65"/>
  <c r="AM48" i="65"/>
  <c r="D48" i="65"/>
  <c r="E48" i="65" s="1"/>
  <c r="F48" i="65" s="1"/>
  <c r="G48" i="65" s="1"/>
  <c r="H48" i="65" s="1"/>
  <c r="I48" i="65" s="1"/>
  <c r="J48" i="65" s="1"/>
  <c r="K48" i="65" s="1"/>
  <c r="N48" i="65"/>
  <c r="P48" i="65"/>
  <c r="C48" i="53"/>
  <c r="D48" i="53"/>
  <c r="H48" i="53"/>
  <c r="G48" i="53"/>
  <c r="I48" i="53"/>
  <c r="N48" i="53"/>
  <c r="F48" i="53"/>
  <c r="E48" i="53"/>
  <c r="P48" i="53"/>
  <c r="L48" i="53"/>
  <c r="M48" i="53"/>
  <c r="O48" i="53"/>
  <c r="J48" i="53"/>
  <c r="K48" i="53"/>
  <c r="AF46" i="53"/>
  <c r="AG47" i="53"/>
  <c r="AT47" i="53"/>
  <c r="AC47" i="53"/>
  <c r="AH47" i="53"/>
  <c r="AD47" i="53"/>
  <c r="R47" i="53"/>
  <c r="X47" i="53" s="1"/>
  <c r="AE47" i="53"/>
  <c r="Q47" i="53"/>
  <c r="AB46" i="53"/>
  <c r="AA46" i="53"/>
  <c r="B49" i="53"/>
  <c r="AK48" i="52" a="1"/>
  <c r="AK48" i="52" s="1"/>
  <c r="E48" i="32"/>
  <c r="AL48" i="11" a="1"/>
  <c r="AL48" i="11" s="1"/>
  <c r="AK47" i="32"/>
  <c r="T47" i="32"/>
  <c r="O47" i="32"/>
  <c r="F47" i="32"/>
  <c r="L47" i="32"/>
  <c r="I47" i="32"/>
  <c r="K47" i="32"/>
  <c r="G47" i="32"/>
  <c r="M47" i="32"/>
  <c r="H47" i="32"/>
  <c r="B47" i="32"/>
  <c r="R47" i="32" s="1"/>
  <c r="S47" i="32" s="1"/>
  <c r="A47" i="32"/>
  <c r="Q47" i="32" s="1"/>
  <c r="P47" i="32" s="1"/>
  <c r="N47" i="32"/>
  <c r="J47" i="32"/>
  <c r="W46" i="32"/>
  <c r="X46" i="32" s="1"/>
  <c r="V46" i="32"/>
  <c r="C46" i="32"/>
  <c r="AJ46" i="32"/>
  <c r="Z46" i="32"/>
  <c r="U46" i="32"/>
  <c r="AD46" i="32" s="1"/>
  <c r="AG46" i="32" s="1"/>
  <c r="AH46" i="32" s="1"/>
  <c r="AI46" i="32" s="1"/>
  <c r="AM46" i="32"/>
  <c r="AN45" i="32"/>
  <c r="AL45" i="32"/>
  <c r="Y48" i="65" l="1"/>
  <c r="AB48" i="65" s="1"/>
  <c r="AC48" i="65" s="1"/>
  <c r="AD48" i="65" s="1"/>
  <c r="O50" i="65"/>
  <c r="L50" i="65"/>
  <c r="M50" i="65" s="1"/>
  <c r="C50" i="65"/>
  <c r="P49" i="65"/>
  <c r="D49" i="65"/>
  <c r="E49" i="65" s="1"/>
  <c r="F49" i="65" s="1"/>
  <c r="G49" i="65" s="1"/>
  <c r="H49" i="65" s="1"/>
  <c r="I49" i="65" s="1"/>
  <c r="J49" i="65" s="1"/>
  <c r="K49" i="65" s="1"/>
  <c r="AM49" i="65"/>
  <c r="N49" i="65"/>
  <c r="AH48" i="65"/>
  <c r="U48" i="65"/>
  <c r="R48" i="65"/>
  <c r="S48" i="65" s="1"/>
  <c r="AV48" i="65"/>
  <c r="AF48" i="65"/>
  <c r="AE48" i="65"/>
  <c r="Q48" i="65"/>
  <c r="AG47" i="65"/>
  <c r="B51" i="65"/>
  <c r="AO50" i="63" a="1"/>
  <c r="AO50" i="63" s="1"/>
  <c r="AA47" i="53"/>
  <c r="AB47" i="53"/>
  <c r="AF47" i="53"/>
  <c r="B50" i="53"/>
  <c r="AK49" i="52" a="1"/>
  <c r="AK49" i="52" s="1"/>
  <c r="AG48" i="53"/>
  <c r="H49" i="53"/>
  <c r="I49" i="53"/>
  <c r="N49" i="53"/>
  <c r="C49" i="53"/>
  <c r="J49" i="53"/>
  <c r="D49" i="53"/>
  <c r="L49" i="53"/>
  <c r="K49" i="53"/>
  <c r="G49" i="53"/>
  <c r="M49" i="53"/>
  <c r="P49" i="53"/>
  <c r="E49" i="53"/>
  <c r="O49" i="53"/>
  <c r="AG49" i="53" s="1"/>
  <c r="F49" i="53"/>
  <c r="R48" i="53"/>
  <c r="X48" i="53" s="1"/>
  <c r="AT48" i="53"/>
  <c r="AH48" i="53"/>
  <c r="AC48" i="53"/>
  <c r="AD48" i="53"/>
  <c r="Q48" i="53"/>
  <c r="AE48" i="53"/>
  <c r="AN46" i="32"/>
  <c r="O48" i="32"/>
  <c r="T48" i="32"/>
  <c r="AK48" i="32"/>
  <c r="I48" i="32"/>
  <c r="M48" i="32"/>
  <c r="F48" i="32"/>
  <c r="H48" i="32"/>
  <c r="J48" i="32"/>
  <c r="B48" i="32"/>
  <c r="R48" i="32" s="1"/>
  <c r="S48" i="32" s="1"/>
  <c r="N48" i="32"/>
  <c r="G48" i="32"/>
  <c r="L48" i="32"/>
  <c r="K48" i="32"/>
  <c r="A48" i="32"/>
  <c r="Q48" i="32" s="1"/>
  <c r="P48" i="32" s="1"/>
  <c r="AL46" i="32"/>
  <c r="U47" i="32"/>
  <c r="AD47" i="32" s="1"/>
  <c r="AG47" i="32" s="1"/>
  <c r="AH47" i="32" s="1"/>
  <c r="AI47" i="32" s="1"/>
  <c r="AM47" i="32"/>
  <c r="C47" i="32"/>
  <c r="V47" i="32"/>
  <c r="Z47" i="32"/>
  <c r="AJ47" i="32"/>
  <c r="W47" i="32"/>
  <c r="X47" i="32" s="1"/>
  <c r="E49" i="32"/>
  <c r="AL49" i="11" a="1"/>
  <c r="AL49" i="11" s="1"/>
  <c r="AV49" i="65" l="1"/>
  <c r="AF49" i="65"/>
  <c r="R49" i="65"/>
  <c r="S49" i="65" s="1"/>
  <c r="AH49" i="65"/>
  <c r="U49" i="65"/>
  <c r="AE49" i="65"/>
  <c r="Q49" i="65"/>
  <c r="L51" i="65"/>
  <c r="M51" i="65" s="1"/>
  <c r="O51" i="65"/>
  <c r="C51" i="65"/>
  <c r="B52" i="65"/>
  <c r="AO51" i="63" a="1"/>
  <c r="AO51" i="63" s="1"/>
  <c r="Y49" i="65"/>
  <c r="AB49" i="65" s="1"/>
  <c r="AC49" i="65" s="1"/>
  <c r="AD49" i="65" s="1"/>
  <c r="D50" i="65"/>
  <c r="E50" i="65" s="1"/>
  <c r="F50" i="65" s="1"/>
  <c r="G50" i="65" s="1"/>
  <c r="H50" i="65" s="1"/>
  <c r="I50" i="65" s="1"/>
  <c r="J50" i="65" s="1"/>
  <c r="K50" i="65" s="1"/>
  <c r="P50" i="65"/>
  <c r="N50" i="65"/>
  <c r="AM50" i="65"/>
  <c r="AG48" i="65"/>
  <c r="AF48" i="53"/>
  <c r="AA48" i="53"/>
  <c r="AB48" i="53"/>
  <c r="AE49" i="53"/>
  <c r="AD49" i="53"/>
  <c r="AH49" i="53"/>
  <c r="Q49" i="53"/>
  <c r="R49" i="53"/>
  <c r="X49" i="53" s="1"/>
  <c r="AC49" i="53"/>
  <c r="AT49" i="53"/>
  <c r="B51" i="53"/>
  <c r="AK50" i="52" a="1"/>
  <c r="AK50" i="52" s="1"/>
  <c r="H50" i="53"/>
  <c r="J50" i="53"/>
  <c r="N50" i="53"/>
  <c r="F50" i="53"/>
  <c r="K50" i="53"/>
  <c r="P50" i="53"/>
  <c r="G50" i="53"/>
  <c r="M50" i="53"/>
  <c r="L50" i="53"/>
  <c r="I50" i="53"/>
  <c r="O50" i="53"/>
  <c r="AG50" i="53" s="1"/>
  <c r="C50" i="53"/>
  <c r="E50" i="53"/>
  <c r="D50" i="53"/>
  <c r="AL47" i="32"/>
  <c r="AN47" i="32"/>
  <c r="E50" i="32"/>
  <c r="AL50" i="11" a="1"/>
  <c r="AL50" i="11" s="1"/>
  <c r="O49" i="32"/>
  <c r="T49" i="32"/>
  <c r="AK49" i="32"/>
  <c r="A49" i="32"/>
  <c r="Q49" i="32" s="1"/>
  <c r="P49" i="32" s="1"/>
  <c r="M49" i="32"/>
  <c r="N49" i="32"/>
  <c r="G49" i="32"/>
  <c r="I49" i="32"/>
  <c r="J49" i="32"/>
  <c r="F49" i="32"/>
  <c r="K49" i="32"/>
  <c r="L49" i="32"/>
  <c r="B49" i="32"/>
  <c r="R49" i="32" s="1"/>
  <c r="S49" i="32" s="1"/>
  <c r="H49" i="32"/>
  <c r="AM48" i="32"/>
  <c r="U48" i="32"/>
  <c r="AD48" i="32" s="1"/>
  <c r="AG48" i="32" s="1"/>
  <c r="AH48" i="32" s="1"/>
  <c r="AI48" i="32" s="1"/>
  <c r="AJ48" i="32"/>
  <c r="C48" i="32"/>
  <c r="Z48" i="32"/>
  <c r="W48" i="32"/>
  <c r="X48" i="32" s="1"/>
  <c r="V48" i="32"/>
  <c r="AH50" i="65" l="1"/>
  <c r="R50" i="65"/>
  <c r="S50" i="65" s="1"/>
  <c r="Y50" i="65" s="1"/>
  <c r="AB50" i="65" s="1"/>
  <c r="AC50" i="65" s="1"/>
  <c r="AD50" i="65" s="1"/>
  <c r="AV50" i="65"/>
  <c r="AF50" i="65"/>
  <c r="U50" i="65"/>
  <c r="AE50" i="65"/>
  <c r="Q50" i="65"/>
  <c r="B53" i="65"/>
  <c r="AO52" i="63" a="1"/>
  <c r="AO52" i="63" s="1"/>
  <c r="L52" i="65"/>
  <c r="M52" i="65" s="1"/>
  <c r="C52" i="65"/>
  <c r="O52" i="65"/>
  <c r="AM51" i="65"/>
  <c r="N51" i="65"/>
  <c r="D51" i="65"/>
  <c r="E51" i="65" s="1"/>
  <c r="F51" i="65" s="1"/>
  <c r="G51" i="65" s="1"/>
  <c r="H51" i="65" s="1"/>
  <c r="I51" i="65" s="1"/>
  <c r="J51" i="65" s="1"/>
  <c r="K51" i="65" s="1"/>
  <c r="P51" i="65"/>
  <c r="AG49" i="65"/>
  <c r="AA49" i="53"/>
  <c r="AB49" i="53"/>
  <c r="Q50" i="53"/>
  <c r="AE50" i="53"/>
  <c r="AH50" i="53"/>
  <c r="AD50" i="53"/>
  <c r="AT50" i="53"/>
  <c r="AC50" i="53"/>
  <c r="R50" i="53"/>
  <c r="X50" i="53" s="1"/>
  <c r="B52" i="53"/>
  <c r="AK51" i="52" a="1"/>
  <c r="AK51" i="52" s="1"/>
  <c r="AF49" i="53"/>
  <c r="F51" i="53"/>
  <c r="G51" i="53"/>
  <c r="M51" i="53"/>
  <c r="E51" i="53"/>
  <c r="O51" i="53"/>
  <c r="H51" i="53"/>
  <c r="L51" i="53"/>
  <c r="C51" i="53"/>
  <c r="K51" i="53"/>
  <c r="P51" i="53"/>
  <c r="I51" i="53"/>
  <c r="J51" i="53"/>
  <c r="N51" i="53"/>
  <c r="D51" i="53"/>
  <c r="T50" i="32"/>
  <c r="O50" i="32"/>
  <c r="AK50" i="32"/>
  <c r="N50" i="32"/>
  <c r="L50" i="32"/>
  <c r="K50" i="32"/>
  <c r="B50" i="32"/>
  <c r="R50" i="32" s="1"/>
  <c r="S50" i="32" s="1"/>
  <c r="J50" i="32"/>
  <c r="F50" i="32"/>
  <c r="H50" i="32"/>
  <c r="I50" i="32"/>
  <c r="A50" i="32"/>
  <c r="Q50" i="32" s="1"/>
  <c r="P50" i="32" s="1"/>
  <c r="M50" i="32"/>
  <c r="G50" i="32"/>
  <c r="AN48" i="32"/>
  <c r="AJ49" i="32"/>
  <c r="V49" i="32"/>
  <c r="C49" i="32"/>
  <c r="Z49" i="32"/>
  <c r="W49" i="32"/>
  <c r="X49" i="32" s="1"/>
  <c r="AM49" i="32"/>
  <c r="U49" i="32"/>
  <c r="AD49" i="32" s="1"/>
  <c r="AG49" i="32" s="1"/>
  <c r="AH49" i="32" s="1"/>
  <c r="AI49" i="32" s="1"/>
  <c r="AL48" i="32"/>
  <c r="E51" i="32"/>
  <c r="AL51" i="11" a="1"/>
  <c r="AL51" i="11" s="1"/>
  <c r="Y51" i="65" l="1"/>
  <c r="AB51" i="65" s="1"/>
  <c r="AC51" i="65" s="1"/>
  <c r="AD51" i="65" s="1"/>
  <c r="L53" i="65"/>
  <c r="M53" i="65" s="1"/>
  <c r="C53" i="65"/>
  <c r="O53" i="65"/>
  <c r="B54" i="65"/>
  <c r="AO53" i="63" a="1"/>
  <c r="AO53" i="63" s="1"/>
  <c r="AE51" i="65"/>
  <c r="R51" i="65"/>
  <c r="S51" i="65" s="1"/>
  <c r="AF51" i="65"/>
  <c r="AV51" i="65"/>
  <c r="AH51" i="65"/>
  <c r="U51" i="65"/>
  <c r="Q51" i="65"/>
  <c r="AG50" i="65"/>
  <c r="N52" i="65"/>
  <c r="P52" i="65"/>
  <c r="AM52" i="65"/>
  <c r="D52" i="65"/>
  <c r="E52" i="65" s="1"/>
  <c r="F52" i="65" s="1"/>
  <c r="G52" i="65" s="1"/>
  <c r="H52" i="65" s="1"/>
  <c r="I52" i="65" s="1"/>
  <c r="J52" i="65" s="1"/>
  <c r="K52" i="65" s="1"/>
  <c r="AF50" i="53"/>
  <c r="AA50" i="53"/>
  <c r="AB50" i="53"/>
  <c r="AT51" i="53"/>
  <c r="AC51" i="53"/>
  <c r="R51" i="53"/>
  <c r="X51" i="53" s="1"/>
  <c r="Q51" i="53"/>
  <c r="AD51" i="53"/>
  <c r="AE51" i="53"/>
  <c r="AH51" i="53"/>
  <c r="H52" i="53"/>
  <c r="L52" i="53"/>
  <c r="J52" i="53"/>
  <c r="N52" i="53"/>
  <c r="E52" i="53"/>
  <c r="G52" i="53"/>
  <c r="C52" i="53"/>
  <c r="F52" i="53"/>
  <c r="D52" i="53"/>
  <c r="M52" i="53"/>
  <c r="P52" i="53"/>
  <c r="O52" i="53"/>
  <c r="K52" i="53"/>
  <c r="I52" i="53"/>
  <c r="AG51" i="53"/>
  <c r="B53" i="53"/>
  <c r="AK52" i="52" a="1"/>
  <c r="AK52" i="52" s="1"/>
  <c r="AK51" i="32"/>
  <c r="T51" i="32"/>
  <c r="O51" i="32"/>
  <c r="H51" i="32"/>
  <c r="N51" i="32"/>
  <c r="A51" i="32"/>
  <c r="Q51" i="32" s="1"/>
  <c r="P51" i="32" s="1"/>
  <c r="I51" i="32"/>
  <c r="B51" i="32"/>
  <c r="R51" i="32" s="1"/>
  <c r="S51" i="32" s="1"/>
  <c r="K51" i="32"/>
  <c r="G51" i="32"/>
  <c r="F51" i="32"/>
  <c r="L51" i="32"/>
  <c r="J51" i="32"/>
  <c r="M51" i="32"/>
  <c r="AN49" i="32"/>
  <c r="U50" i="32"/>
  <c r="AD50" i="32" s="1"/>
  <c r="AG50" i="32" s="1"/>
  <c r="AH50" i="32" s="1"/>
  <c r="AI50" i="32" s="1"/>
  <c r="AM50" i="32"/>
  <c r="AJ50" i="32"/>
  <c r="C50" i="32"/>
  <c r="V50" i="32"/>
  <c r="Z50" i="32"/>
  <c r="W50" i="32"/>
  <c r="X50" i="32" s="1"/>
  <c r="AL49" i="32"/>
  <c r="E52" i="32"/>
  <c r="AL52" i="11" a="1"/>
  <c r="AL52" i="11" s="1"/>
  <c r="AG51" i="65" l="1"/>
  <c r="Y52" i="65"/>
  <c r="AB52" i="65" s="1"/>
  <c r="AC52" i="65" s="1"/>
  <c r="AD52" i="65" s="1"/>
  <c r="AF52" i="65"/>
  <c r="AV52" i="65"/>
  <c r="AH52" i="65"/>
  <c r="AE52" i="65"/>
  <c r="R52" i="65"/>
  <c r="S52" i="65" s="1"/>
  <c r="Q52" i="65"/>
  <c r="U52" i="65"/>
  <c r="C54" i="65"/>
  <c r="L54" i="65"/>
  <c r="M54" i="65" s="1"/>
  <c r="O54" i="65"/>
  <c r="B55" i="65"/>
  <c r="AO54" i="63" a="1"/>
  <c r="AO54" i="63" s="1"/>
  <c r="AM53" i="65"/>
  <c r="P53" i="65"/>
  <c r="N53" i="65"/>
  <c r="D53" i="65"/>
  <c r="E53" i="65" s="1"/>
  <c r="F53" i="65" s="1"/>
  <c r="G53" i="65" s="1"/>
  <c r="H53" i="65" s="1"/>
  <c r="I53" i="65" s="1"/>
  <c r="J53" i="65" s="1"/>
  <c r="K53" i="65" s="1"/>
  <c r="AC52" i="53"/>
  <c r="AD52" i="53"/>
  <c r="R52" i="53"/>
  <c r="X52" i="53" s="1"/>
  <c r="AE52" i="53"/>
  <c r="AH52" i="53"/>
  <c r="Q52" i="53"/>
  <c r="AT52" i="53"/>
  <c r="AA51" i="53"/>
  <c r="AB51" i="53"/>
  <c r="AF51" i="53"/>
  <c r="B54" i="53"/>
  <c r="AK53" i="52" a="1"/>
  <c r="AK53" i="52" s="1"/>
  <c r="AG52" i="53"/>
  <c r="N53" i="53"/>
  <c r="I53" i="53"/>
  <c r="C53" i="53"/>
  <c r="F53" i="53"/>
  <c r="K53" i="53"/>
  <c r="P53" i="53"/>
  <c r="M53" i="53"/>
  <c r="O53" i="53"/>
  <c r="AG53" i="53" s="1"/>
  <c r="J53" i="53"/>
  <c r="L53" i="53"/>
  <c r="D53" i="53"/>
  <c r="H53" i="53"/>
  <c r="E53" i="53"/>
  <c r="G53" i="53"/>
  <c r="C51" i="32"/>
  <c r="AJ51" i="32"/>
  <c r="Z51" i="32"/>
  <c r="V51" i="32"/>
  <c r="W51" i="32"/>
  <c r="X51" i="32" s="1"/>
  <c r="AL50" i="32"/>
  <c r="E53" i="32"/>
  <c r="AL53" i="11" a="1"/>
  <c r="AL53" i="11" s="1"/>
  <c r="AK52" i="32"/>
  <c r="O52" i="32"/>
  <c r="T52" i="32"/>
  <c r="N52" i="32"/>
  <c r="A52" i="32"/>
  <c r="Q52" i="32" s="1"/>
  <c r="P52" i="32" s="1"/>
  <c r="B52" i="32"/>
  <c r="R52" i="32" s="1"/>
  <c r="S52" i="32" s="1"/>
  <c r="F52" i="32"/>
  <c r="J52" i="32"/>
  <c r="G52" i="32"/>
  <c r="I52" i="32"/>
  <c r="M52" i="32"/>
  <c r="H52" i="32"/>
  <c r="L52" i="32"/>
  <c r="K52" i="32"/>
  <c r="AM51" i="32"/>
  <c r="U51" i="32"/>
  <c r="AD51" i="32" s="1"/>
  <c r="AG51" i="32" s="1"/>
  <c r="AH51" i="32" s="1"/>
  <c r="AI51" i="32" s="1"/>
  <c r="AN50" i="32"/>
  <c r="AF53" i="65" l="1"/>
  <c r="AE53" i="65"/>
  <c r="AV53" i="65"/>
  <c r="R53" i="65"/>
  <c r="S53" i="65" s="1"/>
  <c r="Y53" i="65" s="1"/>
  <c r="AB53" i="65" s="1"/>
  <c r="AC53" i="65" s="1"/>
  <c r="AD53" i="65" s="1"/>
  <c r="AH53" i="65"/>
  <c r="Q53" i="65"/>
  <c r="U53" i="65"/>
  <c r="B56" i="65"/>
  <c r="AO55" i="63" a="1"/>
  <c r="AO55" i="63" s="1"/>
  <c r="C55" i="65"/>
  <c r="L55" i="65"/>
  <c r="M55" i="65" s="1"/>
  <c r="O55" i="65"/>
  <c r="AM54" i="65"/>
  <c r="D54" i="65"/>
  <c r="E54" i="65" s="1"/>
  <c r="F54" i="65" s="1"/>
  <c r="G54" i="65" s="1"/>
  <c r="H54" i="65" s="1"/>
  <c r="I54" i="65" s="1"/>
  <c r="J54" i="65" s="1"/>
  <c r="K54" i="65" s="1"/>
  <c r="N54" i="65"/>
  <c r="P54" i="65"/>
  <c r="AG52" i="65"/>
  <c r="AA52" i="53"/>
  <c r="AB52" i="53"/>
  <c r="AC53" i="53"/>
  <c r="AE53" i="53"/>
  <c r="AD53" i="53"/>
  <c r="AT53" i="53"/>
  <c r="AH53" i="53"/>
  <c r="Q53" i="53"/>
  <c r="R53" i="53"/>
  <c r="X53" i="53" s="1"/>
  <c r="B55" i="53"/>
  <c r="AK54" i="52" a="1"/>
  <c r="AK54" i="52" s="1"/>
  <c r="AF52" i="53"/>
  <c r="M54" i="53"/>
  <c r="F54" i="53"/>
  <c r="O54" i="53"/>
  <c r="L54" i="53"/>
  <c r="H54" i="53"/>
  <c r="G54" i="53"/>
  <c r="E54" i="53"/>
  <c r="N54" i="53"/>
  <c r="D54" i="53"/>
  <c r="P54" i="53"/>
  <c r="J54" i="53"/>
  <c r="C54" i="53"/>
  <c r="K54" i="53"/>
  <c r="I54" i="53"/>
  <c r="E54" i="32"/>
  <c r="AL54" i="11" a="1"/>
  <c r="AL54" i="11" s="1"/>
  <c r="C52" i="32"/>
  <c r="Z52" i="32"/>
  <c r="W52" i="32"/>
  <c r="X52" i="32" s="1"/>
  <c r="V52" i="32"/>
  <c r="AJ52" i="32"/>
  <c r="U52" i="32"/>
  <c r="AD52" i="32" s="1"/>
  <c r="AG52" i="32" s="1"/>
  <c r="AH52" i="32" s="1"/>
  <c r="AI52" i="32" s="1"/>
  <c r="AM52" i="32"/>
  <c r="AK53" i="32"/>
  <c r="O53" i="32"/>
  <c r="T53" i="32"/>
  <c r="B53" i="32"/>
  <c r="R53" i="32" s="1"/>
  <c r="S53" i="32" s="1"/>
  <c r="K53" i="32"/>
  <c r="I53" i="32"/>
  <c r="A53" i="32"/>
  <c r="Q53" i="32" s="1"/>
  <c r="P53" i="32" s="1"/>
  <c r="G53" i="32"/>
  <c r="H53" i="32"/>
  <c r="M53" i="32"/>
  <c r="J53" i="32"/>
  <c r="L53" i="32"/>
  <c r="F53" i="32"/>
  <c r="N53" i="32"/>
  <c r="AN51" i="32"/>
  <c r="AL51" i="32"/>
  <c r="AG53" i="65" l="1"/>
  <c r="U54" i="65"/>
  <c r="R54" i="65"/>
  <c r="S54" i="65" s="1"/>
  <c r="Y54" i="65" s="1"/>
  <c r="AB54" i="65" s="1"/>
  <c r="AC54" i="65" s="1"/>
  <c r="AD54" i="65" s="1"/>
  <c r="AV54" i="65"/>
  <c r="AF54" i="65"/>
  <c r="AH54" i="65"/>
  <c r="AE54" i="65"/>
  <c r="Q54" i="65"/>
  <c r="D55" i="65"/>
  <c r="E55" i="65" s="1"/>
  <c r="F55" i="65" s="1"/>
  <c r="G55" i="65" s="1"/>
  <c r="H55" i="65" s="1"/>
  <c r="I55" i="65" s="1"/>
  <c r="J55" i="65" s="1"/>
  <c r="K55" i="65" s="1"/>
  <c r="P55" i="65"/>
  <c r="N55" i="65"/>
  <c r="AM55" i="65"/>
  <c r="O56" i="65"/>
  <c r="L56" i="65"/>
  <c r="M56" i="65" s="1"/>
  <c r="C56" i="65"/>
  <c r="B57" i="65"/>
  <c r="AO56" i="63" a="1"/>
  <c r="AO56" i="63" s="1"/>
  <c r="AF53" i="53"/>
  <c r="P55" i="53"/>
  <c r="J55" i="53"/>
  <c r="F55" i="53"/>
  <c r="L55" i="53"/>
  <c r="G55" i="53"/>
  <c r="I55" i="53"/>
  <c r="M55" i="53"/>
  <c r="C55" i="53"/>
  <c r="O55" i="53"/>
  <c r="H55" i="53"/>
  <c r="E55" i="53"/>
  <c r="K55" i="53"/>
  <c r="D55" i="53"/>
  <c r="N55" i="53"/>
  <c r="AA53" i="53"/>
  <c r="AB53" i="53"/>
  <c r="AG54" i="53"/>
  <c r="AC54" i="53"/>
  <c r="Q54" i="53"/>
  <c r="R54" i="53"/>
  <c r="X54" i="53" s="1"/>
  <c r="AT54" i="53"/>
  <c r="AE54" i="53"/>
  <c r="AH54" i="53"/>
  <c r="AD54" i="53"/>
  <c r="B56" i="53"/>
  <c r="AK55" i="52" a="1"/>
  <c r="AK55" i="52" s="1"/>
  <c r="E55" i="32"/>
  <c r="AL55" i="11" a="1"/>
  <c r="AL55" i="11" s="1"/>
  <c r="AK54" i="32"/>
  <c r="T54" i="32"/>
  <c r="O54" i="32"/>
  <c r="M54" i="32"/>
  <c r="H54" i="32"/>
  <c r="A54" i="32"/>
  <c r="Q54" i="32" s="1"/>
  <c r="P54" i="32" s="1"/>
  <c r="F54" i="32"/>
  <c r="B54" i="32"/>
  <c r="R54" i="32" s="1"/>
  <c r="S54" i="32" s="1"/>
  <c r="I54" i="32"/>
  <c r="K54" i="32"/>
  <c r="L54" i="32"/>
  <c r="G54" i="32"/>
  <c r="N54" i="32"/>
  <c r="J54" i="32"/>
  <c r="AL52" i="32"/>
  <c r="W53" i="32"/>
  <c r="X53" i="32" s="1"/>
  <c r="V53" i="32"/>
  <c r="AJ53" i="32"/>
  <c r="C53" i="32"/>
  <c r="Z53" i="32"/>
  <c r="U53" i="32"/>
  <c r="AD53" i="32" s="1"/>
  <c r="AG53" i="32" s="1"/>
  <c r="AH53" i="32" s="1"/>
  <c r="AI53" i="32" s="1"/>
  <c r="AM53" i="32"/>
  <c r="AN52" i="32"/>
  <c r="L57" i="65" l="1"/>
  <c r="M57" i="65" s="1"/>
  <c r="C57" i="65"/>
  <c r="O57" i="65"/>
  <c r="B58" i="65"/>
  <c r="AO57" i="63" a="1"/>
  <c r="AO57" i="63" s="1"/>
  <c r="AM56" i="65"/>
  <c r="P56" i="65"/>
  <c r="N56" i="65"/>
  <c r="D56" i="65"/>
  <c r="E56" i="65" s="1"/>
  <c r="F56" i="65" s="1"/>
  <c r="G56" i="65" s="1"/>
  <c r="H56" i="65" s="1"/>
  <c r="I56" i="65" s="1"/>
  <c r="J56" i="65" s="1"/>
  <c r="K56" i="65" s="1"/>
  <c r="AG54" i="65"/>
  <c r="R55" i="65"/>
  <c r="S55" i="65" s="1"/>
  <c r="U55" i="65"/>
  <c r="AE55" i="65"/>
  <c r="AV55" i="65"/>
  <c r="AF55" i="65"/>
  <c r="Q55" i="65"/>
  <c r="AH55" i="65"/>
  <c r="Y55" i="65"/>
  <c r="AB55" i="65" s="1"/>
  <c r="AC55" i="65" s="1"/>
  <c r="AD55" i="65" s="1"/>
  <c r="AA54" i="53"/>
  <c r="AB54" i="53"/>
  <c r="AG55" i="53"/>
  <c r="AF54" i="53"/>
  <c r="R55" i="53"/>
  <c r="X55" i="53" s="1"/>
  <c r="AH55" i="53"/>
  <c r="AE55" i="53"/>
  <c r="Q55" i="53"/>
  <c r="AD55" i="53"/>
  <c r="AT55" i="53"/>
  <c r="AC55" i="53"/>
  <c r="B57" i="53"/>
  <c r="AK56" i="52" a="1"/>
  <c r="AK56" i="52" s="1"/>
  <c r="G56" i="53"/>
  <c r="N56" i="53"/>
  <c r="P56" i="53"/>
  <c r="M56" i="53"/>
  <c r="D56" i="53"/>
  <c r="J56" i="53"/>
  <c r="O56" i="53"/>
  <c r="L56" i="53"/>
  <c r="K56" i="53"/>
  <c r="I56" i="53"/>
  <c r="C56" i="53"/>
  <c r="E56" i="53"/>
  <c r="H56" i="53"/>
  <c r="F56" i="53"/>
  <c r="AL53" i="32"/>
  <c r="AN53" i="32"/>
  <c r="C54" i="32"/>
  <c r="AJ54" i="32"/>
  <c r="V54" i="32"/>
  <c r="W54" i="32"/>
  <c r="X54" i="32" s="1"/>
  <c r="Z54" i="32"/>
  <c r="E56" i="32"/>
  <c r="AL56" i="11" a="1"/>
  <c r="AL56" i="11" s="1"/>
  <c r="AM54" i="32"/>
  <c r="U54" i="32"/>
  <c r="AD54" i="32" s="1"/>
  <c r="AG54" i="32" s="1"/>
  <c r="AH54" i="32" s="1"/>
  <c r="AI54" i="32" s="1"/>
  <c r="AN54" i="32" s="1"/>
  <c r="AK55" i="32"/>
  <c r="T55" i="32"/>
  <c r="O55" i="32"/>
  <c r="G55" i="32"/>
  <c r="F55" i="32"/>
  <c r="N55" i="32"/>
  <c r="J55" i="32"/>
  <c r="B55" i="32"/>
  <c r="R55" i="32" s="1"/>
  <c r="S55" i="32" s="1"/>
  <c r="H55" i="32"/>
  <c r="L55" i="32"/>
  <c r="K55" i="32"/>
  <c r="A55" i="32"/>
  <c r="Q55" i="32" s="1"/>
  <c r="P55" i="32" s="1"/>
  <c r="I55" i="32"/>
  <c r="M55" i="32"/>
  <c r="N57" i="65" l="1"/>
  <c r="D57" i="65"/>
  <c r="E57" i="65" s="1"/>
  <c r="F57" i="65" s="1"/>
  <c r="G57" i="65" s="1"/>
  <c r="H57" i="65" s="1"/>
  <c r="I57" i="65" s="1"/>
  <c r="J57" i="65" s="1"/>
  <c r="K57" i="65" s="1"/>
  <c r="AM57" i="65"/>
  <c r="P57" i="65"/>
  <c r="AH56" i="65"/>
  <c r="AE56" i="65"/>
  <c r="R56" i="65"/>
  <c r="S56" i="65" s="1"/>
  <c r="Q56" i="65"/>
  <c r="AV56" i="65"/>
  <c r="U56" i="65"/>
  <c r="AF56" i="65"/>
  <c r="AG55" i="65"/>
  <c r="Y56" i="65"/>
  <c r="AB56" i="65" s="1"/>
  <c r="AC56" i="65" s="1"/>
  <c r="AD56" i="65" s="1"/>
  <c r="L58" i="65"/>
  <c r="M58" i="65" s="1"/>
  <c r="C58" i="65"/>
  <c r="O58" i="65"/>
  <c r="B59" i="65"/>
  <c r="AO58" i="63" a="1"/>
  <c r="AO58" i="63" s="1"/>
  <c r="AA55" i="53"/>
  <c r="AB55" i="53"/>
  <c r="AF55" i="53"/>
  <c r="B58" i="53"/>
  <c r="AK57" i="52" a="1"/>
  <c r="AK57" i="52" s="1"/>
  <c r="AG56" i="53"/>
  <c r="C57" i="53"/>
  <c r="G57" i="53"/>
  <c r="N57" i="53"/>
  <c r="H57" i="53"/>
  <c r="K57" i="53"/>
  <c r="D57" i="53"/>
  <c r="M57" i="53"/>
  <c r="E57" i="53"/>
  <c r="P57" i="53"/>
  <c r="J57" i="53"/>
  <c r="I57" i="53"/>
  <c r="O57" i="53"/>
  <c r="L57" i="53"/>
  <c r="F57" i="53"/>
  <c r="AC56" i="53"/>
  <c r="AD56" i="53"/>
  <c r="AE56" i="53"/>
  <c r="Q56" i="53"/>
  <c r="R56" i="53"/>
  <c r="X56" i="53" s="1"/>
  <c r="AH56" i="53"/>
  <c r="AT56" i="53"/>
  <c r="AK56" i="32"/>
  <c r="O56" i="32"/>
  <c r="T56" i="32"/>
  <c r="M56" i="32"/>
  <c r="G56" i="32"/>
  <c r="J56" i="32"/>
  <c r="H56" i="32"/>
  <c r="F56" i="32"/>
  <c r="N56" i="32"/>
  <c r="A56" i="32"/>
  <c r="Q56" i="32" s="1"/>
  <c r="P56" i="32" s="1"/>
  <c r="K56" i="32"/>
  <c r="B56" i="32"/>
  <c r="R56" i="32" s="1"/>
  <c r="S56" i="32" s="1"/>
  <c r="L56" i="32"/>
  <c r="I56" i="32"/>
  <c r="U55" i="32"/>
  <c r="AD55" i="32" s="1"/>
  <c r="AG55" i="32" s="1"/>
  <c r="AH55" i="32" s="1"/>
  <c r="AI55" i="32" s="1"/>
  <c r="AN55" i="32" s="1"/>
  <c r="AM55" i="32"/>
  <c r="V55" i="32"/>
  <c r="AJ55" i="32"/>
  <c r="Z55" i="32"/>
  <c r="C55" i="32"/>
  <c r="W55" i="32"/>
  <c r="X55" i="32" s="1"/>
  <c r="E57" i="32"/>
  <c r="AL57" i="11" a="1"/>
  <c r="AL57" i="11" s="1"/>
  <c r="AL54" i="32"/>
  <c r="O59" i="65" l="1"/>
  <c r="C59" i="65"/>
  <c r="L59" i="65"/>
  <c r="M59" i="65" s="1"/>
  <c r="AV57" i="65"/>
  <c r="U57" i="65"/>
  <c r="AH57" i="65"/>
  <c r="AF57" i="65"/>
  <c r="R57" i="65"/>
  <c r="S57" i="65" s="1"/>
  <c r="Q57" i="65"/>
  <c r="AE57" i="65"/>
  <c r="B60" i="65"/>
  <c r="AO59" i="63" a="1"/>
  <c r="AO59" i="63" s="1"/>
  <c r="AM58" i="65"/>
  <c r="D58" i="65"/>
  <c r="E58" i="65" s="1"/>
  <c r="F58" i="65" s="1"/>
  <c r="G58" i="65" s="1"/>
  <c r="H58" i="65" s="1"/>
  <c r="I58" i="65" s="1"/>
  <c r="J58" i="65" s="1"/>
  <c r="K58" i="65" s="1"/>
  <c r="N58" i="65"/>
  <c r="P58" i="65"/>
  <c r="Y57" i="65"/>
  <c r="AB57" i="65" s="1"/>
  <c r="AC57" i="65" s="1"/>
  <c r="AD57" i="65" s="1"/>
  <c r="AG56" i="65"/>
  <c r="AA56" i="53"/>
  <c r="AB56" i="53"/>
  <c r="AF56" i="53"/>
  <c r="AT57" i="53"/>
  <c r="AD57" i="53"/>
  <c r="AE57" i="53"/>
  <c r="AH57" i="53"/>
  <c r="AC57" i="53"/>
  <c r="Q57" i="53"/>
  <c r="R57" i="53"/>
  <c r="B59" i="53"/>
  <c r="AK58" i="52" a="1"/>
  <c r="AK58" i="52" s="1"/>
  <c r="O58" i="53"/>
  <c r="F58" i="53"/>
  <c r="N58" i="53"/>
  <c r="P58" i="53"/>
  <c r="D58" i="53"/>
  <c r="I58" i="53"/>
  <c r="L58" i="53"/>
  <c r="H58" i="53"/>
  <c r="J58" i="53"/>
  <c r="C58" i="53"/>
  <c r="M58" i="53"/>
  <c r="G58" i="53"/>
  <c r="E58" i="53"/>
  <c r="K58" i="53"/>
  <c r="AG57" i="53"/>
  <c r="X57" i="53"/>
  <c r="E58" i="32"/>
  <c r="AL58" i="11" a="1"/>
  <c r="AL58" i="11" s="1"/>
  <c r="U56" i="32"/>
  <c r="AD56" i="32" s="1"/>
  <c r="AG56" i="32" s="1"/>
  <c r="AH56" i="32" s="1"/>
  <c r="AI56" i="32" s="1"/>
  <c r="AM56" i="32"/>
  <c r="AL55" i="32"/>
  <c r="AK57" i="32"/>
  <c r="O57" i="32"/>
  <c r="F57" i="32"/>
  <c r="T57" i="32"/>
  <c r="L57" i="32"/>
  <c r="B57" i="32"/>
  <c r="R57" i="32" s="1"/>
  <c r="S57" i="32" s="1"/>
  <c r="J57" i="32"/>
  <c r="G57" i="32"/>
  <c r="H57" i="32"/>
  <c r="A57" i="32"/>
  <c r="Q57" i="32" s="1"/>
  <c r="P57" i="32" s="1"/>
  <c r="I57" i="32"/>
  <c r="M57" i="32"/>
  <c r="K57" i="32"/>
  <c r="N57" i="32"/>
  <c r="W56" i="32"/>
  <c r="X56" i="32" s="1"/>
  <c r="C56" i="32"/>
  <c r="AJ56" i="32"/>
  <c r="V56" i="32"/>
  <c r="Z56" i="32"/>
  <c r="AM59" i="65" l="1"/>
  <c r="D59" i="65"/>
  <c r="E59" i="65" s="1"/>
  <c r="F59" i="65" s="1"/>
  <c r="G59" i="65" s="1"/>
  <c r="H59" i="65" s="1"/>
  <c r="I59" i="65" s="1"/>
  <c r="J59" i="65" s="1"/>
  <c r="K59" i="65" s="1"/>
  <c r="N59" i="65"/>
  <c r="P59" i="65"/>
  <c r="U58" i="65"/>
  <c r="AV58" i="65"/>
  <c r="AE58" i="65"/>
  <c r="R58" i="65"/>
  <c r="S58" i="65" s="1"/>
  <c r="Y58" i="65" s="1"/>
  <c r="AB58" i="65" s="1"/>
  <c r="AC58" i="65" s="1"/>
  <c r="AD58" i="65" s="1"/>
  <c r="AH58" i="65"/>
  <c r="Q58" i="65"/>
  <c r="AF58" i="65"/>
  <c r="AG57" i="65"/>
  <c r="B61" i="65"/>
  <c r="AO60" i="63" a="1"/>
  <c r="AO60" i="63" s="1"/>
  <c r="L60" i="65"/>
  <c r="M60" i="65" s="1"/>
  <c r="C60" i="65"/>
  <c r="O60" i="65"/>
  <c r="R58" i="53"/>
  <c r="X58" i="53" s="1"/>
  <c r="AT58" i="53"/>
  <c r="AD58" i="53"/>
  <c r="AE58" i="53"/>
  <c r="AH58" i="53"/>
  <c r="Q58" i="53"/>
  <c r="AC58" i="53"/>
  <c r="B60" i="53"/>
  <c r="AK59" i="52" a="1"/>
  <c r="AK59" i="52" s="1"/>
  <c r="AG58" i="53"/>
  <c r="M59" i="53"/>
  <c r="K59" i="53"/>
  <c r="G59" i="53"/>
  <c r="I59" i="53"/>
  <c r="E59" i="53"/>
  <c r="N59" i="53"/>
  <c r="J59" i="53"/>
  <c r="C59" i="53"/>
  <c r="L59" i="53"/>
  <c r="O59" i="53"/>
  <c r="D59" i="53"/>
  <c r="H59" i="53"/>
  <c r="F59" i="53"/>
  <c r="P59" i="53"/>
  <c r="AF57" i="53"/>
  <c r="AB57" i="53"/>
  <c r="AA57" i="53"/>
  <c r="AL56" i="32"/>
  <c r="AK58" i="32"/>
  <c r="T58" i="32"/>
  <c r="O58" i="32"/>
  <c r="H58" i="32"/>
  <c r="A58" i="32"/>
  <c r="Q58" i="32" s="1"/>
  <c r="P58" i="32" s="1"/>
  <c r="J58" i="32"/>
  <c r="K58" i="32"/>
  <c r="N58" i="32"/>
  <c r="M58" i="32"/>
  <c r="G58" i="32"/>
  <c r="F58" i="32"/>
  <c r="B58" i="32"/>
  <c r="R58" i="32" s="1"/>
  <c r="S58" i="32" s="1"/>
  <c r="L58" i="32"/>
  <c r="I58" i="32"/>
  <c r="U57" i="32"/>
  <c r="AD57" i="32" s="1"/>
  <c r="AG57" i="32" s="1"/>
  <c r="AH57" i="32" s="1"/>
  <c r="AI57" i="32" s="1"/>
  <c r="AM57" i="32"/>
  <c r="AN56" i="32"/>
  <c r="V57" i="32"/>
  <c r="C57" i="32"/>
  <c r="W57" i="32"/>
  <c r="X57" i="32" s="1"/>
  <c r="Z57" i="32"/>
  <c r="AJ57" i="32"/>
  <c r="E59" i="32"/>
  <c r="AL59" i="11" a="1"/>
  <c r="AL59" i="11" s="1"/>
  <c r="B62" i="65" l="1"/>
  <c r="AO61" i="63" a="1"/>
  <c r="AO61" i="63" s="1"/>
  <c r="N60" i="65"/>
  <c r="AM60" i="65"/>
  <c r="D60" i="65"/>
  <c r="E60" i="65" s="1"/>
  <c r="F60" i="65" s="1"/>
  <c r="G60" i="65" s="1"/>
  <c r="H60" i="65" s="1"/>
  <c r="I60" i="65" s="1"/>
  <c r="J60" i="65" s="1"/>
  <c r="K60" i="65" s="1"/>
  <c r="P60" i="65"/>
  <c r="L61" i="65"/>
  <c r="M61" i="65" s="1"/>
  <c r="C61" i="65"/>
  <c r="O61" i="65"/>
  <c r="AG58" i="65"/>
  <c r="U59" i="65"/>
  <c r="AF59" i="65"/>
  <c r="AV59" i="65"/>
  <c r="Q59" i="65"/>
  <c r="R59" i="65"/>
  <c r="S59" i="65" s="1"/>
  <c r="Y59" i="65" s="1"/>
  <c r="AB59" i="65" s="1"/>
  <c r="AC59" i="65" s="1"/>
  <c r="AD59" i="65" s="1"/>
  <c r="AH59" i="65"/>
  <c r="AE59" i="65"/>
  <c r="AA58" i="53"/>
  <c r="AB58" i="53"/>
  <c r="F60" i="53"/>
  <c r="D60" i="53"/>
  <c r="O60" i="53"/>
  <c r="I60" i="53"/>
  <c r="G60" i="53"/>
  <c r="C60" i="53"/>
  <c r="J60" i="53"/>
  <c r="K60" i="53"/>
  <c r="P60" i="53"/>
  <c r="L60" i="53"/>
  <c r="M60" i="53"/>
  <c r="N60" i="53"/>
  <c r="H60" i="53"/>
  <c r="E60" i="53"/>
  <c r="R59" i="53"/>
  <c r="X59" i="53" s="1"/>
  <c r="AD59" i="53"/>
  <c r="AH59" i="53"/>
  <c r="AC59" i="53"/>
  <c r="AE59" i="53"/>
  <c r="AT59" i="53"/>
  <c r="Q59" i="53"/>
  <c r="AF58" i="53"/>
  <c r="AG59" i="53"/>
  <c r="B61" i="53"/>
  <c r="AK60" i="52" a="1"/>
  <c r="AK60" i="52" s="1"/>
  <c r="AL57" i="32"/>
  <c r="E60" i="32"/>
  <c r="AL60" i="11" a="1"/>
  <c r="AL60" i="11" s="1"/>
  <c r="T59" i="32"/>
  <c r="O59" i="32"/>
  <c r="AK59" i="32"/>
  <c r="F59" i="32"/>
  <c r="K59" i="32"/>
  <c r="G59" i="32"/>
  <c r="H59" i="32"/>
  <c r="J59" i="32"/>
  <c r="L59" i="32"/>
  <c r="M59" i="32"/>
  <c r="A59" i="32"/>
  <c r="Q59" i="32" s="1"/>
  <c r="P59" i="32" s="1"/>
  <c r="N59" i="32"/>
  <c r="I59" i="32"/>
  <c r="B59" i="32"/>
  <c r="R59" i="32" s="1"/>
  <c r="S59" i="32" s="1"/>
  <c r="W58" i="32"/>
  <c r="X58" i="32" s="1"/>
  <c r="V58" i="32"/>
  <c r="C58" i="32"/>
  <c r="AJ58" i="32"/>
  <c r="Z58" i="32"/>
  <c r="AM58" i="32"/>
  <c r="U58" i="32"/>
  <c r="AD58" i="32" s="1"/>
  <c r="AG58" i="32" s="1"/>
  <c r="AH58" i="32" s="1"/>
  <c r="AI58" i="32" s="1"/>
  <c r="AN57" i="32"/>
  <c r="B63" i="65" l="1"/>
  <c r="AO62" i="63" a="1"/>
  <c r="AO62" i="63" s="1"/>
  <c r="L62" i="65"/>
  <c r="M62" i="65" s="1"/>
  <c r="O62" i="65"/>
  <c r="C62" i="65"/>
  <c r="N61" i="65"/>
  <c r="P61" i="65"/>
  <c r="AM61" i="65"/>
  <c r="D61" i="65"/>
  <c r="E61" i="65" s="1"/>
  <c r="F61" i="65" s="1"/>
  <c r="G61" i="65" s="1"/>
  <c r="H61" i="65" s="1"/>
  <c r="I61" i="65" s="1"/>
  <c r="J61" i="65" s="1"/>
  <c r="K61" i="65" s="1"/>
  <c r="AG59" i="65"/>
  <c r="U60" i="65"/>
  <c r="R60" i="65"/>
  <c r="S60" i="65" s="1"/>
  <c r="Y60" i="65" s="1"/>
  <c r="AB60" i="65" s="1"/>
  <c r="AC60" i="65" s="1"/>
  <c r="AD60" i="65" s="1"/>
  <c r="AH60" i="65"/>
  <c r="Q60" i="65"/>
  <c r="AE60" i="65"/>
  <c r="AF60" i="65"/>
  <c r="AV60" i="65"/>
  <c r="AF59" i="53"/>
  <c r="AA59" i="53"/>
  <c r="AB59" i="53"/>
  <c r="AH60" i="53"/>
  <c r="AD60" i="53"/>
  <c r="R60" i="53"/>
  <c r="X60" i="53" s="1"/>
  <c r="AT60" i="53"/>
  <c r="Q60" i="53"/>
  <c r="AC60" i="53"/>
  <c r="AE60" i="53"/>
  <c r="AG60" i="53"/>
  <c r="B62" i="53"/>
  <c r="AK61" i="52" a="1"/>
  <c r="AK61" i="52" s="1"/>
  <c r="N61" i="53"/>
  <c r="E61" i="53"/>
  <c r="F61" i="53"/>
  <c r="J61" i="53"/>
  <c r="M61" i="53"/>
  <c r="I61" i="53"/>
  <c r="G61" i="53"/>
  <c r="D61" i="53"/>
  <c r="H61" i="53"/>
  <c r="C61" i="53"/>
  <c r="L61" i="53"/>
  <c r="K61" i="53"/>
  <c r="O61" i="53"/>
  <c r="P61" i="53"/>
  <c r="O60" i="32"/>
  <c r="AK60" i="32"/>
  <c r="T60" i="32"/>
  <c r="A60" i="32"/>
  <c r="Q60" i="32" s="1"/>
  <c r="P60" i="32" s="1"/>
  <c r="N60" i="32"/>
  <c r="J60" i="32"/>
  <c r="B60" i="32"/>
  <c r="R60" i="32" s="1"/>
  <c r="S60" i="32" s="1"/>
  <c r="L60" i="32"/>
  <c r="K60" i="32"/>
  <c r="F60" i="32"/>
  <c r="G60" i="32"/>
  <c r="I60" i="32"/>
  <c r="H60" i="32"/>
  <c r="M60" i="32"/>
  <c r="C59" i="32"/>
  <c r="V59" i="32"/>
  <c r="AJ59" i="32"/>
  <c r="W59" i="32"/>
  <c r="X59" i="32" s="1"/>
  <c r="Z59" i="32"/>
  <c r="U59" i="32"/>
  <c r="AD59" i="32" s="1"/>
  <c r="AG59" i="32" s="1"/>
  <c r="AH59" i="32" s="1"/>
  <c r="AI59" i="32" s="1"/>
  <c r="AM59" i="32"/>
  <c r="AN58" i="32"/>
  <c r="AL58" i="32"/>
  <c r="E61" i="32"/>
  <c r="AL61" i="11" a="1"/>
  <c r="AL61" i="11" s="1"/>
  <c r="AG60" i="65" l="1"/>
  <c r="C63" i="65"/>
  <c r="O63" i="65"/>
  <c r="L63" i="65"/>
  <c r="M63" i="65" s="1"/>
  <c r="R61" i="65"/>
  <c r="S61" i="65" s="1"/>
  <c r="Y61" i="65" s="1"/>
  <c r="AB61" i="65" s="1"/>
  <c r="AC61" i="65" s="1"/>
  <c r="AD61" i="65" s="1"/>
  <c r="AE61" i="65"/>
  <c r="AV61" i="65"/>
  <c r="U61" i="65"/>
  <c r="Q61" i="65"/>
  <c r="AF61" i="65"/>
  <c r="AH61" i="65"/>
  <c r="D62" i="65"/>
  <c r="E62" i="65" s="1"/>
  <c r="F62" i="65" s="1"/>
  <c r="G62" i="65" s="1"/>
  <c r="H62" i="65" s="1"/>
  <c r="I62" i="65" s="1"/>
  <c r="J62" i="65" s="1"/>
  <c r="K62" i="65" s="1"/>
  <c r="P62" i="65"/>
  <c r="N62" i="65"/>
  <c r="AM62" i="65"/>
  <c r="B64" i="65"/>
  <c r="AO63" i="63" a="1"/>
  <c r="AO63" i="63" s="1"/>
  <c r="B63" i="53"/>
  <c r="AK62" i="52" a="1"/>
  <c r="AK62" i="52" s="1"/>
  <c r="AA60" i="53"/>
  <c r="AB60" i="53"/>
  <c r="N62" i="53"/>
  <c r="I62" i="53"/>
  <c r="L62" i="53"/>
  <c r="G62" i="53"/>
  <c r="D62" i="53"/>
  <c r="M62" i="53"/>
  <c r="K62" i="53"/>
  <c r="O62" i="53"/>
  <c r="AG62" i="53" s="1"/>
  <c r="P62" i="53"/>
  <c r="E62" i="53"/>
  <c r="C62" i="53"/>
  <c r="J62" i="53"/>
  <c r="H62" i="53"/>
  <c r="F62" i="53"/>
  <c r="AG61" i="53"/>
  <c r="Q61" i="53"/>
  <c r="AD61" i="53"/>
  <c r="AE61" i="53"/>
  <c r="R61" i="53"/>
  <c r="X61" i="53" s="1"/>
  <c r="AT61" i="53"/>
  <c r="AH61" i="53"/>
  <c r="AC61" i="53"/>
  <c r="AF60" i="53"/>
  <c r="AN59" i="32"/>
  <c r="O61" i="32"/>
  <c r="T61" i="32"/>
  <c r="AK61" i="32"/>
  <c r="J61" i="32"/>
  <c r="A61" i="32"/>
  <c r="Q61" i="32" s="1"/>
  <c r="P61" i="32" s="1"/>
  <c r="L61" i="32"/>
  <c r="F61" i="32"/>
  <c r="H61" i="32"/>
  <c r="M61" i="32"/>
  <c r="N61" i="32"/>
  <c r="K61" i="32"/>
  <c r="B61" i="32"/>
  <c r="R61" i="32" s="1"/>
  <c r="S61" i="32" s="1"/>
  <c r="G61" i="32"/>
  <c r="I61" i="32"/>
  <c r="AL59" i="32"/>
  <c r="W60" i="32"/>
  <c r="X60" i="32" s="1"/>
  <c r="V60" i="32"/>
  <c r="C60" i="32"/>
  <c r="AJ60" i="32"/>
  <c r="Z60" i="32"/>
  <c r="E62" i="32"/>
  <c r="AL62" i="11" a="1"/>
  <c r="AL62" i="11" s="1"/>
  <c r="U60" i="32"/>
  <c r="AD60" i="32" s="1"/>
  <c r="AG60" i="32" s="1"/>
  <c r="AH60" i="32" s="1"/>
  <c r="AI60" i="32" s="1"/>
  <c r="AM60" i="32"/>
  <c r="B65" i="65" l="1"/>
  <c r="AO64" i="63" a="1"/>
  <c r="AO64" i="63" s="1"/>
  <c r="N63" i="65"/>
  <c r="D63" i="65"/>
  <c r="E63" i="65" s="1"/>
  <c r="F63" i="65" s="1"/>
  <c r="G63" i="65" s="1"/>
  <c r="H63" i="65" s="1"/>
  <c r="I63" i="65" s="1"/>
  <c r="J63" i="65" s="1"/>
  <c r="K63" i="65" s="1"/>
  <c r="AM63" i="65"/>
  <c r="P63" i="65"/>
  <c r="L64" i="65"/>
  <c r="M64" i="65" s="1"/>
  <c r="C64" i="65"/>
  <c r="O64" i="65"/>
  <c r="AV62" i="65"/>
  <c r="Q62" i="65"/>
  <c r="AE62" i="65"/>
  <c r="U62" i="65"/>
  <c r="AF62" i="65"/>
  <c r="R62" i="65"/>
  <c r="S62" i="65" s="1"/>
  <c r="AH62" i="65"/>
  <c r="Y62" i="65"/>
  <c r="AB62" i="65" s="1"/>
  <c r="AC62" i="65" s="1"/>
  <c r="AD62" i="65" s="1"/>
  <c r="AG61" i="65"/>
  <c r="AA61" i="53"/>
  <c r="AB61" i="53"/>
  <c r="AF61" i="53"/>
  <c r="AE62" i="53"/>
  <c r="AC62" i="53"/>
  <c r="AD62" i="53"/>
  <c r="AT62" i="53"/>
  <c r="Q62" i="53"/>
  <c r="AH62" i="53"/>
  <c r="R62" i="53"/>
  <c r="X62" i="53" s="1"/>
  <c r="B64" i="53"/>
  <c r="AK63" i="52" a="1"/>
  <c r="AK63" i="52" s="1"/>
  <c r="H63" i="53"/>
  <c r="M63" i="53"/>
  <c r="J63" i="53"/>
  <c r="F63" i="53"/>
  <c r="O63" i="53"/>
  <c r="AG63" i="53" s="1"/>
  <c r="I63" i="53"/>
  <c r="K63" i="53"/>
  <c r="D63" i="53"/>
  <c r="N63" i="53"/>
  <c r="C63" i="53"/>
  <c r="G63" i="53"/>
  <c r="P63" i="53"/>
  <c r="E63" i="53"/>
  <c r="L63" i="53"/>
  <c r="AL60" i="32"/>
  <c r="AN60" i="32"/>
  <c r="U61" i="32"/>
  <c r="AD61" i="32" s="1"/>
  <c r="AG61" i="32" s="1"/>
  <c r="AH61" i="32" s="1"/>
  <c r="AI61" i="32" s="1"/>
  <c r="AM61" i="32"/>
  <c r="E63" i="32"/>
  <c r="AL63" i="11" a="1"/>
  <c r="AL63" i="11" s="1"/>
  <c r="AK62" i="32"/>
  <c r="T62" i="32"/>
  <c r="O62" i="32"/>
  <c r="H62" i="32"/>
  <c r="I62" i="32"/>
  <c r="B62" i="32"/>
  <c r="R62" i="32" s="1"/>
  <c r="S62" i="32" s="1"/>
  <c r="M62" i="32"/>
  <c r="G62" i="32"/>
  <c r="A62" i="32"/>
  <c r="Q62" i="32" s="1"/>
  <c r="P62" i="32" s="1"/>
  <c r="F62" i="32"/>
  <c r="N62" i="32"/>
  <c r="L62" i="32"/>
  <c r="J62" i="32"/>
  <c r="K62" i="32"/>
  <c r="C61" i="32"/>
  <c r="W61" i="32"/>
  <c r="X61" i="32" s="1"/>
  <c r="V61" i="32"/>
  <c r="Z61" i="32"/>
  <c r="AJ61" i="32"/>
  <c r="C65" i="65" l="1"/>
  <c r="O65" i="65"/>
  <c r="L65" i="65"/>
  <c r="M65" i="65" s="1"/>
  <c r="D64" i="65"/>
  <c r="E64" i="65" s="1"/>
  <c r="F64" i="65" s="1"/>
  <c r="G64" i="65" s="1"/>
  <c r="H64" i="65" s="1"/>
  <c r="I64" i="65" s="1"/>
  <c r="J64" i="65" s="1"/>
  <c r="K64" i="65" s="1"/>
  <c r="N64" i="65"/>
  <c r="AM64" i="65"/>
  <c r="P64" i="65"/>
  <c r="AG62" i="65"/>
  <c r="AE63" i="65"/>
  <c r="AV63" i="65"/>
  <c r="AF63" i="65"/>
  <c r="U63" i="65"/>
  <c r="R63" i="65"/>
  <c r="S63" i="65" s="1"/>
  <c r="Y63" i="65" s="1"/>
  <c r="AB63" i="65" s="1"/>
  <c r="AC63" i="65" s="1"/>
  <c r="AD63" i="65" s="1"/>
  <c r="Q63" i="65"/>
  <c r="AH63" i="65"/>
  <c r="B66" i="65"/>
  <c r="AO65" i="63" a="1"/>
  <c r="AO65" i="63" s="1"/>
  <c r="AT63" i="53"/>
  <c r="AD63" i="53"/>
  <c r="Q63" i="53"/>
  <c r="AH63" i="53"/>
  <c r="AC63" i="53"/>
  <c r="AE63" i="53"/>
  <c r="R63" i="53"/>
  <c r="X63" i="53" s="1"/>
  <c r="B65" i="53"/>
  <c r="AK64" i="52" a="1"/>
  <c r="AK64" i="52" s="1"/>
  <c r="N64" i="53"/>
  <c r="G64" i="53"/>
  <c r="F64" i="53"/>
  <c r="C64" i="53"/>
  <c r="I64" i="53"/>
  <c r="M64" i="53"/>
  <c r="L64" i="53"/>
  <c r="D64" i="53"/>
  <c r="P64" i="53"/>
  <c r="K64" i="53"/>
  <c r="E64" i="53"/>
  <c r="H64" i="53"/>
  <c r="J64" i="53"/>
  <c r="O64" i="53"/>
  <c r="AF62" i="53"/>
  <c r="AB62" i="53"/>
  <c r="AA62" i="53"/>
  <c r="AN61" i="32"/>
  <c r="AL61" i="32"/>
  <c r="U62" i="32"/>
  <c r="AD62" i="32" s="1"/>
  <c r="AG62" i="32" s="1"/>
  <c r="AH62" i="32" s="1"/>
  <c r="AI62" i="32" s="1"/>
  <c r="AM62" i="32"/>
  <c r="E64" i="32"/>
  <c r="AL64" i="11" a="1"/>
  <c r="AL64" i="11" s="1"/>
  <c r="T63" i="32"/>
  <c r="AK63" i="32"/>
  <c r="O63" i="32"/>
  <c r="I63" i="32"/>
  <c r="A63" i="32"/>
  <c r="Q63" i="32" s="1"/>
  <c r="P63" i="32" s="1"/>
  <c r="M63" i="32"/>
  <c r="N63" i="32"/>
  <c r="L63" i="32"/>
  <c r="H63" i="32"/>
  <c r="G63" i="32"/>
  <c r="B63" i="32"/>
  <c r="R63" i="32" s="1"/>
  <c r="S63" i="32" s="1"/>
  <c r="J63" i="32"/>
  <c r="F63" i="32"/>
  <c r="K63" i="32"/>
  <c r="C62" i="32"/>
  <c r="W62" i="32"/>
  <c r="X62" i="32" s="1"/>
  <c r="Z62" i="32"/>
  <c r="AJ62" i="32"/>
  <c r="V62" i="32"/>
  <c r="C66" i="65" l="1"/>
  <c r="O66" i="65"/>
  <c r="L66" i="65"/>
  <c r="M66" i="65" s="1"/>
  <c r="B67" i="65"/>
  <c r="AO66" i="63" a="1"/>
  <c r="AO66" i="63" s="1"/>
  <c r="N65" i="65"/>
  <c r="D65" i="65"/>
  <c r="E65" i="65" s="1"/>
  <c r="F65" i="65" s="1"/>
  <c r="G65" i="65" s="1"/>
  <c r="H65" i="65" s="1"/>
  <c r="I65" i="65" s="1"/>
  <c r="J65" i="65" s="1"/>
  <c r="K65" i="65" s="1"/>
  <c r="AM65" i="65"/>
  <c r="P65" i="65"/>
  <c r="Q64" i="65"/>
  <c r="AF64" i="65"/>
  <c r="AE64" i="65"/>
  <c r="AH64" i="65"/>
  <c r="R64" i="65"/>
  <c r="S64" i="65" s="1"/>
  <c r="Y64" i="65" s="1"/>
  <c r="AB64" i="65" s="1"/>
  <c r="AC64" i="65" s="1"/>
  <c r="AD64" i="65" s="1"/>
  <c r="U64" i="65"/>
  <c r="AV64" i="65"/>
  <c r="AG63" i="65"/>
  <c r="AA63" i="53"/>
  <c r="AB63" i="53"/>
  <c r="C65" i="53"/>
  <c r="J65" i="53"/>
  <c r="L65" i="53"/>
  <c r="E65" i="53"/>
  <c r="F65" i="53"/>
  <c r="P65" i="53"/>
  <c r="M65" i="53"/>
  <c r="I65" i="53"/>
  <c r="K65" i="53"/>
  <c r="O65" i="53"/>
  <c r="N65" i="53"/>
  <c r="G65" i="53"/>
  <c r="D65" i="53"/>
  <c r="H65" i="53"/>
  <c r="AG64" i="53"/>
  <c r="R64" i="53"/>
  <c r="X64" i="53" s="1"/>
  <c r="AE64" i="53"/>
  <c r="Q64" i="53"/>
  <c r="AT64" i="53"/>
  <c r="AD64" i="53"/>
  <c r="AH64" i="53"/>
  <c r="AC64" i="53"/>
  <c r="AF63" i="53"/>
  <c r="B66" i="53"/>
  <c r="AK65" i="52" a="1"/>
  <c r="AK65" i="52" s="1"/>
  <c r="AL62" i="32"/>
  <c r="AN62" i="32"/>
  <c r="C63" i="32"/>
  <c r="W63" i="32"/>
  <c r="X63" i="32" s="1"/>
  <c r="V63" i="32"/>
  <c r="AJ63" i="32"/>
  <c r="Z63" i="32"/>
  <c r="E65" i="32"/>
  <c r="AL65" i="11" a="1"/>
  <c r="AL65" i="11" s="1"/>
  <c r="O64" i="32"/>
  <c r="T64" i="32"/>
  <c r="AK64" i="32"/>
  <c r="K64" i="32"/>
  <c r="I64" i="32"/>
  <c r="G64" i="32"/>
  <c r="H64" i="32"/>
  <c r="L64" i="32"/>
  <c r="J64" i="32"/>
  <c r="N64" i="32"/>
  <c r="A64" i="32"/>
  <c r="Q64" i="32" s="1"/>
  <c r="P64" i="32" s="1"/>
  <c r="M64" i="32"/>
  <c r="F64" i="32"/>
  <c r="B64" i="32"/>
  <c r="R64" i="32" s="1"/>
  <c r="S64" i="32" s="1"/>
  <c r="U63" i="32"/>
  <c r="AD63" i="32" s="1"/>
  <c r="AG63" i="32" s="1"/>
  <c r="AH63" i="32" s="1"/>
  <c r="AI63" i="32" s="1"/>
  <c r="AM63" i="32"/>
  <c r="N66" i="65" l="1"/>
  <c r="P66" i="65"/>
  <c r="AM66" i="65"/>
  <c r="D66" i="65"/>
  <c r="E66" i="65" s="1"/>
  <c r="F66" i="65" s="1"/>
  <c r="G66" i="65" s="1"/>
  <c r="H66" i="65" s="1"/>
  <c r="I66" i="65" s="1"/>
  <c r="J66" i="65" s="1"/>
  <c r="K66" i="65" s="1"/>
  <c r="AF65" i="65"/>
  <c r="AE65" i="65"/>
  <c r="AV65" i="65"/>
  <c r="U65" i="65"/>
  <c r="R65" i="65"/>
  <c r="S65" i="65" s="1"/>
  <c r="Y65" i="65" s="1"/>
  <c r="AB65" i="65" s="1"/>
  <c r="AC65" i="65" s="1"/>
  <c r="AD65" i="65" s="1"/>
  <c r="AH65" i="65"/>
  <c r="Q65" i="65"/>
  <c r="L67" i="65"/>
  <c r="M67" i="65" s="1"/>
  <c r="O67" i="65"/>
  <c r="C67" i="65"/>
  <c r="B68" i="65"/>
  <c r="AO67" i="63" a="1"/>
  <c r="AO67" i="63" s="1"/>
  <c r="AG64" i="65"/>
  <c r="AA64" i="53"/>
  <c r="AB64" i="53"/>
  <c r="AC65" i="53"/>
  <c r="AD65" i="53"/>
  <c r="AE65" i="53"/>
  <c r="Q65" i="53"/>
  <c r="AH65" i="53"/>
  <c r="AT65" i="53"/>
  <c r="R65" i="53"/>
  <c r="X65" i="53" s="1"/>
  <c r="B67" i="53"/>
  <c r="AK66" i="52" a="1"/>
  <c r="AK66" i="52" s="1"/>
  <c r="AF64" i="53"/>
  <c r="AG65" i="53"/>
  <c r="M66" i="53"/>
  <c r="P66" i="53"/>
  <c r="D66" i="53"/>
  <c r="F66" i="53"/>
  <c r="H66" i="53"/>
  <c r="C66" i="53"/>
  <c r="L66" i="53"/>
  <c r="E66" i="53"/>
  <c r="N66" i="53"/>
  <c r="K66" i="53"/>
  <c r="O66" i="53"/>
  <c r="I66" i="53"/>
  <c r="G66" i="53"/>
  <c r="J66" i="53"/>
  <c r="E66" i="32"/>
  <c r="AL66" i="11" a="1"/>
  <c r="AL66" i="11" s="1"/>
  <c r="AK65" i="32"/>
  <c r="O65" i="32"/>
  <c r="T65" i="32"/>
  <c r="K65" i="32"/>
  <c r="H65" i="32"/>
  <c r="A65" i="32"/>
  <c r="Q65" i="32" s="1"/>
  <c r="P65" i="32" s="1"/>
  <c r="M65" i="32"/>
  <c r="L65" i="32"/>
  <c r="G65" i="32"/>
  <c r="F65" i="32"/>
  <c r="N65" i="32"/>
  <c r="I65" i="32"/>
  <c r="J65" i="32"/>
  <c r="B65" i="32"/>
  <c r="R65" i="32" s="1"/>
  <c r="S65" i="32" s="1"/>
  <c r="U64" i="32"/>
  <c r="AD64" i="32" s="1"/>
  <c r="AG64" i="32" s="1"/>
  <c r="AH64" i="32" s="1"/>
  <c r="AI64" i="32" s="1"/>
  <c r="AM64" i="32"/>
  <c r="AL63" i="32"/>
  <c r="AN63" i="32"/>
  <c r="C64" i="32"/>
  <c r="AJ64" i="32"/>
  <c r="V64" i="32"/>
  <c r="Z64" i="32"/>
  <c r="W64" i="32"/>
  <c r="X64" i="32" s="1"/>
  <c r="B69" i="65" l="1"/>
  <c r="AO68" i="63" a="1"/>
  <c r="AO68" i="63" s="1"/>
  <c r="C68" i="65"/>
  <c r="O68" i="65"/>
  <c r="L68" i="65"/>
  <c r="M68" i="65" s="1"/>
  <c r="P67" i="65"/>
  <c r="N67" i="65"/>
  <c r="D67" i="65"/>
  <c r="E67" i="65" s="1"/>
  <c r="F67" i="65" s="1"/>
  <c r="G67" i="65" s="1"/>
  <c r="H67" i="65" s="1"/>
  <c r="I67" i="65" s="1"/>
  <c r="J67" i="65" s="1"/>
  <c r="K67" i="65" s="1"/>
  <c r="AM67" i="65"/>
  <c r="AV66" i="65"/>
  <c r="U66" i="65"/>
  <c r="Q66" i="65"/>
  <c r="AE66" i="65"/>
  <c r="AH66" i="65"/>
  <c r="AF66" i="65"/>
  <c r="R66" i="65"/>
  <c r="S66" i="65" s="1"/>
  <c r="AG65" i="65"/>
  <c r="Y66" i="65"/>
  <c r="AB66" i="65" s="1"/>
  <c r="AC66" i="65" s="1"/>
  <c r="AD66" i="65" s="1"/>
  <c r="AN64" i="32"/>
  <c r="AB65" i="53"/>
  <c r="AA65" i="53"/>
  <c r="AG66" i="53"/>
  <c r="AH66" i="53"/>
  <c r="AE66" i="53"/>
  <c r="AC66" i="53"/>
  <c r="R66" i="53"/>
  <c r="X66" i="53" s="1"/>
  <c r="Q66" i="53"/>
  <c r="AD66" i="53"/>
  <c r="AT66" i="53"/>
  <c r="AF65" i="53"/>
  <c r="B68" i="53"/>
  <c r="AK67" i="52" a="1"/>
  <c r="AK67" i="52" s="1"/>
  <c r="M67" i="53"/>
  <c r="G67" i="53"/>
  <c r="P67" i="53"/>
  <c r="H67" i="53"/>
  <c r="E67" i="53"/>
  <c r="I67" i="53"/>
  <c r="N67" i="53"/>
  <c r="L67" i="53"/>
  <c r="F67" i="53"/>
  <c r="C67" i="53"/>
  <c r="D67" i="53"/>
  <c r="O67" i="53"/>
  <c r="AG67" i="53" s="1"/>
  <c r="J67" i="53"/>
  <c r="K67" i="53"/>
  <c r="T66" i="32"/>
  <c r="O66" i="32"/>
  <c r="AK66" i="32"/>
  <c r="H66" i="32"/>
  <c r="K66" i="32"/>
  <c r="A66" i="32"/>
  <c r="Q66" i="32" s="1"/>
  <c r="P66" i="32" s="1"/>
  <c r="L66" i="32"/>
  <c r="N66" i="32"/>
  <c r="M66" i="32"/>
  <c r="I66" i="32"/>
  <c r="F66" i="32"/>
  <c r="G66" i="32"/>
  <c r="J66" i="32"/>
  <c r="B66" i="32"/>
  <c r="R66" i="32" s="1"/>
  <c r="S66" i="32" s="1"/>
  <c r="W65" i="32"/>
  <c r="X65" i="32" s="1"/>
  <c r="Z65" i="32"/>
  <c r="C65" i="32"/>
  <c r="AJ65" i="32"/>
  <c r="V65" i="32"/>
  <c r="AM65" i="32"/>
  <c r="U65" i="32"/>
  <c r="AD65" i="32" s="1"/>
  <c r="AG65" i="32" s="1"/>
  <c r="AH65" i="32" s="1"/>
  <c r="AI65" i="32" s="1"/>
  <c r="E67" i="32"/>
  <c r="AL67" i="11" a="1"/>
  <c r="AL67" i="11" s="1"/>
  <c r="AL64" i="32"/>
  <c r="N68" i="65" l="1"/>
  <c r="D68" i="65"/>
  <c r="E68" i="65" s="1"/>
  <c r="F68" i="65" s="1"/>
  <c r="G68" i="65" s="1"/>
  <c r="H68" i="65" s="1"/>
  <c r="I68" i="65" s="1"/>
  <c r="J68" i="65" s="1"/>
  <c r="K68" i="65" s="1"/>
  <c r="AM68" i="65"/>
  <c r="P68" i="65"/>
  <c r="C69" i="65"/>
  <c r="O69" i="65"/>
  <c r="L69" i="65"/>
  <c r="M69" i="65" s="1"/>
  <c r="AG66" i="65"/>
  <c r="AV67" i="65"/>
  <c r="U67" i="65"/>
  <c r="AE67" i="65"/>
  <c r="Q67" i="65"/>
  <c r="AH67" i="65"/>
  <c r="AF67" i="65"/>
  <c r="R67" i="65"/>
  <c r="S67" i="65" s="1"/>
  <c r="Y67" i="65" s="1"/>
  <c r="AB67" i="65" s="1"/>
  <c r="AC67" i="65" s="1"/>
  <c r="AD67" i="65" s="1"/>
  <c r="B70" i="65"/>
  <c r="AO69" i="63" a="1"/>
  <c r="AO69" i="63" s="1"/>
  <c r="AA66" i="53"/>
  <c r="AB66" i="53"/>
  <c r="AC67" i="53"/>
  <c r="Q67" i="53"/>
  <c r="AT67" i="53"/>
  <c r="AE67" i="53"/>
  <c r="AH67" i="53"/>
  <c r="R67" i="53"/>
  <c r="X67" i="53" s="1"/>
  <c r="AD67" i="53"/>
  <c r="AF66" i="53"/>
  <c r="P68" i="53"/>
  <c r="K68" i="53"/>
  <c r="O68" i="53"/>
  <c r="AG68" i="53" s="1"/>
  <c r="G68" i="53"/>
  <c r="J68" i="53"/>
  <c r="L68" i="53"/>
  <c r="D68" i="53"/>
  <c r="I68" i="53"/>
  <c r="H68" i="53"/>
  <c r="F68" i="53"/>
  <c r="N68" i="53"/>
  <c r="E68" i="53"/>
  <c r="C68" i="53"/>
  <c r="M68" i="53"/>
  <c r="B69" i="53"/>
  <c r="AK68" i="52" a="1"/>
  <c r="AK68" i="52" s="1"/>
  <c r="AN65" i="32"/>
  <c r="AL65" i="32"/>
  <c r="E68" i="32"/>
  <c r="AL68" i="11" a="1"/>
  <c r="AL68" i="11" s="1"/>
  <c r="O67" i="32"/>
  <c r="AK67" i="32"/>
  <c r="N67" i="32"/>
  <c r="F67" i="32"/>
  <c r="H67" i="32"/>
  <c r="T67" i="32"/>
  <c r="B67" i="32"/>
  <c r="R67" i="32" s="1"/>
  <c r="S67" i="32" s="1"/>
  <c r="G67" i="32"/>
  <c r="K67" i="32"/>
  <c r="J67" i="32"/>
  <c r="L67" i="32"/>
  <c r="A67" i="32"/>
  <c r="Q67" i="32" s="1"/>
  <c r="P67" i="32" s="1"/>
  <c r="M67" i="32"/>
  <c r="I67" i="32"/>
  <c r="Z66" i="32"/>
  <c r="C66" i="32"/>
  <c r="V66" i="32"/>
  <c r="AJ66" i="32"/>
  <c r="W66" i="32"/>
  <c r="X66" i="32" s="1"/>
  <c r="U66" i="32"/>
  <c r="AD66" i="32" s="1"/>
  <c r="AG66" i="32" s="1"/>
  <c r="AH66" i="32" s="1"/>
  <c r="AI66" i="32" s="1"/>
  <c r="AM66" i="32"/>
  <c r="B71" i="65" l="1"/>
  <c r="AO70" i="63" a="1"/>
  <c r="AO70" i="63" s="1"/>
  <c r="L70" i="65"/>
  <c r="M70" i="65" s="1"/>
  <c r="O70" i="65"/>
  <c r="C70" i="65"/>
  <c r="AV68" i="65"/>
  <c r="AH68" i="65"/>
  <c r="R68" i="65"/>
  <c r="S68" i="65" s="1"/>
  <c r="Y68" i="65" s="1"/>
  <c r="AB68" i="65" s="1"/>
  <c r="AC68" i="65" s="1"/>
  <c r="AD68" i="65" s="1"/>
  <c r="AF68" i="65"/>
  <c r="U68" i="65"/>
  <c r="Q68" i="65"/>
  <c r="AE68" i="65"/>
  <c r="AG67" i="65"/>
  <c r="D69" i="65"/>
  <c r="E69" i="65" s="1"/>
  <c r="F69" i="65" s="1"/>
  <c r="G69" i="65" s="1"/>
  <c r="H69" i="65" s="1"/>
  <c r="I69" i="65" s="1"/>
  <c r="J69" i="65" s="1"/>
  <c r="K69" i="65" s="1"/>
  <c r="N69" i="65"/>
  <c r="P69" i="65"/>
  <c r="AM69" i="65"/>
  <c r="B70" i="53"/>
  <c r="AK69" i="52" a="1"/>
  <c r="AK69" i="52" s="1"/>
  <c r="AA67" i="53"/>
  <c r="AB67" i="53"/>
  <c r="AF67" i="53"/>
  <c r="L69" i="53"/>
  <c r="D69" i="53"/>
  <c r="N69" i="53"/>
  <c r="E69" i="53"/>
  <c r="F69" i="53"/>
  <c r="I69" i="53"/>
  <c r="K69" i="53"/>
  <c r="G69" i="53"/>
  <c r="J69" i="53"/>
  <c r="M69" i="53"/>
  <c r="C69" i="53"/>
  <c r="P69" i="53"/>
  <c r="O69" i="53"/>
  <c r="AG69" i="53" s="1"/>
  <c r="H69" i="53"/>
  <c r="AC68" i="53"/>
  <c r="AE68" i="53"/>
  <c r="Q68" i="53"/>
  <c r="AH68" i="53"/>
  <c r="R68" i="53"/>
  <c r="X68" i="53" s="1"/>
  <c r="AD68" i="53"/>
  <c r="AT68" i="53"/>
  <c r="C67" i="32"/>
  <c r="AJ67" i="32"/>
  <c r="W67" i="32"/>
  <c r="X67" i="32" s="1"/>
  <c r="Z67" i="32"/>
  <c r="V67" i="32"/>
  <c r="AK68" i="32"/>
  <c r="O68" i="32"/>
  <c r="T68" i="32"/>
  <c r="J68" i="32"/>
  <c r="F68" i="32"/>
  <c r="B68" i="32"/>
  <c r="R68" i="32" s="1"/>
  <c r="S68" i="32" s="1"/>
  <c r="L68" i="32"/>
  <c r="M68" i="32"/>
  <c r="A68" i="32"/>
  <c r="Q68" i="32" s="1"/>
  <c r="P68" i="32" s="1"/>
  <c r="H68" i="32"/>
  <c r="G68" i="32"/>
  <c r="K68" i="32"/>
  <c r="I68" i="32"/>
  <c r="N68" i="32"/>
  <c r="AL66" i="32"/>
  <c r="AN66" i="32"/>
  <c r="U67" i="32"/>
  <c r="AD67" i="32" s="1"/>
  <c r="AG67" i="32" s="1"/>
  <c r="AH67" i="32" s="1"/>
  <c r="AI67" i="32" s="1"/>
  <c r="AM67" i="32"/>
  <c r="E69" i="32"/>
  <c r="AL69" i="11" a="1"/>
  <c r="AL69" i="11" s="1"/>
  <c r="AG68" i="65" l="1"/>
  <c r="Y69" i="65"/>
  <c r="AB69" i="65" s="1"/>
  <c r="AC69" i="65" s="1"/>
  <c r="AD69" i="65" s="1"/>
  <c r="U69" i="65"/>
  <c r="AE69" i="65"/>
  <c r="AV69" i="65"/>
  <c r="AH69" i="65"/>
  <c r="R69" i="65"/>
  <c r="S69" i="65" s="1"/>
  <c r="AF69" i="65"/>
  <c r="Q69" i="65"/>
  <c r="C71" i="65"/>
  <c r="O71" i="65"/>
  <c r="L71" i="65"/>
  <c r="M71" i="65" s="1"/>
  <c r="P70" i="65"/>
  <c r="D70" i="65"/>
  <c r="E70" i="65" s="1"/>
  <c r="F70" i="65" s="1"/>
  <c r="G70" i="65" s="1"/>
  <c r="H70" i="65" s="1"/>
  <c r="I70" i="65" s="1"/>
  <c r="J70" i="65" s="1"/>
  <c r="K70" i="65" s="1"/>
  <c r="N70" i="65"/>
  <c r="AM70" i="65"/>
  <c r="B72" i="65"/>
  <c r="AO71" i="63" a="1"/>
  <c r="AO71" i="63" s="1"/>
  <c r="B71" i="53"/>
  <c r="AK70" i="52" a="1"/>
  <c r="AK70" i="52" s="1"/>
  <c r="AB68" i="53"/>
  <c r="AA68" i="53"/>
  <c r="AC69" i="53"/>
  <c r="AE69" i="53"/>
  <c r="AT69" i="53"/>
  <c r="R69" i="53"/>
  <c r="X69" i="53" s="1"/>
  <c r="AD69" i="53"/>
  <c r="AH69" i="53"/>
  <c r="Q69" i="53"/>
  <c r="I70" i="53"/>
  <c r="D70" i="53"/>
  <c r="J70" i="53"/>
  <c r="M70" i="53"/>
  <c r="L70" i="53"/>
  <c r="K70" i="53"/>
  <c r="C70" i="53"/>
  <c r="E70" i="53"/>
  <c r="H70" i="53"/>
  <c r="G70" i="53"/>
  <c r="N70" i="53"/>
  <c r="O70" i="53"/>
  <c r="AG70" i="53" s="1"/>
  <c r="P70" i="53"/>
  <c r="F70" i="53"/>
  <c r="AF68" i="53"/>
  <c r="E70" i="32"/>
  <c r="AL70" i="11" a="1"/>
  <c r="AL70" i="11" s="1"/>
  <c r="T69" i="32"/>
  <c r="AK69" i="32"/>
  <c r="G69" i="32"/>
  <c r="O69" i="32"/>
  <c r="N69" i="32"/>
  <c r="K69" i="32"/>
  <c r="I69" i="32"/>
  <c r="L69" i="32"/>
  <c r="J69" i="32"/>
  <c r="A69" i="32"/>
  <c r="Q69" i="32" s="1"/>
  <c r="P69" i="32" s="1"/>
  <c r="M69" i="32"/>
  <c r="H69" i="32"/>
  <c r="F69" i="32"/>
  <c r="B69" i="32"/>
  <c r="R69" i="32" s="1"/>
  <c r="S69" i="32" s="1"/>
  <c r="C68" i="32"/>
  <c r="AJ68" i="32"/>
  <c r="W68" i="32"/>
  <c r="X68" i="32" s="1"/>
  <c r="Z68" i="32"/>
  <c r="V68" i="32"/>
  <c r="AN67" i="32"/>
  <c r="U68" i="32"/>
  <c r="AD68" i="32" s="1"/>
  <c r="AG68" i="32" s="1"/>
  <c r="AH68" i="32" s="1"/>
  <c r="AI68" i="32" s="1"/>
  <c r="AM68" i="32"/>
  <c r="AL67" i="32"/>
  <c r="B73" i="65" l="1"/>
  <c r="AO72" i="63" a="1"/>
  <c r="AO72" i="63" s="1"/>
  <c r="AM71" i="65"/>
  <c r="N71" i="65"/>
  <c r="D71" i="65"/>
  <c r="E71" i="65" s="1"/>
  <c r="F71" i="65" s="1"/>
  <c r="G71" i="65" s="1"/>
  <c r="H71" i="65" s="1"/>
  <c r="I71" i="65" s="1"/>
  <c r="J71" i="65" s="1"/>
  <c r="K71" i="65" s="1"/>
  <c r="P71" i="65"/>
  <c r="O72" i="65"/>
  <c r="L72" i="65"/>
  <c r="M72" i="65" s="1"/>
  <c r="C72" i="65"/>
  <c r="AG69" i="65"/>
  <c r="AV70" i="65"/>
  <c r="U70" i="65"/>
  <c r="AH70" i="65"/>
  <c r="Q70" i="65"/>
  <c r="AF70" i="65"/>
  <c r="AE70" i="65"/>
  <c r="R70" i="65"/>
  <c r="S70" i="65" s="1"/>
  <c r="Y70" i="65" s="1"/>
  <c r="AB70" i="65" s="1"/>
  <c r="AC70" i="65" s="1"/>
  <c r="AD70" i="65" s="1"/>
  <c r="AA69" i="53"/>
  <c r="AB69" i="53"/>
  <c r="AE70" i="53"/>
  <c r="AH70" i="53"/>
  <c r="R70" i="53"/>
  <c r="X70" i="53" s="1"/>
  <c r="Q70" i="53"/>
  <c r="AC70" i="53"/>
  <c r="AT70" i="53"/>
  <c r="AD70" i="53"/>
  <c r="AF69" i="53"/>
  <c r="B72" i="53"/>
  <c r="AK71" i="52" a="1"/>
  <c r="AK71" i="52" s="1"/>
  <c r="I71" i="53"/>
  <c r="N71" i="53"/>
  <c r="L71" i="53"/>
  <c r="K71" i="53"/>
  <c r="D71" i="53"/>
  <c r="H71" i="53"/>
  <c r="M71" i="53"/>
  <c r="C71" i="53"/>
  <c r="O71" i="53"/>
  <c r="AG71" i="53" s="1"/>
  <c r="F71" i="53"/>
  <c r="E71" i="53"/>
  <c r="J71" i="53"/>
  <c r="P71" i="53"/>
  <c r="G71" i="53"/>
  <c r="AN68" i="32"/>
  <c r="Z69" i="32"/>
  <c r="V69" i="32"/>
  <c r="C69" i="32"/>
  <c r="W69" i="32"/>
  <c r="X69" i="32" s="1"/>
  <c r="AJ69" i="32"/>
  <c r="AM69" i="32"/>
  <c r="U69" i="32"/>
  <c r="AD69" i="32" s="1"/>
  <c r="AG69" i="32" s="1"/>
  <c r="AH69" i="32" s="1"/>
  <c r="AI69" i="32" s="1"/>
  <c r="AL68" i="32"/>
  <c r="E71" i="32"/>
  <c r="AL71" i="11" a="1"/>
  <c r="AL71" i="11" s="1"/>
  <c r="T70" i="32"/>
  <c r="AK70" i="32"/>
  <c r="O70" i="32"/>
  <c r="G70" i="32"/>
  <c r="K70" i="32"/>
  <c r="N70" i="32"/>
  <c r="H70" i="32"/>
  <c r="F70" i="32"/>
  <c r="M70" i="32"/>
  <c r="A70" i="32"/>
  <c r="Q70" i="32" s="1"/>
  <c r="P70" i="32" s="1"/>
  <c r="B70" i="32"/>
  <c r="R70" i="32" s="1"/>
  <c r="S70" i="32" s="1"/>
  <c r="I70" i="32"/>
  <c r="J70" i="32"/>
  <c r="L70" i="32"/>
  <c r="D72" i="65" l="1"/>
  <c r="E72" i="65" s="1"/>
  <c r="F72" i="65" s="1"/>
  <c r="G72" i="65" s="1"/>
  <c r="H72" i="65" s="1"/>
  <c r="I72" i="65" s="1"/>
  <c r="J72" i="65" s="1"/>
  <c r="K72" i="65" s="1"/>
  <c r="P72" i="65"/>
  <c r="AM72" i="65"/>
  <c r="N72" i="65"/>
  <c r="L73" i="65"/>
  <c r="M73" i="65" s="1"/>
  <c r="C73" i="65"/>
  <c r="O73" i="65"/>
  <c r="AG70" i="65"/>
  <c r="Y71" i="65"/>
  <c r="AB71" i="65" s="1"/>
  <c r="AC71" i="65" s="1"/>
  <c r="AD71" i="65" s="1"/>
  <c r="U71" i="65"/>
  <c r="AV71" i="65"/>
  <c r="AE71" i="65"/>
  <c r="Q71" i="65"/>
  <c r="AH71" i="65"/>
  <c r="R71" i="65"/>
  <c r="S71" i="65" s="1"/>
  <c r="AF71" i="65"/>
  <c r="B74" i="65"/>
  <c r="AO73" i="63" a="1"/>
  <c r="AO73" i="63" s="1"/>
  <c r="AA70" i="53"/>
  <c r="AB70" i="53"/>
  <c r="B73" i="53"/>
  <c r="AK72" i="52" a="1"/>
  <c r="AK72" i="52" s="1"/>
  <c r="AE71" i="53"/>
  <c r="Q71" i="53"/>
  <c r="AT71" i="53"/>
  <c r="AC71" i="53"/>
  <c r="R71" i="53"/>
  <c r="X71" i="53" s="1"/>
  <c r="AD71" i="53"/>
  <c r="AH71" i="53"/>
  <c r="E72" i="53"/>
  <c r="I72" i="53"/>
  <c r="F72" i="53"/>
  <c r="D72" i="53"/>
  <c r="K72" i="53"/>
  <c r="H72" i="53"/>
  <c r="G72" i="53"/>
  <c r="J72" i="53"/>
  <c r="O72" i="53"/>
  <c r="AG72" i="53" s="1"/>
  <c r="P72" i="53"/>
  <c r="C72" i="53"/>
  <c r="N72" i="53"/>
  <c r="M72" i="53"/>
  <c r="L72" i="53"/>
  <c r="AF70" i="53"/>
  <c r="AL69" i="32"/>
  <c r="Z70" i="32"/>
  <c r="AJ70" i="32"/>
  <c r="V70" i="32"/>
  <c r="W70" i="32"/>
  <c r="X70" i="32" s="1"/>
  <c r="C70" i="32"/>
  <c r="E72" i="32"/>
  <c r="AL72" i="11" a="1"/>
  <c r="AL72" i="11" s="1"/>
  <c r="AM70" i="32"/>
  <c r="U70" i="32"/>
  <c r="AD70" i="32" s="1"/>
  <c r="AG70" i="32" s="1"/>
  <c r="AH70" i="32" s="1"/>
  <c r="AI70" i="32" s="1"/>
  <c r="T71" i="32"/>
  <c r="AK71" i="32"/>
  <c r="O71" i="32"/>
  <c r="M71" i="32"/>
  <c r="B71" i="32"/>
  <c r="R71" i="32" s="1"/>
  <c r="S71" i="32" s="1"/>
  <c r="N71" i="32"/>
  <c r="L71" i="32"/>
  <c r="H71" i="32"/>
  <c r="K71" i="32"/>
  <c r="A71" i="32"/>
  <c r="Q71" i="32" s="1"/>
  <c r="P71" i="32" s="1"/>
  <c r="G71" i="32"/>
  <c r="F71" i="32"/>
  <c r="I71" i="32"/>
  <c r="J71" i="32"/>
  <c r="AN69" i="32"/>
  <c r="L74" i="65" l="1"/>
  <c r="M74" i="65" s="1"/>
  <c r="C74" i="65"/>
  <c r="O74" i="65"/>
  <c r="B75" i="65"/>
  <c r="AO74" i="63" a="1"/>
  <c r="AO74" i="63" s="1"/>
  <c r="AG71" i="65"/>
  <c r="AF72" i="65"/>
  <c r="AE72" i="65"/>
  <c r="U72" i="65"/>
  <c r="AV72" i="65"/>
  <c r="Q72" i="65"/>
  <c r="AH72" i="65"/>
  <c r="R72" i="65"/>
  <c r="S72" i="65" s="1"/>
  <c r="Y72" i="65" s="1"/>
  <c r="AB72" i="65" s="1"/>
  <c r="AC72" i="65" s="1"/>
  <c r="AD72" i="65" s="1"/>
  <c r="P73" i="65"/>
  <c r="AM73" i="65"/>
  <c r="N73" i="65"/>
  <c r="D73" i="65"/>
  <c r="E73" i="65" s="1"/>
  <c r="F73" i="65" s="1"/>
  <c r="G73" i="65" s="1"/>
  <c r="H73" i="65" s="1"/>
  <c r="I73" i="65" s="1"/>
  <c r="J73" i="65" s="1"/>
  <c r="K73" i="65" s="1"/>
  <c r="AA71" i="53"/>
  <c r="AB71" i="53"/>
  <c r="AC72" i="53"/>
  <c r="AD72" i="53"/>
  <c r="Q72" i="53"/>
  <c r="AE72" i="53"/>
  <c r="R72" i="53"/>
  <c r="X72" i="53" s="1"/>
  <c r="AH72" i="53"/>
  <c r="AT72" i="53"/>
  <c r="AF71" i="53"/>
  <c r="B74" i="53"/>
  <c r="AK73" i="52" a="1"/>
  <c r="AK73" i="52" s="1"/>
  <c r="O73" i="53"/>
  <c r="AG73" i="53" s="1"/>
  <c r="I73" i="53"/>
  <c r="E73" i="53"/>
  <c r="P73" i="53"/>
  <c r="G73" i="53"/>
  <c r="D73" i="53"/>
  <c r="N73" i="53"/>
  <c r="F73" i="53"/>
  <c r="M73" i="53"/>
  <c r="H73" i="53"/>
  <c r="J73" i="53"/>
  <c r="K73" i="53"/>
  <c r="L73" i="53"/>
  <c r="C73" i="53"/>
  <c r="E73" i="32"/>
  <c r="AL73" i="11" a="1"/>
  <c r="AL73" i="11" s="1"/>
  <c r="W71" i="32"/>
  <c r="X71" i="32" s="1"/>
  <c r="V71" i="32"/>
  <c r="C71" i="32"/>
  <c r="AJ71" i="32"/>
  <c r="Z71" i="32"/>
  <c r="T72" i="32"/>
  <c r="AK72" i="32"/>
  <c r="G72" i="32"/>
  <c r="O72" i="32"/>
  <c r="K72" i="32"/>
  <c r="A72" i="32"/>
  <c r="Q72" i="32" s="1"/>
  <c r="P72" i="32" s="1"/>
  <c r="F72" i="32"/>
  <c r="H72" i="32"/>
  <c r="I72" i="32"/>
  <c r="M72" i="32"/>
  <c r="N72" i="32"/>
  <c r="J72" i="32"/>
  <c r="B72" i="32"/>
  <c r="R72" i="32" s="1"/>
  <c r="S72" i="32" s="1"/>
  <c r="L72" i="32"/>
  <c r="AM71" i="32"/>
  <c r="U71" i="32"/>
  <c r="AD71" i="32" s="1"/>
  <c r="AG71" i="32" s="1"/>
  <c r="AH71" i="32" s="1"/>
  <c r="AI71" i="32" s="1"/>
  <c r="AN71" i="32" s="1"/>
  <c r="AL70" i="32"/>
  <c r="AN70" i="32"/>
  <c r="P74" i="65" l="1"/>
  <c r="D74" i="65"/>
  <c r="E74" i="65" s="1"/>
  <c r="F74" i="65" s="1"/>
  <c r="G74" i="65" s="1"/>
  <c r="H74" i="65" s="1"/>
  <c r="I74" i="65" s="1"/>
  <c r="J74" i="65" s="1"/>
  <c r="K74" i="65" s="1"/>
  <c r="AM74" i="65"/>
  <c r="N74" i="65"/>
  <c r="AE73" i="65"/>
  <c r="AH73" i="65"/>
  <c r="U73" i="65"/>
  <c r="AF73" i="65"/>
  <c r="R73" i="65"/>
  <c r="S73" i="65" s="1"/>
  <c r="Y73" i="65" s="1"/>
  <c r="AB73" i="65" s="1"/>
  <c r="AC73" i="65" s="1"/>
  <c r="AD73" i="65" s="1"/>
  <c r="AV73" i="65"/>
  <c r="Q73" i="65"/>
  <c r="AG72" i="65"/>
  <c r="L75" i="65"/>
  <c r="M75" i="65" s="1"/>
  <c r="O75" i="65"/>
  <c r="C75" i="65"/>
  <c r="B76" i="65"/>
  <c r="AO75" i="63" a="1"/>
  <c r="AO75" i="63" s="1"/>
  <c r="AF72" i="53"/>
  <c r="AB72" i="53"/>
  <c r="AA72" i="53"/>
  <c r="AH73" i="53"/>
  <c r="AE73" i="53"/>
  <c r="Q73" i="53"/>
  <c r="AD73" i="53"/>
  <c r="AC73" i="53"/>
  <c r="R73" i="53"/>
  <c r="X73" i="53" s="1"/>
  <c r="AT73" i="53"/>
  <c r="B75" i="53"/>
  <c r="AK74" i="52" a="1"/>
  <c r="AK74" i="52" s="1"/>
  <c r="I74" i="53"/>
  <c r="O74" i="53"/>
  <c r="AG74" i="53" s="1"/>
  <c r="P74" i="53"/>
  <c r="H74" i="53"/>
  <c r="F74" i="53"/>
  <c r="M74" i="53"/>
  <c r="L74" i="53"/>
  <c r="D74" i="53"/>
  <c r="C74" i="53"/>
  <c r="G74" i="53"/>
  <c r="J74" i="53"/>
  <c r="E74" i="53"/>
  <c r="N74" i="53"/>
  <c r="K74" i="53"/>
  <c r="E74" i="32"/>
  <c r="AL74" i="11" a="1"/>
  <c r="AL74" i="11" s="1"/>
  <c r="AL71" i="32"/>
  <c r="AK73" i="32"/>
  <c r="O73" i="32"/>
  <c r="M73" i="32"/>
  <c r="J73" i="32"/>
  <c r="B73" i="32"/>
  <c r="R73" i="32" s="1"/>
  <c r="S73" i="32" s="1"/>
  <c r="F73" i="32"/>
  <c r="N73" i="32"/>
  <c r="I73" i="32"/>
  <c r="T73" i="32"/>
  <c r="K73" i="32"/>
  <c r="L73" i="32"/>
  <c r="G73" i="32"/>
  <c r="A73" i="32"/>
  <c r="Q73" i="32" s="1"/>
  <c r="P73" i="32" s="1"/>
  <c r="H73" i="32"/>
  <c r="U72" i="32"/>
  <c r="AD72" i="32" s="1"/>
  <c r="AG72" i="32" s="1"/>
  <c r="AH72" i="32" s="1"/>
  <c r="AI72" i="32" s="1"/>
  <c r="AM72" i="32"/>
  <c r="C72" i="32"/>
  <c r="V72" i="32"/>
  <c r="W72" i="32"/>
  <c r="X72" i="32" s="1"/>
  <c r="Z72" i="32"/>
  <c r="AJ72" i="32"/>
  <c r="O76" i="65" l="1"/>
  <c r="L76" i="65"/>
  <c r="M76" i="65" s="1"/>
  <c r="C76" i="65"/>
  <c r="AG73" i="65"/>
  <c r="Y74" i="65"/>
  <c r="AB74" i="65" s="1"/>
  <c r="AC74" i="65" s="1"/>
  <c r="AD74" i="65" s="1"/>
  <c r="P75" i="65"/>
  <c r="N75" i="65"/>
  <c r="AM75" i="65"/>
  <c r="D75" i="65"/>
  <c r="E75" i="65" s="1"/>
  <c r="F75" i="65" s="1"/>
  <c r="G75" i="65" s="1"/>
  <c r="H75" i="65" s="1"/>
  <c r="I75" i="65" s="1"/>
  <c r="J75" i="65" s="1"/>
  <c r="K75" i="65" s="1"/>
  <c r="B77" i="65"/>
  <c r="AO76" i="63" a="1"/>
  <c r="AO76" i="63" s="1"/>
  <c r="Q74" i="65"/>
  <c r="U74" i="65"/>
  <c r="AV74" i="65"/>
  <c r="AH74" i="65"/>
  <c r="R74" i="65"/>
  <c r="S74" i="65" s="1"/>
  <c r="AE74" i="65"/>
  <c r="AF74" i="65"/>
  <c r="AA73" i="53"/>
  <c r="AB73" i="53"/>
  <c r="Q74" i="53"/>
  <c r="AE74" i="53"/>
  <c r="R74" i="53"/>
  <c r="X74" i="53" s="1"/>
  <c r="AD74" i="53"/>
  <c r="AT74" i="53"/>
  <c r="AC74" i="53"/>
  <c r="AH74" i="53"/>
  <c r="AF73" i="53"/>
  <c r="B76" i="53"/>
  <c r="AK75" i="52" a="1"/>
  <c r="AK75" i="52" s="1"/>
  <c r="O75" i="53"/>
  <c r="I75" i="53"/>
  <c r="C75" i="53"/>
  <c r="K75" i="53"/>
  <c r="P75" i="53"/>
  <c r="M75" i="53"/>
  <c r="D75" i="53"/>
  <c r="G75" i="53"/>
  <c r="E75" i="53"/>
  <c r="L75" i="53"/>
  <c r="H75" i="53"/>
  <c r="F75" i="53"/>
  <c r="N75" i="53"/>
  <c r="J75" i="53"/>
  <c r="AN72" i="32"/>
  <c r="AJ73" i="32"/>
  <c r="C73" i="32"/>
  <c r="W73" i="32"/>
  <c r="X73" i="32" s="1"/>
  <c r="Z73" i="32"/>
  <c r="V73" i="32"/>
  <c r="AK74" i="32"/>
  <c r="T74" i="32"/>
  <c r="O74" i="32"/>
  <c r="H74" i="32"/>
  <c r="B74" i="32"/>
  <c r="R74" i="32" s="1"/>
  <c r="S74" i="32" s="1"/>
  <c r="I74" i="32"/>
  <c r="G74" i="32"/>
  <c r="M74" i="32"/>
  <c r="N74" i="32"/>
  <c r="F74" i="32"/>
  <c r="L74" i="32"/>
  <c r="A74" i="32"/>
  <c r="Q74" i="32" s="1"/>
  <c r="P74" i="32" s="1"/>
  <c r="K74" i="32"/>
  <c r="J74" i="32"/>
  <c r="U73" i="32"/>
  <c r="AD73" i="32" s="1"/>
  <c r="AG73" i="32" s="1"/>
  <c r="AH73" i="32" s="1"/>
  <c r="AI73" i="32" s="1"/>
  <c r="AM73" i="32"/>
  <c r="AL72" i="32"/>
  <c r="E75" i="32"/>
  <c r="AL75" i="11" a="1"/>
  <c r="AL75" i="11" s="1"/>
  <c r="AH75" i="65" l="1"/>
  <c r="AE75" i="65"/>
  <c r="AF75" i="65"/>
  <c r="U75" i="65"/>
  <c r="R75" i="65"/>
  <c r="S75" i="65" s="1"/>
  <c r="Y75" i="65" s="1"/>
  <c r="AB75" i="65" s="1"/>
  <c r="AC75" i="65" s="1"/>
  <c r="AD75" i="65" s="1"/>
  <c r="AV75" i="65"/>
  <c r="Q75" i="65"/>
  <c r="B78" i="65"/>
  <c r="AO77" i="63" a="1"/>
  <c r="AO77" i="63" s="1"/>
  <c r="AM76" i="65"/>
  <c r="N76" i="65"/>
  <c r="D76" i="65"/>
  <c r="E76" i="65" s="1"/>
  <c r="F76" i="65" s="1"/>
  <c r="G76" i="65" s="1"/>
  <c r="H76" i="65" s="1"/>
  <c r="I76" i="65" s="1"/>
  <c r="J76" i="65" s="1"/>
  <c r="K76" i="65" s="1"/>
  <c r="P76" i="65"/>
  <c r="AG74" i="65"/>
  <c r="C77" i="65"/>
  <c r="O77" i="65"/>
  <c r="L77" i="65"/>
  <c r="M77" i="65" s="1"/>
  <c r="AF74" i="53"/>
  <c r="R75" i="53"/>
  <c r="AE75" i="53"/>
  <c r="AC75" i="53"/>
  <c r="AT75" i="53"/>
  <c r="AH75" i="53"/>
  <c r="AD75" i="53"/>
  <c r="Q75" i="53"/>
  <c r="AG75" i="53"/>
  <c r="X75" i="53"/>
  <c r="AA74" i="53"/>
  <c r="AB74" i="53"/>
  <c r="B77" i="53"/>
  <c r="AK76" i="52" a="1"/>
  <c r="AK76" i="52" s="1"/>
  <c r="M76" i="53"/>
  <c r="K76" i="53"/>
  <c r="O76" i="53"/>
  <c r="I76" i="53"/>
  <c r="J76" i="53"/>
  <c r="D76" i="53"/>
  <c r="F76" i="53"/>
  <c r="E76" i="53"/>
  <c r="G76" i="53"/>
  <c r="H76" i="53"/>
  <c r="N76" i="53"/>
  <c r="P76" i="53"/>
  <c r="C76" i="53"/>
  <c r="L76" i="53"/>
  <c r="E76" i="32"/>
  <c r="AL76" i="11" a="1"/>
  <c r="AL76" i="11" s="1"/>
  <c r="AK75" i="32"/>
  <c r="O75" i="32"/>
  <c r="J75" i="32"/>
  <c r="K75" i="32"/>
  <c r="T75" i="32"/>
  <c r="G75" i="32"/>
  <c r="L75" i="32"/>
  <c r="M75" i="32"/>
  <c r="F75" i="32"/>
  <c r="H75" i="32"/>
  <c r="I75" i="32"/>
  <c r="N75" i="32"/>
  <c r="A75" i="32"/>
  <c r="Q75" i="32" s="1"/>
  <c r="P75" i="32" s="1"/>
  <c r="B75" i="32"/>
  <c r="R75" i="32" s="1"/>
  <c r="S75" i="32" s="1"/>
  <c r="U74" i="32"/>
  <c r="AD74" i="32" s="1"/>
  <c r="AG74" i="32" s="1"/>
  <c r="AH74" i="32" s="1"/>
  <c r="AI74" i="32" s="1"/>
  <c r="AM74" i="32"/>
  <c r="C74" i="32"/>
  <c r="AJ74" i="32"/>
  <c r="Z74" i="32"/>
  <c r="W74" i="32"/>
  <c r="X74" i="32" s="1"/>
  <c r="V74" i="32"/>
  <c r="AL73" i="32"/>
  <c r="AN73" i="32"/>
  <c r="O78" i="65" l="1"/>
  <c r="C78" i="65"/>
  <c r="L78" i="65"/>
  <c r="M78" i="65" s="1"/>
  <c r="B79" i="65"/>
  <c r="AO78" i="63" a="1"/>
  <c r="AO78" i="63" s="1"/>
  <c r="N77" i="65"/>
  <c r="D77" i="65"/>
  <c r="E77" i="65" s="1"/>
  <c r="F77" i="65" s="1"/>
  <c r="G77" i="65" s="1"/>
  <c r="H77" i="65" s="1"/>
  <c r="I77" i="65" s="1"/>
  <c r="J77" i="65" s="1"/>
  <c r="K77" i="65" s="1"/>
  <c r="AM77" i="65"/>
  <c r="P77" i="65"/>
  <c r="Y76" i="65"/>
  <c r="AB76" i="65" s="1"/>
  <c r="AC76" i="65" s="1"/>
  <c r="AD76" i="65" s="1"/>
  <c r="AF76" i="65"/>
  <c r="AH76" i="65"/>
  <c r="R76" i="65"/>
  <c r="S76" i="65" s="1"/>
  <c r="U76" i="65"/>
  <c r="Q76" i="65"/>
  <c r="AE76" i="65"/>
  <c r="AV76" i="65"/>
  <c r="AG75" i="65"/>
  <c r="AF75" i="53"/>
  <c r="AA75" i="53"/>
  <c r="AB75" i="53"/>
  <c r="AG76" i="53"/>
  <c r="B78" i="53"/>
  <c r="AK77" i="52" a="1"/>
  <c r="AK77" i="52" s="1"/>
  <c r="R76" i="53"/>
  <c r="X76" i="53" s="1"/>
  <c r="AT76" i="53"/>
  <c r="AH76" i="53"/>
  <c r="Q76" i="53"/>
  <c r="AE76" i="53"/>
  <c r="AD76" i="53"/>
  <c r="AC76" i="53"/>
  <c r="N77" i="53"/>
  <c r="L77" i="53"/>
  <c r="J77" i="53"/>
  <c r="P77" i="53"/>
  <c r="O77" i="53"/>
  <c r="AG77" i="53" s="1"/>
  <c r="K77" i="53"/>
  <c r="E77" i="53"/>
  <c r="G77" i="53"/>
  <c r="M77" i="53"/>
  <c r="H77" i="53"/>
  <c r="C77" i="53"/>
  <c r="I77" i="53"/>
  <c r="D77" i="53"/>
  <c r="F77" i="53"/>
  <c r="T76" i="32"/>
  <c r="AK76" i="32"/>
  <c r="A76" i="32"/>
  <c r="Q76" i="32" s="1"/>
  <c r="P76" i="32" s="1"/>
  <c r="N76" i="32"/>
  <c r="G76" i="32"/>
  <c r="B76" i="32"/>
  <c r="R76" i="32" s="1"/>
  <c r="S76" i="32" s="1"/>
  <c r="O76" i="32"/>
  <c r="K76" i="32"/>
  <c r="M76" i="32"/>
  <c r="F76" i="32"/>
  <c r="H76" i="32"/>
  <c r="I76" i="32"/>
  <c r="L76" i="32"/>
  <c r="J76" i="32"/>
  <c r="AJ75" i="32"/>
  <c r="C75" i="32"/>
  <c r="Z75" i="32"/>
  <c r="W75" i="32"/>
  <c r="X75" i="32" s="1"/>
  <c r="V75" i="32"/>
  <c r="AM75" i="32"/>
  <c r="U75" i="32"/>
  <c r="AD75" i="32" s="1"/>
  <c r="AG75" i="32" s="1"/>
  <c r="AH75" i="32" s="1"/>
  <c r="AI75" i="32" s="1"/>
  <c r="AN74" i="32"/>
  <c r="AL74" i="32"/>
  <c r="E77" i="32"/>
  <c r="AL77" i="11" a="1"/>
  <c r="AL77" i="11" s="1"/>
  <c r="D78" i="65" l="1"/>
  <c r="E78" i="65" s="1"/>
  <c r="F78" i="65" s="1"/>
  <c r="G78" i="65" s="1"/>
  <c r="H78" i="65" s="1"/>
  <c r="I78" i="65" s="1"/>
  <c r="J78" i="65" s="1"/>
  <c r="K78" i="65" s="1"/>
  <c r="AM78" i="65"/>
  <c r="P78" i="65"/>
  <c r="N78" i="65"/>
  <c r="R77" i="65"/>
  <c r="S77" i="65" s="1"/>
  <c r="Y77" i="65" s="1"/>
  <c r="AB77" i="65" s="1"/>
  <c r="AC77" i="65" s="1"/>
  <c r="AD77" i="65" s="1"/>
  <c r="AF77" i="65"/>
  <c r="AV77" i="65"/>
  <c r="Q77" i="65"/>
  <c r="AH77" i="65"/>
  <c r="U77" i="65"/>
  <c r="AE77" i="65"/>
  <c r="L79" i="65"/>
  <c r="M79" i="65" s="1"/>
  <c r="O79" i="65"/>
  <c r="C79" i="65"/>
  <c r="B80" i="65"/>
  <c r="AO79" i="63" a="1"/>
  <c r="AO79" i="63" s="1"/>
  <c r="AG76" i="65"/>
  <c r="AB76" i="53"/>
  <c r="AA76" i="53"/>
  <c r="B79" i="53"/>
  <c r="AK78" i="52" a="1"/>
  <c r="AK78" i="52" s="1"/>
  <c r="P78" i="53"/>
  <c r="E78" i="53"/>
  <c r="O78" i="53"/>
  <c r="AG78" i="53" s="1"/>
  <c r="J78" i="53"/>
  <c r="F78" i="53"/>
  <c r="L78" i="53"/>
  <c r="K78" i="53"/>
  <c r="D78" i="53"/>
  <c r="N78" i="53"/>
  <c r="H78" i="53"/>
  <c r="I78" i="53"/>
  <c r="C78" i="53"/>
  <c r="M78" i="53"/>
  <c r="G78" i="53"/>
  <c r="AT77" i="53"/>
  <c r="R77" i="53"/>
  <c r="X77" i="53" s="1"/>
  <c r="AD77" i="53"/>
  <c r="AH77" i="53"/>
  <c r="Q77" i="53"/>
  <c r="AC77" i="53"/>
  <c r="AE77" i="53"/>
  <c r="AF76" i="53"/>
  <c r="E78" i="32"/>
  <c r="AL78" i="11" a="1"/>
  <c r="AL78" i="11" s="1"/>
  <c r="AL75" i="32"/>
  <c r="C76" i="32"/>
  <c r="AJ76" i="32"/>
  <c r="V76" i="32"/>
  <c r="Z76" i="32"/>
  <c r="W76" i="32"/>
  <c r="X76" i="32" s="1"/>
  <c r="AN75" i="32"/>
  <c r="U76" i="32"/>
  <c r="AD76" i="32" s="1"/>
  <c r="AG76" i="32" s="1"/>
  <c r="AH76" i="32" s="1"/>
  <c r="AI76" i="32" s="1"/>
  <c r="AN76" i="32" s="1"/>
  <c r="AM76" i="32"/>
  <c r="T77" i="32"/>
  <c r="AK77" i="32"/>
  <c r="O77" i="32"/>
  <c r="I77" i="32"/>
  <c r="L77" i="32"/>
  <c r="B77" i="32"/>
  <c r="R77" i="32" s="1"/>
  <c r="S77" i="32" s="1"/>
  <c r="H77" i="32"/>
  <c r="M77" i="32"/>
  <c r="F77" i="32"/>
  <c r="J77" i="32"/>
  <c r="N77" i="32"/>
  <c r="A77" i="32"/>
  <c r="Q77" i="32" s="1"/>
  <c r="P77" i="32" s="1"/>
  <c r="G77" i="32"/>
  <c r="K77" i="32"/>
  <c r="B81" i="65" l="1"/>
  <c r="AO80" i="63" a="1"/>
  <c r="AO80" i="63" s="1"/>
  <c r="C80" i="65"/>
  <c r="L80" i="65"/>
  <c r="M80" i="65" s="1"/>
  <c r="O80" i="65"/>
  <c r="AM79" i="65"/>
  <c r="N79" i="65"/>
  <c r="P79" i="65"/>
  <c r="D79" i="65"/>
  <c r="E79" i="65" s="1"/>
  <c r="F79" i="65" s="1"/>
  <c r="G79" i="65" s="1"/>
  <c r="H79" i="65" s="1"/>
  <c r="I79" i="65" s="1"/>
  <c r="J79" i="65" s="1"/>
  <c r="K79" i="65" s="1"/>
  <c r="AG77" i="65"/>
  <c r="U78" i="65"/>
  <c r="AH78" i="65"/>
  <c r="AE78" i="65"/>
  <c r="AV78" i="65"/>
  <c r="R78" i="65"/>
  <c r="S78" i="65" s="1"/>
  <c r="Y78" i="65" s="1"/>
  <c r="AB78" i="65" s="1"/>
  <c r="AC78" i="65" s="1"/>
  <c r="AD78" i="65" s="1"/>
  <c r="AF78" i="65"/>
  <c r="Q78" i="65"/>
  <c r="AB77" i="53"/>
  <c r="AA77" i="53"/>
  <c r="AF77" i="53"/>
  <c r="AC78" i="53"/>
  <c r="AD78" i="53"/>
  <c r="AH78" i="53"/>
  <c r="R78" i="53"/>
  <c r="X78" i="53" s="1"/>
  <c r="AE78" i="53"/>
  <c r="Q78" i="53"/>
  <c r="AT78" i="53"/>
  <c r="B80" i="53"/>
  <c r="AK79" i="52" a="1"/>
  <c r="AK79" i="52" s="1"/>
  <c r="O79" i="53"/>
  <c r="AG79" i="53" s="1"/>
  <c r="H79" i="53"/>
  <c r="G79" i="53"/>
  <c r="C79" i="53"/>
  <c r="N79" i="53"/>
  <c r="P79" i="53"/>
  <c r="M79" i="53"/>
  <c r="D79" i="53"/>
  <c r="J79" i="53"/>
  <c r="L79" i="53"/>
  <c r="K79" i="53"/>
  <c r="F79" i="53"/>
  <c r="E79" i="53"/>
  <c r="I79" i="53"/>
  <c r="AJ77" i="32"/>
  <c r="V77" i="32"/>
  <c r="Z77" i="32"/>
  <c r="W77" i="32"/>
  <c r="X77" i="32" s="1"/>
  <c r="C77" i="32"/>
  <c r="AK78" i="32"/>
  <c r="T78" i="32"/>
  <c r="O78" i="32"/>
  <c r="L78" i="32"/>
  <c r="G78" i="32"/>
  <c r="F78" i="32"/>
  <c r="M78" i="32"/>
  <c r="N78" i="32"/>
  <c r="J78" i="32"/>
  <c r="B78" i="32"/>
  <c r="R78" i="32" s="1"/>
  <c r="S78" i="32" s="1"/>
  <c r="K78" i="32"/>
  <c r="I78" i="32"/>
  <c r="H78" i="32"/>
  <c r="A78" i="32"/>
  <c r="Q78" i="32" s="1"/>
  <c r="P78" i="32" s="1"/>
  <c r="U77" i="32"/>
  <c r="AD77" i="32" s="1"/>
  <c r="AG77" i="32" s="1"/>
  <c r="AH77" i="32" s="1"/>
  <c r="AI77" i="32" s="1"/>
  <c r="AM77" i="32"/>
  <c r="AL76" i="32"/>
  <c r="E79" i="32"/>
  <c r="AL79" i="11" a="1"/>
  <c r="AL79" i="11" s="1"/>
  <c r="L81" i="65" l="1"/>
  <c r="M81" i="65" s="1"/>
  <c r="C81" i="65"/>
  <c r="O81" i="65"/>
  <c r="AG78" i="65"/>
  <c r="AV79" i="65"/>
  <c r="AF79" i="65"/>
  <c r="AG79" i="65" s="1"/>
  <c r="U79" i="65"/>
  <c r="AH79" i="65"/>
  <c r="Q79" i="65"/>
  <c r="AE79" i="65"/>
  <c r="R79" i="65"/>
  <c r="S79" i="65" s="1"/>
  <c r="Y79" i="65" s="1"/>
  <c r="AB79" i="65" s="1"/>
  <c r="AC79" i="65" s="1"/>
  <c r="AD79" i="65" s="1"/>
  <c r="AM80" i="65"/>
  <c r="P80" i="65"/>
  <c r="D80" i="65"/>
  <c r="E80" i="65" s="1"/>
  <c r="F80" i="65" s="1"/>
  <c r="G80" i="65" s="1"/>
  <c r="H80" i="65" s="1"/>
  <c r="I80" i="65" s="1"/>
  <c r="J80" i="65" s="1"/>
  <c r="K80" i="65" s="1"/>
  <c r="N80" i="65"/>
  <c r="B82" i="65"/>
  <c r="AO81" i="63" a="1"/>
  <c r="AO81" i="63" s="1"/>
  <c r="AF78" i="53"/>
  <c r="AB78" i="53"/>
  <c r="AA78" i="53"/>
  <c r="B81" i="53"/>
  <c r="AK80" i="52" a="1"/>
  <c r="AK80" i="52" s="1"/>
  <c r="AC79" i="53"/>
  <c r="AD79" i="53"/>
  <c r="AH79" i="53"/>
  <c r="Q79" i="53"/>
  <c r="AE79" i="53"/>
  <c r="R79" i="53"/>
  <c r="X79" i="53" s="1"/>
  <c r="AT79" i="53"/>
  <c r="M80" i="53"/>
  <c r="G80" i="53"/>
  <c r="C80" i="53"/>
  <c r="J80" i="53"/>
  <c r="E80" i="53"/>
  <c r="H80" i="53"/>
  <c r="N80" i="53"/>
  <c r="L80" i="53"/>
  <c r="P80" i="53"/>
  <c r="O80" i="53"/>
  <c r="K80" i="53"/>
  <c r="F80" i="53"/>
  <c r="I80" i="53"/>
  <c r="D80" i="53"/>
  <c r="E80" i="32"/>
  <c r="AL80" i="11" a="1"/>
  <c r="AL80" i="11" s="1"/>
  <c r="AK79" i="32"/>
  <c r="N79" i="32"/>
  <c r="G79" i="32"/>
  <c r="J79" i="32"/>
  <c r="T79" i="32"/>
  <c r="I79" i="32"/>
  <c r="O79" i="32"/>
  <c r="K79" i="32"/>
  <c r="A79" i="32"/>
  <c r="Q79" i="32" s="1"/>
  <c r="P79" i="32" s="1"/>
  <c r="B79" i="32"/>
  <c r="R79" i="32" s="1"/>
  <c r="S79" i="32" s="1"/>
  <c r="L79" i="32"/>
  <c r="M79" i="32"/>
  <c r="F79" i="32"/>
  <c r="H79" i="32"/>
  <c r="C78" i="32"/>
  <c r="V78" i="32"/>
  <c r="W78" i="32"/>
  <c r="X78" i="32" s="1"/>
  <c r="Z78" i="32"/>
  <c r="AJ78" i="32"/>
  <c r="AL77" i="32"/>
  <c r="U78" i="32"/>
  <c r="AD78" i="32" s="1"/>
  <c r="AG78" i="32" s="1"/>
  <c r="AH78" i="32" s="1"/>
  <c r="AI78" i="32" s="1"/>
  <c r="AM78" i="32"/>
  <c r="AN77" i="32"/>
  <c r="Y80" i="65" l="1"/>
  <c r="AB80" i="65" s="1"/>
  <c r="AC80" i="65" s="1"/>
  <c r="AD80" i="65" s="1"/>
  <c r="N81" i="65"/>
  <c r="D81" i="65"/>
  <c r="E81" i="65" s="1"/>
  <c r="F81" i="65" s="1"/>
  <c r="G81" i="65" s="1"/>
  <c r="H81" i="65" s="1"/>
  <c r="I81" i="65" s="1"/>
  <c r="J81" i="65" s="1"/>
  <c r="K81" i="65" s="1"/>
  <c r="AM81" i="65"/>
  <c r="P81" i="65"/>
  <c r="L82" i="65"/>
  <c r="M82" i="65" s="1"/>
  <c r="C82" i="65"/>
  <c r="O82" i="65"/>
  <c r="B83" i="65"/>
  <c r="AO82" i="63" a="1"/>
  <c r="AO82" i="63" s="1"/>
  <c r="AH80" i="65"/>
  <c r="AE80" i="65"/>
  <c r="U80" i="65"/>
  <c r="AV80" i="65"/>
  <c r="R80" i="65"/>
  <c r="S80" i="65" s="1"/>
  <c r="AF80" i="65"/>
  <c r="Q80" i="65"/>
  <c r="AE80" i="53"/>
  <c r="AT80" i="53"/>
  <c r="AH80" i="53"/>
  <c r="AD80" i="53"/>
  <c r="Q80" i="53"/>
  <c r="R80" i="53"/>
  <c r="X80" i="53" s="1"/>
  <c r="AC80" i="53"/>
  <c r="AF79" i="53"/>
  <c r="AB79" i="53"/>
  <c r="AA79" i="53"/>
  <c r="AG80" i="53"/>
  <c r="B82" i="53"/>
  <c r="AK81" i="52" a="1"/>
  <c r="AK81" i="52" s="1"/>
  <c r="K81" i="53"/>
  <c r="J81" i="53"/>
  <c r="M81" i="53"/>
  <c r="F81" i="53"/>
  <c r="G81" i="53"/>
  <c r="P81" i="53"/>
  <c r="O81" i="53"/>
  <c r="E81" i="53"/>
  <c r="L81" i="53"/>
  <c r="D81" i="53"/>
  <c r="C81" i="53"/>
  <c r="N81" i="53"/>
  <c r="H81" i="53"/>
  <c r="I81" i="53"/>
  <c r="AN78" i="32"/>
  <c r="AK80" i="32"/>
  <c r="J80" i="32"/>
  <c r="N80" i="32"/>
  <c r="L80" i="32"/>
  <c r="O80" i="32"/>
  <c r="T80" i="32"/>
  <c r="I80" i="32"/>
  <c r="G80" i="32"/>
  <c r="M80" i="32"/>
  <c r="B80" i="32"/>
  <c r="R80" i="32" s="1"/>
  <c r="S80" i="32" s="1"/>
  <c r="A80" i="32"/>
  <c r="Q80" i="32" s="1"/>
  <c r="P80" i="32" s="1"/>
  <c r="H80" i="32"/>
  <c r="F80" i="32"/>
  <c r="K80" i="32"/>
  <c r="U79" i="32"/>
  <c r="AD79" i="32" s="1"/>
  <c r="AG79" i="32" s="1"/>
  <c r="AH79" i="32" s="1"/>
  <c r="AI79" i="32" s="1"/>
  <c r="AM79" i="32"/>
  <c r="AL78" i="32"/>
  <c r="C79" i="32"/>
  <c r="V79" i="32"/>
  <c r="AJ79" i="32"/>
  <c r="Z79" i="32"/>
  <c r="W79" i="32"/>
  <c r="X79" i="32" s="1"/>
  <c r="E81" i="32"/>
  <c r="AL81" i="11" a="1"/>
  <c r="AL81" i="11" s="1"/>
  <c r="AG80" i="65" l="1"/>
  <c r="B84" i="65"/>
  <c r="AO83" i="63" a="1"/>
  <c r="AO83" i="63" s="1"/>
  <c r="U81" i="65"/>
  <c r="Q81" i="65"/>
  <c r="AV81" i="65"/>
  <c r="R81" i="65"/>
  <c r="S81" i="65" s="1"/>
  <c r="AE81" i="65"/>
  <c r="AF81" i="65"/>
  <c r="AH81" i="65"/>
  <c r="L83" i="65"/>
  <c r="M83" i="65" s="1"/>
  <c r="O83" i="65"/>
  <c r="C83" i="65"/>
  <c r="D82" i="65"/>
  <c r="E82" i="65" s="1"/>
  <c r="F82" i="65" s="1"/>
  <c r="G82" i="65" s="1"/>
  <c r="H82" i="65" s="1"/>
  <c r="I82" i="65" s="1"/>
  <c r="J82" i="65" s="1"/>
  <c r="K82" i="65" s="1"/>
  <c r="AM82" i="65"/>
  <c r="N82" i="65"/>
  <c r="P82" i="65"/>
  <c r="Y81" i="65"/>
  <c r="AB81" i="65" s="1"/>
  <c r="AC81" i="65" s="1"/>
  <c r="AD81" i="65" s="1"/>
  <c r="AD81" i="53"/>
  <c r="AE81" i="53"/>
  <c r="R81" i="53"/>
  <c r="AC81" i="53"/>
  <c r="AT81" i="53"/>
  <c r="AH81" i="53"/>
  <c r="Q81" i="53"/>
  <c r="B83" i="53"/>
  <c r="AK82" i="52" a="1"/>
  <c r="AK82" i="52" s="1"/>
  <c r="AG81" i="53"/>
  <c r="X81" i="53"/>
  <c r="H82" i="53"/>
  <c r="D82" i="53"/>
  <c r="O82" i="53"/>
  <c r="AG82" i="53" s="1"/>
  <c r="L82" i="53"/>
  <c r="J82" i="53"/>
  <c r="P82" i="53"/>
  <c r="F82" i="53"/>
  <c r="G82" i="53"/>
  <c r="N82" i="53"/>
  <c r="C82" i="53"/>
  <c r="E82" i="53"/>
  <c r="M82" i="53"/>
  <c r="K82" i="53"/>
  <c r="I82" i="53"/>
  <c r="AF80" i="53"/>
  <c r="AB80" i="53"/>
  <c r="AA80" i="53"/>
  <c r="AL79" i="32"/>
  <c r="C80" i="32"/>
  <c r="V80" i="32"/>
  <c r="AJ80" i="32"/>
  <c r="Z80" i="32"/>
  <c r="W80" i="32"/>
  <c r="X80" i="32" s="1"/>
  <c r="AK81" i="32"/>
  <c r="O81" i="32"/>
  <c r="T81" i="32"/>
  <c r="B81" i="32"/>
  <c r="R81" i="32" s="1"/>
  <c r="S81" i="32" s="1"/>
  <c r="G81" i="32"/>
  <c r="A81" i="32"/>
  <c r="Q81" i="32" s="1"/>
  <c r="P81" i="32" s="1"/>
  <c r="N81" i="32"/>
  <c r="K81" i="32"/>
  <c r="I81" i="32"/>
  <c r="M81" i="32"/>
  <c r="L81" i="32"/>
  <c r="J81" i="32"/>
  <c r="F81" i="32"/>
  <c r="H81" i="32"/>
  <c r="AN79" i="32"/>
  <c r="E82" i="32"/>
  <c r="AL82" i="11" a="1"/>
  <c r="AL82" i="11" s="1"/>
  <c r="AM80" i="32"/>
  <c r="U80" i="32"/>
  <c r="AD80" i="32" s="1"/>
  <c r="AG80" i="32" s="1"/>
  <c r="AH80" i="32" s="1"/>
  <c r="AI80" i="32" s="1"/>
  <c r="AN80" i="32" s="1"/>
  <c r="U82" i="65" l="1"/>
  <c r="Q82" i="65"/>
  <c r="AE82" i="65"/>
  <c r="AF82" i="65"/>
  <c r="R82" i="65"/>
  <c r="S82" i="65" s="1"/>
  <c r="Y82" i="65" s="1"/>
  <c r="AB82" i="65" s="1"/>
  <c r="AC82" i="65" s="1"/>
  <c r="AD82" i="65" s="1"/>
  <c r="AV82" i="65"/>
  <c r="AH82" i="65"/>
  <c r="O84" i="65"/>
  <c r="L84" i="65"/>
  <c r="M84" i="65" s="1"/>
  <c r="C84" i="65"/>
  <c r="AG81" i="65"/>
  <c r="N83" i="65"/>
  <c r="P83" i="65"/>
  <c r="D83" i="65"/>
  <c r="E83" i="65" s="1"/>
  <c r="F83" i="65" s="1"/>
  <c r="G83" i="65" s="1"/>
  <c r="H83" i="65" s="1"/>
  <c r="I83" i="65" s="1"/>
  <c r="J83" i="65" s="1"/>
  <c r="K83" i="65" s="1"/>
  <c r="AM83" i="65"/>
  <c r="B85" i="65"/>
  <c r="AO84" i="63" a="1"/>
  <c r="AO84" i="63" s="1"/>
  <c r="AF81" i="53"/>
  <c r="B84" i="53"/>
  <c r="AK83" i="52" a="1"/>
  <c r="AK83" i="52" s="1"/>
  <c r="O83" i="53"/>
  <c r="AG83" i="53" s="1"/>
  <c r="P83" i="53"/>
  <c r="J83" i="53"/>
  <c r="D83" i="53"/>
  <c r="C83" i="53"/>
  <c r="N83" i="53"/>
  <c r="E83" i="53"/>
  <c r="L83" i="53"/>
  <c r="M83" i="53"/>
  <c r="K83" i="53"/>
  <c r="G83" i="53"/>
  <c r="H83" i="53"/>
  <c r="I83" i="53"/>
  <c r="F83" i="53"/>
  <c r="R82" i="53"/>
  <c r="X82" i="53" s="1"/>
  <c r="AH82" i="53"/>
  <c r="AE82" i="53"/>
  <c r="Q82" i="53"/>
  <c r="AT82" i="53"/>
  <c r="AC82" i="53"/>
  <c r="AD82" i="53"/>
  <c r="AA81" i="53"/>
  <c r="AB81" i="53"/>
  <c r="C81" i="32"/>
  <c r="V81" i="32"/>
  <c r="AJ81" i="32"/>
  <c r="Z81" i="32"/>
  <c r="W81" i="32"/>
  <c r="X81" i="32" s="1"/>
  <c r="E83" i="32"/>
  <c r="AL83" i="11" a="1"/>
  <c r="AL83" i="11" s="1"/>
  <c r="AL80" i="32"/>
  <c r="T82" i="32"/>
  <c r="O82" i="32"/>
  <c r="F82" i="32"/>
  <c r="J82" i="32"/>
  <c r="G82" i="32"/>
  <c r="AK82" i="32"/>
  <c r="K82" i="32"/>
  <c r="L82" i="32"/>
  <c r="A82" i="32"/>
  <c r="Q82" i="32" s="1"/>
  <c r="P82" i="32" s="1"/>
  <c r="N82" i="32"/>
  <c r="B82" i="32"/>
  <c r="R82" i="32" s="1"/>
  <c r="S82" i="32" s="1"/>
  <c r="I82" i="32"/>
  <c r="H82" i="32"/>
  <c r="M82" i="32"/>
  <c r="U81" i="32"/>
  <c r="AD81" i="32" s="1"/>
  <c r="AG81" i="32" s="1"/>
  <c r="AH81" i="32" s="1"/>
  <c r="AI81" i="32" s="1"/>
  <c r="AM81" i="32"/>
  <c r="B86" i="65" l="1"/>
  <c r="AO85" i="63" a="1"/>
  <c r="AO85" i="63" s="1"/>
  <c r="P84" i="65"/>
  <c r="N84" i="65"/>
  <c r="D84" i="65"/>
  <c r="E84" i="65" s="1"/>
  <c r="F84" i="65" s="1"/>
  <c r="G84" i="65" s="1"/>
  <c r="H84" i="65" s="1"/>
  <c r="I84" i="65" s="1"/>
  <c r="J84" i="65" s="1"/>
  <c r="K84" i="65" s="1"/>
  <c r="AM84" i="65"/>
  <c r="L85" i="65"/>
  <c r="M85" i="65" s="1"/>
  <c r="O85" i="65"/>
  <c r="C85" i="65"/>
  <c r="Y83" i="65"/>
  <c r="AB83" i="65" s="1"/>
  <c r="AC83" i="65" s="1"/>
  <c r="AD83" i="65" s="1"/>
  <c r="AG82" i="65"/>
  <c r="AH83" i="65"/>
  <c r="AV83" i="65"/>
  <c r="R83" i="65"/>
  <c r="S83" i="65" s="1"/>
  <c r="U83" i="65"/>
  <c r="Q83" i="65"/>
  <c r="AE83" i="65"/>
  <c r="AF83" i="65"/>
  <c r="B85" i="53"/>
  <c r="AK84" i="52" a="1"/>
  <c r="AK84" i="52" s="1"/>
  <c r="N84" i="53"/>
  <c r="G84" i="53"/>
  <c r="E84" i="53"/>
  <c r="H84" i="53"/>
  <c r="C84" i="53"/>
  <c r="O84" i="53"/>
  <c r="I84" i="53"/>
  <c r="K84" i="53"/>
  <c r="P84" i="53"/>
  <c r="F84" i="53"/>
  <c r="L84" i="53"/>
  <c r="M84" i="53"/>
  <c r="J84" i="53"/>
  <c r="D84" i="53"/>
  <c r="AA82" i="53"/>
  <c r="AB82" i="53"/>
  <c r="AF82" i="53"/>
  <c r="AC83" i="53"/>
  <c r="AT83" i="53"/>
  <c r="AH83" i="53"/>
  <c r="Q83" i="53"/>
  <c r="AD83" i="53"/>
  <c r="R83" i="53"/>
  <c r="X83" i="53" s="1"/>
  <c r="AE83" i="53"/>
  <c r="AN81" i="32"/>
  <c r="AL81" i="32"/>
  <c r="E84" i="32"/>
  <c r="AL84" i="11" a="1"/>
  <c r="AL84" i="11" s="1"/>
  <c r="T83" i="32"/>
  <c r="O83" i="32"/>
  <c r="L83" i="32"/>
  <c r="AK83" i="32"/>
  <c r="B83" i="32"/>
  <c r="R83" i="32" s="1"/>
  <c r="S83" i="32" s="1"/>
  <c r="H83" i="32"/>
  <c r="A83" i="32"/>
  <c r="Q83" i="32" s="1"/>
  <c r="P83" i="32" s="1"/>
  <c r="K83" i="32"/>
  <c r="M83" i="32"/>
  <c r="G83" i="32"/>
  <c r="I83" i="32"/>
  <c r="F83" i="32"/>
  <c r="J83" i="32"/>
  <c r="N83" i="32"/>
  <c r="C82" i="32"/>
  <c r="AJ82" i="32"/>
  <c r="V82" i="32"/>
  <c r="W82" i="32"/>
  <c r="X82" i="32" s="1"/>
  <c r="Z82" i="32"/>
  <c r="U82" i="32"/>
  <c r="AD82" i="32" s="1"/>
  <c r="AG82" i="32" s="1"/>
  <c r="AH82" i="32" s="1"/>
  <c r="AI82" i="32" s="1"/>
  <c r="AM82" i="32"/>
  <c r="N85" i="65" l="1"/>
  <c r="D85" i="65"/>
  <c r="E85" i="65" s="1"/>
  <c r="F85" i="65" s="1"/>
  <c r="G85" i="65" s="1"/>
  <c r="H85" i="65" s="1"/>
  <c r="I85" i="65" s="1"/>
  <c r="J85" i="65" s="1"/>
  <c r="K85" i="65" s="1"/>
  <c r="P85" i="65"/>
  <c r="AM85" i="65"/>
  <c r="C86" i="65"/>
  <c r="O86" i="65"/>
  <c r="L86" i="65"/>
  <c r="M86" i="65" s="1"/>
  <c r="AG83" i="65"/>
  <c r="Q84" i="65"/>
  <c r="AH84" i="65"/>
  <c r="AE84" i="65"/>
  <c r="AV84" i="65"/>
  <c r="AF84" i="65"/>
  <c r="R84" i="65"/>
  <c r="S84" i="65" s="1"/>
  <c r="Y84" i="65" s="1"/>
  <c r="AB84" i="65" s="1"/>
  <c r="AC84" i="65" s="1"/>
  <c r="AD84" i="65" s="1"/>
  <c r="U84" i="65"/>
  <c r="B87" i="65"/>
  <c r="AO86" i="63" a="1"/>
  <c r="AO86" i="63" s="1"/>
  <c r="AF83" i="53"/>
  <c r="AG84" i="53"/>
  <c r="AD84" i="53"/>
  <c r="AC84" i="53"/>
  <c r="AH84" i="53"/>
  <c r="AT84" i="53"/>
  <c r="R84" i="53"/>
  <c r="X84" i="53" s="1"/>
  <c r="Q84" i="53"/>
  <c r="AE84" i="53"/>
  <c r="B86" i="53"/>
  <c r="AK85" i="52" a="1"/>
  <c r="AK85" i="52" s="1"/>
  <c r="AA83" i="53"/>
  <c r="AB83" i="53"/>
  <c r="D85" i="53"/>
  <c r="F85" i="53"/>
  <c r="M85" i="53"/>
  <c r="C85" i="53"/>
  <c r="K85" i="53"/>
  <c r="N85" i="53"/>
  <c r="E85" i="53"/>
  <c r="H85" i="53"/>
  <c r="G85" i="53"/>
  <c r="L85" i="53"/>
  <c r="O85" i="53"/>
  <c r="AG85" i="53" s="1"/>
  <c r="I85" i="53"/>
  <c r="J85" i="53"/>
  <c r="P85" i="53"/>
  <c r="AN82" i="32"/>
  <c r="AL82" i="32"/>
  <c r="E85" i="32"/>
  <c r="AL85" i="11" a="1"/>
  <c r="AL85" i="11" s="1"/>
  <c r="T84" i="32"/>
  <c r="AK84" i="32"/>
  <c r="O84" i="32"/>
  <c r="N84" i="32"/>
  <c r="B84" i="32"/>
  <c r="R84" i="32" s="1"/>
  <c r="S84" i="32" s="1"/>
  <c r="M84" i="32"/>
  <c r="H84" i="32"/>
  <c r="G84" i="32"/>
  <c r="A84" i="32"/>
  <c r="Q84" i="32" s="1"/>
  <c r="P84" i="32" s="1"/>
  <c r="J84" i="32"/>
  <c r="L84" i="32"/>
  <c r="F84" i="32"/>
  <c r="I84" i="32"/>
  <c r="K84" i="32"/>
  <c r="AJ83" i="32"/>
  <c r="W83" i="32"/>
  <c r="X83" i="32" s="1"/>
  <c r="V83" i="32"/>
  <c r="Z83" i="32"/>
  <c r="C83" i="32"/>
  <c r="U83" i="32"/>
  <c r="AD83" i="32" s="1"/>
  <c r="AG83" i="32" s="1"/>
  <c r="AH83" i="32" s="1"/>
  <c r="AI83" i="32" s="1"/>
  <c r="AM83" i="32"/>
  <c r="L87" i="65" l="1"/>
  <c r="M87" i="65" s="1"/>
  <c r="O87" i="65"/>
  <c r="C87" i="65"/>
  <c r="B88" i="65"/>
  <c r="AO87" i="63" a="1"/>
  <c r="AO87" i="63" s="1"/>
  <c r="AF85" i="65"/>
  <c r="U85" i="65"/>
  <c r="Q85" i="65"/>
  <c r="AH85" i="65"/>
  <c r="AV85" i="65"/>
  <c r="AE85" i="65"/>
  <c r="R85" i="65"/>
  <c r="S85" i="65" s="1"/>
  <c r="N86" i="65"/>
  <c r="D86" i="65"/>
  <c r="E86" i="65" s="1"/>
  <c r="F86" i="65" s="1"/>
  <c r="G86" i="65" s="1"/>
  <c r="H86" i="65" s="1"/>
  <c r="I86" i="65" s="1"/>
  <c r="J86" i="65" s="1"/>
  <c r="K86" i="65" s="1"/>
  <c r="P86" i="65"/>
  <c r="AM86" i="65"/>
  <c r="AG84" i="65"/>
  <c r="Y85" i="65"/>
  <c r="AB85" i="65" s="1"/>
  <c r="AC85" i="65" s="1"/>
  <c r="AD85" i="65" s="1"/>
  <c r="R85" i="53"/>
  <c r="X85" i="53" s="1"/>
  <c r="AH85" i="53"/>
  <c r="AE85" i="53"/>
  <c r="Q85" i="53"/>
  <c r="AC85" i="53"/>
  <c r="AT85" i="53"/>
  <c r="AD85" i="53"/>
  <c r="B87" i="53"/>
  <c r="AK86" i="52" a="1"/>
  <c r="AK86" i="52" s="1"/>
  <c r="H86" i="53"/>
  <c r="L86" i="53"/>
  <c r="M86" i="53"/>
  <c r="K86" i="53"/>
  <c r="J86" i="53"/>
  <c r="G86" i="53"/>
  <c r="N86" i="53"/>
  <c r="C86" i="53"/>
  <c r="F86" i="53"/>
  <c r="I86" i="53"/>
  <c r="P86" i="53"/>
  <c r="O86" i="53"/>
  <c r="AG86" i="53" s="1"/>
  <c r="D86" i="53"/>
  <c r="E86" i="53"/>
  <c r="AA84" i="53"/>
  <c r="AB84" i="53"/>
  <c r="AF84" i="53"/>
  <c r="AN83" i="32"/>
  <c r="U84" i="32"/>
  <c r="AD84" i="32" s="1"/>
  <c r="AG84" i="32" s="1"/>
  <c r="AH84" i="32" s="1"/>
  <c r="AI84" i="32" s="1"/>
  <c r="AM84" i="32"/>
  <c r="E86" i="32"/>
  <c r="AL86" i="11" a="1"/>
  <c r="AL86" i="11" s="1"/>
  <c r="T85" i="32"/>
  <c r="G85" i="32"/>
  <c r="N85" i="32"/>
  <c r="L85" i="32"/>
  <c r="O85" i="32"/>
  <c r="I85" i="32"/>
  <c r="AK85" i="32"/>
  <c r="A85" i="32"/>
  <c r="Q85" i="32" s="1"/>
  <c r="P85" i="32" s="1"/>
  <c r="F85" i="32"/>
  <c r="M85" i="32"/>
  <c r="J85" i="32"/>
  <c r="K85" i="32"/>
  <c r="H85" i="32"/>
  <c r="B85" i="32"/>
  <c r="R85" i="32" s="1"/>
  <c r="S85" i="32" s="1"/>
  <c r="AL83" i="32"/>
  <c r="W84" i="32"/>
  <c r="X84" i="32" s="1"/>
  <c r="Z84" i="32"/>
  <c r="V84" i="32"/>
  <c r="C84" i="32"/>
  <c r="AJ84" i="32"/>
  <c r="B89" i="65" l="1"/>
  <c r="AO88" i="63" a="1"/>
  <c r="AO88" i="63" s="1"/>
  <c r="C88" i="65"/>
  <c r="L88" i="65"/>
  <c r="M88" i="65" s="1"/>
  <c r="O88" i="65"/>
  <c r="AG85" i="65"/>
  <c r="R86" i="65"/>
  <c r="S86" i="65" s="1"/>
  <c r="Y86" i="65" s="1"/>
  <c r="AB86" i="65" s="1"/>
  <c r="AC86" i="65" s="1"/>
  <c r="AD86" i="65" s="1"/>
  <c r="AF86" i="65"/>
  <c r="U86" i="65"/>
  <c r="AH86" i="65"/>
  <c r="Q86" i="65"/>
  <c r="AE86" i="65"/>
  <c r="AV86" i="65"/>
  <c r="D87" i="65"/>
  <c r="E87" i="65" s="1"/>
  <c r="F87" i="65" s="1"/>
  <c r="G87" i="65" s="1"/>
  <c r="H87" i="65" s="1"/>
  <c r="I87" i="65" s="1"/>
  <c r="J87" i="65" s="1"/>
  <c r="K87" i="65" s="1"/>
  <c r="N87" i="65"/>
  <c r="P87" i="65"/>
  <c r="AM87" i="65"/>
  <c r="B88" i="53"/>
  <c r="AK87" i="52" a="1"/>
  <c r="AK87" i="52" s="1"/>
  <c r="L87" i="53"/>
  <c r="N87" i="53"/>
  <c r="G87" i="53"/>
  <c r="D87" i="53"/>
  <c r="K87" i="53"/>
  <c r="F87" i="53"/>
  <c r="C87" i="53"/>
  <c r="M87" i="53"/>
  <c r="I87" i="53"/>
  <c r="O87" i="53"/>
  <c r="AG87" i="53" s="1"/>
  <c r="P87" i="53"/>
  <c r="E87" i="53"/>
  <c r="J87" i="53"/>
  <c r="H87" i="53"/>
  <c r="Q86" i="53"/>
  <c r="AE86" i="53"/>
  <c r="AC86" i="53"/>
  <c r="R86" i="53"/>
  <c r="X86" i="53" s="1"/>
  <c r="AT86" i="53"/>
  <c r="AD86" i="53"/>
  <c r="AH86" i="53"/>
  <c r="AF85" i="53"/>
  <c r="AA85" i="53"/>
  <c r="AB85" i="53"/>
  <c r="AN84" i="32"/>
  <c r="AM85" i="32"/>
  <c r="U85" i="32"/>
  <c r="AD85" i="32" s="1"/>
  <c r="AG85" i="32" s="1"/>
  <c r="AH85" i="32" s="1"/>
  <c r="AI85" i="32" s="1"/>
  <c r="E87" i="32"/>
  <c r="AL87" i="11" a="1"/>
  <c r="AL87" i="11" s="1"/>
  <c r="O86" i="32"/>
  <c r="T86" i="32"/>
  <c r="AK86" i="32"/>
  <c r="H86" i="32"/>
  <c r="J86" i="32"/>
  <c r="G86" i="32"/>
  <c r="B86" i="32"/>
  <c r="R86" i="32" s="1"/>
  <c r="S86" i="32" s="1"/>
  <c r="K86" i="32"/>
  <c r="F86" i="32"/>
  <c r="A86" i="32"/>
  <c r="Q86" i="32" s="1"/>
  <c r="P86" i="32" s="1"/>
  <c r="L86" i="32"/>
  <c r="M86" i="32"/>
  <c r="N86" i="32"/>
  <c r="I86" i="32"/>
  <c r="W85" i="32"/>
  <c r="X85" i="32" s="1"/>
  <c r="C85" i="32"/>
  <c r="V85" i="32"/>
  <c r="AJ85" i="32"/>
  <c r="Z85" i="32"/>
  <c r="AL84" i="32"/>
  <c r="O89" i="65" l="1"/>
  <c r="L89" i="65"/>
  <c r="M89" i="65" s="1"/>
  <c r="C89" i="65"/>
  <c r="AG86" i="65"/>
  <c r="P88" i="65"/>
  <c r="D88" i="65"/>
  <c r="E88" i="65" s="1"/>
  <c r="F88" i="65" s="1"/>
  <c r="G88" i="65" s="1"/>
  <c r="H88" i="65" s="1"/>
  <c r="I88" i="65" s="1"/>
  <c r="J88" i="65" s="1"/>
  <c r="K88" i="65" s="1"/>
  <c r="N88" i="65"/>
  <c r="AM88" i="65"/>
  <c r="AV87" i="65"/>
  <c r="Q87" i="65"/>
  <c r="R87" i="65"/>
  <c r="S87" i="65" s="1"/>
  <c r="Y87" i="65" s="1"/>
  <c r="AB87" i="65" s="1"/>
  <c r="AC87" i="65" s="1"/>
  <c r="AD87" i="65" s="1"/>
  <c r="U87" i="65"/>
  <c r="AF87" i="65"/>
  <c r="AH87" i="65"/>
  <c r="AE87" i="65"/>
  <c r="B90" i="65"/>
  <c r="AO89" i="63" a="1"/>
  <c r="AO89" i="63" s="1"/>
  <c r="AF86" i="53"/>
  <c r="AT87" i="53"/>
  <c r="AH87" i="53"/>
  <c r="AE87" i="53"/>
  <c r="Q87" i="53"/>
  <c r="AD87" i="53"/>
  <c r="R87" i="53"/>
  <c r="X87" i="53" s="1"/>
  <c r="AC87" i="53"/>
  <c r="C88" i="53"/>
  <c r="I88" i="53"/>
  <c r="N88" i="53"/>
  <c r="H88" i="53"/>
  <c r="J88" i="53"/>
  <c r="K88" i="53"/>
  <c r="D88" i="53"/>
  <c r="L88" i="53"/>
  <c r="G88" i="53"/>
  <c r="P88" i="53"/>
  <c r="M88" i="53"/>
  <c r="E88" i="53"/>
  <c r="O88" i="53"/>
  <c r="F88" i="53"/>
  <c r="B89" i="53"/>
  <c r="AK88" i="52" a="1"/>
  <c r="AK88" i="52" s="1"/>
  <c r="AB86" i="53"/>
  <c r="AA86" i="53"/>
  <c r="AN85" i="32"/>
  <c r="U86" i="32"/>
  <c r="AD86" i="32" s="1"/>
  <c r="AG86" i="32" s="1"/>
  <c r="AH86" i="32" s="1"/>
  <c r="AI86" i="32" s="1"/>
  <c r="AM86" i="32"/>
  <c r="AL85" i="32"/>
  <c r="E88" i="32"/>
  <c r="AL88" i="11" a="1"/>
  <c r="AL88" i="11" s="1"/>
  <c r="C86" i="32"/>
  <c r="Z86" i="32"/>
  <c r="AJ86" i="32"/>
  <c r="W86" i="32"/>
  <c r="X86" i="32" s="1"/>
  <c r="V86" i="32"/>
  <c r="T87" i="32"/>
  <c r="O87" i="32"/>
  <c r="I87" i="32"/>
  <c r="A87" i="32"/>
  <c r="Q87" i="32" s="1"/>
  <c r="P87" i="32" s="1"/>
  <c r="L87" i="32"/>
  <c r="AK87" i="32"/>
  <c r="H87" i="32"/>
  <c r="J87" i="32"/>
  <c r="N87" i="32"/>
  <c r="F87" i="32"/>
  <c r="G87" i="32"/>
  <c r="B87" i="32"/>
  <c r="R87" i="32" s="1"/>
  <c r="S87" i="32" s="1"/>
  <c r="M87" i="32"/>
  <c r="K87" i="32"/>
  <c r="B91" i="65" l="1"/>
  <c r="AO90" i="63" a="1"/>
  <c r="AO90" i="63" s="1"/>
  <c r="U88" i="65"/>
  <c r="AV88" i="65"/>
  <c r="AH88" i="65"/>
  <c r="R88" i="65"/>
  <c r="S88" i="65" s="1"/>
  <c r="Y88" i="65" s="1"/>
  <c r="AB88" i="65" s="1"/>
  <c r="AC88" i="65" s="1"/>
  <c r="AD88" i="65" s="1"/>
  <c r="Q88" i="65"/>
  <c r="AF88" i="65"/>
  <c r="AE88" i="65"/>
  <c r="C90" i="65"/>
  <c r="L90" i="65"/>
  <c r="M90" i="65" s="1"/>
  <c r="O90" i="65"/>
  <c r="AG87" i="65"/>
  <c r="N89" i="65"/>
  <c r="D89" i="65"/>
  <c r="E89" i="65" s="1"/>
  <c r="F89" i="65" s="1"/>
  <c r="G89" i="65" s="1"/>
  <c r="H89" i="65" s="1"/>
  <c r="I89" i="65" s="1"/>
  <c r="J89" i="65" s="1"/>
  <c r="K89" i="65" s="1"/>
  <c r="P89" i="65"/>
  <c r="AM89" i="65"/>
  <c r="B90" i="53"/>
  <c r="AK89" i="52" a="1"/>
  <c r="AK89" i="52" s="1"/>
  <c r="N89" i="53"/>
  <c r="H89" i="53"/>
  <c r="L89" i="53"/>
  <c r="J89" i="53"/>
  <c r="P89" i="53"/>
  <c r="G89" i="53"/>
  <c r="M89" i="53"/>
  <c r="D89" i="53"/>
  <c r="O89" i="53"/>
  <c r="AG89" i="53" s="1"/>
  <c r="I89" i="53"/>
  <c r="E89" i="53"/>
  <c r="F89" i="53"/>
  <c r="K89" i="53"/>
  <c r="C89" i="53"/>
  <c r="AA87" i="53"/>
  <c r="AB87" i="53"/>
  <c r="AG88" i="53"/>
  <c r="AF87" i="53"/>
  <c r="Q88" i="53"/>
  <c r="AE88" i="53"/>
  <c r="AC88" i="53"/>
  <c r="R88" i="53"/>
  <c r="X88" i="53" s="1"/>
  <c r="AH88" i="53"/>
  <c r="AD88" i="53"/>
  <c r="AT88" i="53"/>
  <c r="E89" i="32"/>
  <c r="AL89" i="11" a="1"/>
  <c r="AL89" i="11" s="1"/>
  <c r="AJ87" i="32"/>
  <c r="C87" i="32"/>
  <c r="Z87" i="32"/>
  <c r="V87" i="32"/>
  <c r="W87" i="32"/>
  <c r="X87" i="32" s="1"/>
  <c r="U87" i="32"/>
  <c r="AD87" i="32" s="1"/>
  <c r="AG87" i="32" s="1"/>
  <c r="AH87" i="32" s="1"/>
  <c r="AI87" i="32" s="1"/>
  <c r="AN87" i="32" s="1"/>
  <c r="AM87" i="32"/>
  <c r="O88" i="32"/>
  <c r="T88" i="32"/>
  <c r="AK88" i="32"/>
  <c r="G88" i="32"/>
  <c r="H88" i="32"/>
  <c r="M88" i="32"/>
  <c r="L88" i="32"/>
  <c r="N88" i="32"/>
  <c r="K88" i="32"/>
  <c r="F88" i="32"/>
  <c r="I88" i="32"/>
  <c r="A88" i="32"/>
  <c r="Q88" i="32" s="1"/>
  <c r="P88" i="32" s="1"/>
  <c r="B88" i="32"/>
  <c r="R88" i="32" s="1"/>
  <c r="S88" i="32" s="1"/>
  <c r="J88" i="32"/>
  <c r="AN86" i="32"/>
  <c r="AL86" i="32"/>
  <c r="L91" i="65" l="1"/>
  <c r="M91" i="65" s="1"/>
  <c r="C91" i="65"/>
  <c r="O91" i="65"/>
  <c r="AG88" i="65"/>
  <c r="N90" i="65"/>
  <c r="D90" i="65"/>
  <c r="E90" i="65" s="1"/>
  <c r="F90" i="65" s="1"/>
  <c r="G90" i="65" s="1"/>
  <c r="H90" i="65" s="1"/>
  <c r="I90" i="65" s="1"/>
  <c r="J90" i="65" s="1"/>
  <c r="K90" i="65" s="1"/>
  <c r="AM90" i="65"/>
  <c r="P90" i="65"/>
  <c r="AV89" i="65"/>
  <c r="AF89" i="65"/>
  <c r="AE89" i="65"/>
  <c r="R89" i="65"/>
  <c r="S89" i="65" s="1"/>
  <c r="Y89" i="65" s="1"/>
  <c r="AB89" i="65" s="1"/>
  <c r="AC89" i="65" s="1"/>
  <c r="AD89" i="65" s="1"/>
  <c r="U89" i="65"/>
  <c r="Q89" i="65"/>
  <c r="AH89" i="65"/>
  <c r="B92" i="65"/>
  <c r="AO91" i="63" a="1"/>
  <c r="AO91" i="63" s="1"/>
  <c r="AB88" i="53"/>
  <c r="AA88" i="53"/>
  <c r="B91" i="53"/>
  <c r="AK90" i="52" a="1"/>
  <c r="AK90" i="52" s="1"/>
  <c r="AH89" i="53"/>
  <c r="AE89" i="53"/>
  <c r="AD89" i="53"/>
  <c r="Q89" i="53"/>
  <c r="R89" i="53"/>
  <c r="X89" i="53" s="1"/>
  <c r="AT89" i="53"/>
  <c r="AC89" i="53"/>
  <c r="AF88" i="53"/>
  <c r="P90" i="53"/>
  <c r="C90" i="53"/>
  <c r="F90" i="53"/>
  <c r="I90" i="53"/>
  <c r="J90" i="53"/>
  <c r="N90" i="53"/>
  <c r="L90" i="53"/>
  <c r="K90" i="53"/>
  <c r="D90" i="53"/>
  <c r="G90" i="53"/>
  <c r="M90" i="53"/>
  <c r="H90" i="53"/>
  <c r="O90" i="53"/>
  <c r="AG90" i="53" s="1"/>
  <c r="E90" i="53"/>
  <c r="T89" i="32"/>
  <c r="AK89" i="32"/>
  <c r="N89" i="32"/>
  <c r="A89" i="32"/>
  <c r="Q89" i="32" s="1"/>
  <c r="P89" i="32" s="1"/>
  <c r="J89" i="32"/>
  <c r="O89" i="32"/>
  <c r="F89" i="32"/>
  <c r="B89" i="32"/>
  <c r="R89" i="32" s="1"/>
  <c r="S89" i="32" s="1"/>
  <c r="I89" i="32"/>
  <c r="H89" i="32"/>
  <c r="G89" i="32"/>
  <c r="K89" i="32"/>
  <c r="L89" i="32"/>
  <c r="M89" i="32"/>
  <c r="V88" i="32"/>
  <c r="W88" i="32"/>
  <c r="X88" i="32" s="1"/>
  <c r="C88" i="32"/>
  <c r="AJ88" i="32"/>
  <c r="Z88" i="32"/>
  <c r="AL87" i="32"/>
  <c r="U88" i="32"/>
  <c r="AD88" i="32" s="1"/>
  <c r="AG88" i="32" s="1"/>
  <c r="AH88" i="32" s="1"/>
  <c r="AI88" i="32" s="1"/>
  <c r="AN88" i="32" s="1"/>
  <c r="AM88" i="32"/>
  <c r="E90" i="32"/>
  <c r="AL90" i="11" a="1"/>
  <c r="AL90" i="11" s="1"/>
  <c r="B93" i="65" l="1"/>
  <c r="AO92" i="63" a="1"/>
  <c r="AO92" i="63" s="1"/>
  <c r="N91" i="65"/>
  <c r="D91" i="65"/>
  <c r="E91" i="65" s="1"/>
  <c r="F91" i="65" s="1"/>
  <c r="G91" i="65" s="1"/>
  <c r="H91" i="65" s="1"/>
  <c r="I91" i="65" s="1"/>
  <c r="J91" i="65" s="1"/>
  <c r="K91" i="65" s="1"/>
  <c r="AM91" i="65"/>
  <c r="P91" i="65"/>
  <c r="O92" i="65"/>
  <c r="L92" i="65"/>
  <c r="M92" i="65" s="1"/>
  <c r="C92" i="65"/>
  <c r="AH90" i="65"/>
  <c r="Q90" i="65"/>
  <c r="U90" i="65"/>
  <c r="AF90" i="65"/>
  <c r="AE90" i="65"/>
  <c r="AV90" i="65"/>
  <c r="R90" i="65"/>
  <c r="S90" i="65" s="1"/>
  <c r="Y90" i="65" s="1"/>
  <c r="AB90" i="65" s="1"/>
  <c r="AC90" i="65" s="1"/>
  <c r="AD90" i="65" s="1"/>
  <c r="AG89" i="65"/>
  <c r="AH90" i="53"/>
  <c r="AC90" i="53"/>
  <c r="Q90" i="53"/>
  <c r="AT90" i="53"/>
  <c r="R90" i="53"/>
  <c r="X90" i="53" s="1"/>
  <c r="AE90" i="53"/>
  <c r="AD90" i="53"/>
  <c r="AB89" i="53"/>
  <c r="AA89" i="53"/>
  <c r="AF89" i="53"/>
  <c r="B92" i="53"/>
  <c r="AK91" i="52" a="1"/>
  <c r="AK91" i="52" s="1"/>
  <c r="C91" i="53"/>
  <c r="K91" i="53"/>
  <c r="J91" i="53"/>
  <c r="L91" i="53"/>
  <c r="O91" i="53"/>
  <c r="AG91" i="53" s="1"/>
  <c r="H91" i="53"/>
  <c r="E91" i="53"/>
  <c r="I91" i="53"/>
  <c r="D91" i="53"/>
  <c r="N91" i="53"/>
  <c r="G91" i="53"/>
  <c r="M91" i="53"/>
  <c r="F91" i="53"/>
  <c r="P91" i="53"/>
  <c r="W89" i="32"/>
  <c r="X89" i="32" s="1"/>
  <c r="AJ89" i="32"/>
  <c r="C89" i="32"/>
  <c r="V89" i="32"/>
  <c r="Z89" i="32"/>
  <c r="U89" i="32"/>
  <c r="AD89" i="32" s="1"/>
  <c r="AG89" i="32" s="1"/>
  <c r="AH89" i="32" s="1"/>
  <c r="AI89" i="32" s="1"/>
  <c r="AM89" i="32"/>
  <c r="AL88" i="32"/>
  <c r="E91" i="32"/>
  <c r="AL91" i="11" a="1"/>
  <c r="AL91" i="11" s="1"/>
  <c r="AK90" i="32"/>
  <c r="M90" i="32"/>
  <c r="O90" i="32"/>
  <c r="L90" i="32"/>
  <c r="G90" i="32"/>
  <c r="J90" i="32"/>
  <c r="I90" i="32"/>
  <c r="N90" i="32"/>
  <c r="T90" i="32"/>
  <c r="F90" i="32"/>
  <c r="A90" i="32"/>
  <c r="Q90" i="32" s="1"/>
  <c r="P90" i="32" s="1"/>
  <c r="K90" i="32"/>
  <c r="B90" i="32"/>
  <c r="R90" i="32" s="1"/>
  <c r="S90" i="32" s="1"/>
  <c r="H90" i="32"/>
  <c r="U91" i="65" l="1"/>
  <c r="AV91" i="65"/>
  <c r="Q91" i="65"/>
  <c r="R91" i="65"/>
  <c r="S91" i="65" s="1"/>
  <c r="Y91" i="65" s="1"/>
  <c r="AB91" i="65" s="1"/>
  <c r="AC91" i="65" s="1"/>
  <c r="AD91" i="65" s="1"/>
  <c r="AE91" i="65"/>
  <c r="AH91" i="65"/>
  <c r="AF91" i="65"/>
  <c r="N92" i="65"/>
  <c r="D92" i="65"/>
  <c r="E92" i="65" s="1"/>
  <c r="F92" i="65" s="1"/>
  <c r="G92" i="65" s="1"/>
  <c r="H92" i="65" s="1"/>
  <c r="I92" i="65" s="1"/>
  <c r="J92" i="65" s="1"/>
  <c r="K92" i="65" s="1"/>
  <c r="AM92" i="65"/>
  <c r="P92" i="65"/>
  <c r="C93" i="65"/>
  <c r="L93" i="65"/>
  <c r="M93" i="65" s="1"/>
  <c r="O93" i="65"/>
  <c r="AG90" i="65"/>
  <c r="B94" i="65"/>
  <c r="AO93" i="63" a="1"/>
  <c r="AO93" i="63" s="1"/>
  <c r="AH91" i="53"/>
  <c r="AT91" i="53"/>
  <c r="Q91" i="53"/>
  <c r="R91" i="53"/>
  <c r="X91" i="53" s="1"/>
  <c r="AE91" i="53"/>
  <c r="AC91" i="53"/>
  <c r="AD91" i="53"/>
  <c r="AF90" i="53"/>
  <c r="B93" i="53"/>
  <c r="AK92" i="52" a="1"/>
  <c r="AK92" i="52" s="1"/>
  <c r="AB90" i="53"/>
  <c r="AA90" i="53"/>
  <c r="J92" i="53"/>
  <c r="O92" i="53"/>
  <c r="AG92" i="53" s="1"/>
  <c r="L92" i="53"/>
  <c r="P92" i="53"/>
  <c r="N92" i="53"/>
  <c r="K92" i="53"/>
  <c r="I92" i="53"/>
  <c r="F92" i="53"/>
  <c r="G92" i="53"/>
  <c r="D92" i="53"/>
  <c r="M92" i="53"/>
  <c r="E92" i="53"/>
  <c r="H92" i="53"/>
  <c r="C92" i="53"/>
  <c r="C90" i="32"/>
  <c r="AJ90" i="32"/>
  <c r="V90" i="32"/>
  <c r="W90" i="32"/>
  <c r="X90" i="32" s="1"/>
  <c r="Z90" i="32"/>
  <c r="U90" i="32"/>
  <c r="AD90" i="32" s="1"/>
  <c r="AG90" i="32" s="1"/>
  <c r="AH90" i="32" s="1"/>
  <c r="AI90" i="32" s="1"/>
  <c r="AM90" i="32"/>
  <c r="AN89" i="32"/>
  <c r="T91" i="32"/>
  <c r="O91" i="32"/>
  <c r="F91" i="32"/>
  <c r="M91" i="32"/>
  <c r="I91" i="32"/>
  <c r="B91" i="32"/>
  <c r="R91" i="32" s="1"/>
  <c r="S91" i="32" s="1"/>
  <c r="J91" i="32"/>
  <c r="AK91" i="32"/>
  <c r="A91" i="32"/>
  <c r="Q91" i="32" s="1"/>
  <c r="P91" i="32" s="1"/>
  <c r="H91" i="32"/>
  <c r="L91" i="32"/>
  <c r="N91" i="32"/>
  <c r="K91" i="32"/>
  <c r="G91" i="32"/>
  <c r="E92" i="32"/>
  <c r="AL92" i="11" a="1"/>
  <c r="AL92" i="11" s="1"/>
  <c r="AL89" i="32"/>
  <c r="Q92" i="65" l="1"/>
  <c r="AH92" i="65"/>
  <c r="AF92" i="65"/>
  <c r="AV92" i="65"/>
  <c r="AE92" i="65"/>
  <c r="U92" i="65"/>
  <c r="R92" i="65"/>
  <c r="S92" i="65" s="1"/>
  <c r="B95" i="65"/>
  <c r="AO94" i="63" a="1"/>
  <c r="AO94" i="63" s="1"/>
  <c r="O94" i="65"/>
  <c r="C94" i="65"/>
  <c r="L94" i="65"/>
  <c r="M94" i="65" s="1"/>
  <c r="AG91" i="65"/>
  <c r="N93" i="65"/>
  <c r="P93" i="65"/>
  <c r="D93" i="65"/>
  <c r="E93" i="65" s="1"/>
  <c r="F93" i="65" s="1"/>
  <c r="G93" i="65" s="1"/>
  <c r="H93" i="65" s="1"/>
  <c r="I93" i="65" s="1"/>
  <c r="J93" i="65" s="1"/>
  <c r="K93" i="65" s="1"/>
  <c r="AM93" i="65"/>
  <c r="Y92" i="65"/>
  <c r="AB92" i="65" s="1"/>
  <c r="AC92" i="65" s="1"/>
  <c r="AD92" i="65" s="1"/>
  <c r="AF91" i="53"/>
  <c r="Q92" i="53"/>
  <c r="AD92" i="53"/>
  <c r="R92" i="53"/>
  <c r="X92" i="53" s="1"/>
  <c r="AH92" i="53"/>
  <c r="AT92" i="53"/>
  <c r="AE92" i="53"/>
  <c r="AC92" i="53"/>
  <c r="M93" i="53"/>
  <c r="G93" i="53"/>
  <c r="E93" i="53"/>
  <c r="F93" i="53"/>
  <c r="L93" i="53"/>
  <c r="O93" i="53"/>
  <c r="AG93" i="53" s="1"/>
  <c r="P93" i="53"/>
  <c r="D93" i="53"/>
  <c r="I93" i="53"/>
  <c r="J93" i="53"/>
  <c r="K93" i="53"/>
  <c r="N93" i="53"/>
  <c r="H93" i="53"/>
  <c r="C93" i="53"/>
  <c r="AB91" i="53"/>
  <c r="AA91" i="53"/>
  <c r="B94" i="53"/>
  <c r="AK93" i="52" a="1"/>
  <c r="AK93" i="52" s="1"/>
  <c r="AN90" i="32"/>
  <c r="E93" i="32"/>
  <c r="AL93" i="11" a="1"/>
  <c r="AL93" i="11" s="1"/>
  <c r="M92" i="32"/>
  <c r="I92" i="32"/>
  <c r="T92" i="32"/>
  <c r="AK92" i="32"/>
  <c r="G92" i="32"/>
  <c r="F92" i="32"/>
  <c r="J92" i="32"/>
  <c r="L92" i="32"/>
  <c r="H92" i="32"/>
  <c r="O92" i="32"/>
  <c r="N92" i="32"/>
  <c r="K92" i="32"/>
  <c r="A92" i="32"/>
  <c r="Q92" i="32" s="1"/>
  <c r="P92" i="32" s="1"/>
  <c r="B92" i="32"/>
  <c r="R92" i="32" s="1"/>
  <c r="S92" i="32" s="1"/>
  <c r="AL90" i="32"/>
  <c r="Z91" i="32"/>
  <c r="W91" i="32"/>
  <c r="X91" i="32" s="1"/>
  <c r="C91" i="32"/>
  <c r="AJ91" i="32"/>
  <c r="V91" i="32"/>
  <c r="U91" i="32"/>
  <c r="AD91" i="32" s="1"/>
  <c r="AG91" i="32" s="1"/>
  <c r="AH91" i="32" s="1"/>
  <c r="AI91" i="32" s="1"/>
  <c r="AN91" i="32" s="1"/>
  <c r="AM91" i="32"/>
  <c r="L95" i="65" l="1"/>
  <c r="M95" i="65" s="1"/>
  <c r="O95" i="65"/>
  <c r="C95" i="65"/>
  <c r="B96" i="65"/>
  <c r="AO95" i="63" a="1"/>
  <c r="AO95" i="63" s="1"/>
  <c r="Y93" i="65"/>
  <c r="AB93" i="65" s="1"/>
  <c r="AC93" i="65" s="1"/>
  <c r="AD93" i="65" s="1"/>
  <c r="U93" i="65"/>
  <c r="AH93" i="65"/>
  <c r="AV93" i="65"/>
  <c r="Q93" i="65"/>
  <c r="R93" i="65"/>
  <c r="S93" i="65" s="1"/>
  <c r="AF93" i="65"/>
  <c r="AE93" i="65"/>
  <c r="N94" i="65"/>
  <c r="AM94" i="65"/>
  <c r="P94" i="65"/>
  <c r="D94" i="65"/>
  <c r="E94" i="65" s="1"/>
  <c r="F94" i="65" s="1"/>
  <c r="G94" i="65" s="1"/>
  <c r="H94" i="65" s="1"/>
  <c r="I94" i="65" s="1"/>
  <c r="J94" i="65" s="1"/>
  <c r="K94" i="65" s="1"/>
  <c r="AG92" i="65"/>
  <c r="B95" i="53"/>
  <c r="AK94" i="52" a="1"/>
  <c r="AK94" i="52" s="1"/>
  <c r="N94" i="53"/>
  <c r="C94" i="53"/>
  <c r="M94" i="53"/>
  <c r="P94" i="53"/>
  <c r="I94" i="53"/>
  <c r="O94" i="53"/>
  <c r="AG94" i="53" s="1"/>
  <c r="H94" i="53"/>
  <c r="L94" i="53"/>
  <c r="J94" i="53"/>
  <c r="D94" i="53"/>
  <c r="G94" i="53"/>
  <c r="E94" i="53"/>
  <c r="F94" i="53"/>
  <c r="K94" i="53"/>
  <c r="Q93" i="53"/>
  <c r="AE93" i="53"/>
  <c r="R93" i="53"/>
  <c r="X93" i="53" s="1"/>
  <c r="AH93" i="53"/>
  <c r="AC93" i="53"/>
  <c r="AD93" i="53"/>
  <c r="AT93" i="53"/>
  <c r="AF92" i="53"/>
  <c r="AA92" i="53"/>
  <c r="AB92" i="53"/>
  <c r="C92" i="32"/>
  <c r="Z92" i="32"/>
  <c r="AJ92" i="32"/>
  <c r="W92" i="32"/>
  <c r="X92" i="32" s="1"/>
  <c r="V92" i="32"/>
  <c r="U92" i="32"/>
  <c r="AD92" i="32" s="1"/>
  <c r="AG92" i="32" s="1"/>
  <c r="AH92" i="32" s="1"/>
  <c r="AI92" i="32" s="1"/>
  <c r="AM92" i="32"/>
  <c r="E94" i="32"/>
  <c r="AL94" i="11" a="1"/>
  <c r="AL94" i="11" s="1"/>
  <c r="AL91" i="32"/>
  <c r="T93" i="32"/>
  <c r="I93" i="32"/>
  <c r="M93" i="32"/>
  <c r="A93" i="32"/>
  <c r="Q93" i="32" s="1"/>
  <c r="P93" i="32" s="1"/>
  <c r="H93" i="32"/>
  <c r="O93" i="32"/>
  <c r="L93" i="32"/>
  <c r="F93" i="32"/>
  <c r="AK93" i="32"/>
  <c r="G93" i="32"/>
  <c r="B93" i="32"/>
  <c r="R93" i="32" s="1"/>
  <c r="S93" i="32" s="1"/>
  <c r="J93" i="32"/>
  <c r="N93" i="32"/>
  <c r="K93" i="32"/>
  <c r="U94" i="65" l="1"/>
  <c r="AF94" i="65"/>
  <c r="AG94" i="65" s="1"/>
  <c r="R94" i="65"/>
  <c r="S94" i="65" s="1"/>
  <c r="Y94" i="65" s="1"/>
  <c r="AB94" i="65" s="1"/>
  <c r="AC94" i="65" s="1"/>
  <c r="AD94" i="65" s="1"/>
  <c r="AV94" i="65"/>
  <c r="Q94" i="65"/>
  <c r="AH94" i="65"/>
  <c r="AE94" i="65"/>
  <c r="AG93" i="65"/>
  <c r="O96" i="65"/>
  <c r="C96" i="65"/>
  <c r="L96" i="65"/>
  <c r="M96" i="65" s="1"/>
  <c r="B97" i="65"/>
  <c r="AO96" i="63" a="1"/>
  <c r="AO96" i="63" s="1"/>
  <c r="D95" i="65"/>
  <c r="E95" i="65" s="1"/>
  <c r="F95" i="65" s="1"/>
  <c r="G95" i="65" s="1"/>
  <c r="H95" i="65" s="1"/>
  <c r="I95" i="65" s="1"/>
  <c r="J95" i="65" s="1"/>
  <c r="K95" i="65" s="1"/>
  <c r="N95" i="65"/>
  <c r="P95" i="65"/>
  <c r="AM95" i="65"/>
  <c r="AF93" i="53"/>
  <c r="B96" i="53"/>
  <c r="AK95" i="52" a="1"/>
  <c r="AK95" i="52" s="1"/>
  <c r="E95" i="53"/>
  <c r="D95" i="53"/>
  <c r="M95" i="53"/>
  <c r="I95" i="53"/>
  <c r="J95" i="53"/>
  <c r="O95" i="53"/>
  <c r="AG95" i="53" s="1"/>
  <c r="L95" i="53"/>
  <c r="C95" i="53"/>
  <c r="F95" i="53"/>
  <c r="P95" i="53"/>
  <c r="N95" i="53"/>
  <c r="G95" i="53"/>
  <c r="H95" i="53"/>
  <c r="K95" i="53"/>
  <c r="AH94" i="53"/>
  <c r="Q94" i="53"/>
  <c r="AD94" i="53"/>
  <c r="R94" i="53"/>
  <c r="X94" i="53" s="1"/>
  <c r="AC94" i="53"/>
  <c r="AT94" i="53"/>
  <c r="AE94" i="53"/>
  <c r="AA93" i="53"/>
  <c r="AB93" i="53"/>
  <c r="E95" i="32"/>
  <c r="AL95" i="11" a="1"/>
  <c r="AL95" i="11" s="1"/>
  <c r="AK94" i="32"/>
  <c r="A94" i="32"/>
  <c r="Q94" i="32" s="1"/>
  <c r="P94" i="32" s="1"/>
  <c r="L94" i="32"/>
  <c r="M94" i="32"/>
  <c r="G94" i="32"/>
  <c r="T94" i="32"/>
  <c r="J94" i="32"/>
  <c r="O94" i="32"/>
  <c r="F94" i="32"/>
  <c r="B94" i="32"/>
  <c r="R94" i="32" s="1"/>
  <c r="S94" i="32" s="1"/>
  <c r="I94" i="32"/>
  <c r="H94" i="32"/>
  <c r="N94" i="32"/>
  <c r="K94" i="32"/>
  <c r="AL92" i="32"/>
  <c r="U93" i="32"/>
  <c r="AD93" i="32" s="1"/>
  <c r="AG93" i="32" s="1"/>
  <c r="AH93" i="32" s="1"/>
  <c r="AI93" i="32" s="1"/>
  <c r="AM93" i="32"/>
  <c r="C93" i="32"/>
  <c r="Z93" i="32"/>
  <c r="AJ93" i="32"/>
  <c r="W93" i="32"/>
  <c r="X93" i="32" s="1"/>
  <c r="V93" i="32"/>
  <c r="AN92" i="32"/>
  <c r="P96" i="65" l="1"/>
  <c r="D96" i="65"/>
  <c r="E96" i="65" s="1"/>
  <c r="F96" i="65" s="1"/>
  <c r="G96" i="65" s="1"/>
  <c r="H96" i="65" s="1"/>
  <c r="I96" i="65" s="1"/>
  <c r="J96" i="65" s="1"/>
  <c r="K96" i="65" s="1"/>
  <c r="N96" i="65"/>
  <c r="AM96" i="65"/>
  <c r="Y95" i="65"/>
  <c r="AB95" i="65" s="1"/>
  <c r="AC95" i="65" s="1"/>
  <c r="AD95" i="65" s="1"/>
  <c r="AE95" i="65"/>
  <c r="AF95" i="65"/>
  <c r="R95" i="65"/>
  <c r="S95" i="65" s="1"/>
  <c r="AV95" i="65"/>
  <c r="Q95" i="65"/>
  <c r="U95" i="65"/>
  <c r="AH95" i="65"/>
  <c r="B98" i="65"/>
  <c r="AO97" i="63" a="1"/>
  <c r="AO97" i="63" s="1"/>
  <c r="C97" i="65"/>
  <c r="L97" i="65"/>
  <c r="M97" i="65" s="1"/>
  <c r="O97" i="65"/>
  <c r="AF94" i="53"/>
  <c r="O96" i="53"/>
  <c r="AG96" i="53" s="1"/>
  <c r="I96" i="53"/>
  <c r="M96" i="53"/>
  <c r="P96" i="53"/>
  <c r="D96" i="53"/>
  <c r="G96" i="53"/>
  <c r="C96" i="53"/>
  <c r="E96" i="53"/>
  <c r="K96" i="53"/>
  <c r="N96" i="53"/>
  <c r="J96" i="53"/>
  <c r="F96" i="53"/>
  <c r="H96" i="53"/>
  <c r="L96" i="53"/>
  <c r="AA94" i="53"/>
  <c r="AB94" i="53"/>
  <c r="AH95" i="53"/>
  <c r="Q95" i="53"/>
  <c r="AC95" i="53"/>
  <c r="R95" i="53"/>
  <c r="X95" i="53" s="1"/>
  <c r="AD95" i="53"/>
  <c r="AE95" i="53"/>
  <c r="AT95" i="53"/>
  <c r="B97" i="53"/>
  <c r="AK96" i="52" a="1"/>
  <c r="AK96" i="52" s="1"/>
  <c r="AN93" i="32"/>
  <c r="E96" i="32"/>
  <c r="AL96" i="11" a="1"/>
  <c r="AL96" i="11" s="1"/>
  <c r="I95" i="32"/>
  <c r="B95" i="32"/>
  <c r="R95" i="32" s="1"/>
  <c r="S95" i="32" s="1"/>
  <c r="H95" i="32"/>
  <c r="AK95" i="32"/>
  <c r="M95" i="32"/>
  <c r="O95" i="32"/>
  <c r="N95" i="32"/>
  <c r="J95" i="32"/>
  <c r="T95" i="32"/>
  <c r="F95" i="32"/>
  <c r="A95" i="32"/>
  <c r="Q95" i="32" s="1"/>
  <c r="P95" i="32" s="1"/>
  <c r="G95" i="32"/>
  <c r="L95" i="32"/>
  <c r="K95" i="32"/>
  <c r="AL93" i="32"/>
  <c r="W94" i="32"/>
  <c r="X94" i="32" s="1"/>
  <c r="C94" i="32"/>
  <c r="V94" i="32"/>
  <c r="Z94" i="32"/>
  <c r="AJ94" i="32"/>
  <c r="AM94" i="32"/>
  <c r="U94" i="32"/>
  <c r="AD94" i="32" s="1"/>
  <c r="AG94" i="32" s="1"/>
  <c r="AH94" i="32" s="1"/>
  <c r="AI94" i="32" s="1"/>
  <c r="B99" i="65" l="1"/>
  <c r="AO98" i="63" a="1"/>
  <c r="AO98" i="63" s="1"/>
  <c r="N97" i="65"/>
  <c r="D97" i="65"/>
  <c r="E97" i="65" s="1"/>
  <c r="F97" i="65" s="1"/>
  <c r="G97" i="65" s="1"/>
  <c r="H97" i="65" s="1"/>
  <c r="I97" i="65" s="1"/>
  <c r="J97" i="65" s="1"/>
  <c r="K97" i="65" s="1"/>
  <c r="P97" i="65"/>
  <c r="AM97" i="65"/>
  <c r="AG95" i="65"/>
  <c r="C98" i="65"/>
  <c r="L98" i="65"/>
  <c r="M98" i="65" s="1"/>
  <c r="O98" i="65"/>
  <c r="U96" i="65"/>
  <c r="AH96" i="65"/>
  <c r="R96" i="65"/>
  <c r="S96" i="65" s="1"/>
  <c r="Y96" i="65" s="1"/>
  <c r="AB96" i="65" s="1"/>
  <c r="AC96" i="65" s="1"/>
  <c r="AD96" i="65" s="1"/>
  <c r="Q96" i="65"/>
  <c r="AF96" i="65"/>
  <c r="AE96" i="65"/>
  <c r="AV96" i="65"/>
  <c r="AF95" i="53"/>
  <c r="AA95" i="53"/>
  <c r="AB95" i="53"/>
  <c r="AC96" i="53"/>
  <c r="AT96" i="53"/>
  <c r="AD96" i="53"/>
  <c r="R96" i="53"/>
  <c r="X96" i="53" s="1"/>
  <c r="AH96" i="53"/>
  <c r="AE96" i="53"/>
  <c r="Q96" i="53"/>
  <c r="B98" i="53"/>
  <c r="AK97" i="52" a="1"/>
  <c r="AK97" i="52" s="1"/>
  <c r="H97" i="53"/>
  <c r="M97" i="53"/>
  <c r="E97" i="53"/>
  <c r="O97" i="53"/>
  <c r="AG97" i="53" s="1"/>
  <c r="P97" i="53"/>
  <c r="I97" i="53"/>
  <c r="G97" i="53"/>
  <c r="D97" i="53"/>
  <c r="K97" i="53"/>
  <c r="F97" i="53"/>
  <c r="C97" i="53"/>
  <c r="N97" i="53"/>
  <c r="J97" i="53"/>
  <c r="L97" i="53"/>
  <c r="U95" i="32"/>
  <c r="AD95" i="32" s="1"/>
  <c r="AG95" i="32" s="1"/>
  <c r="AH95" i="32" s="1"/>
  <c r="AI95" i="32" s="1"/>
  <c r="AN95" i="32" s="1"/>
  <c r="AM95" i="32"/>
  <c r="C95" i="32"/>
  <c r="V95" i="32"/>
  <c r="W95" i="32"/>
  <c r="X95" i="32" s="1"/>
  <c r="AJ95" i="32"/>
  <c r="Z95" i="32"/>
  <c r="E97" i="32"/>
  <c r="AL97" i="11" a="1"/>
  <c r="AL97" i="11" s="1"/>
  <c r="AL94" i="32"/>
  <c r="K96" i="32"/>
  <c r="G96" i="32"/>
  <c r="T96" i="32"/>
  <c r="AK96" i="32"/>
  <c r="H96" i="32"/>
  <c r="I96" i="32"/>
  <c r="O96" i="32"/>
  <c r="L96" i="32"/>
  <c r="F96" i="32"/>
  <c r="M96" i="32"/>
  <c r="A96" i="32"/>
  <c r="Q96" i="32" s="1"/>
  <c r="P96" i="32" s="1"/>
  <c r="J96" i="32"/>
  <c r="B96" i="32"/>
  <c r="R96" i="32" s="1"/>
  <c r="S96" i="32" s="1"/>
  <c r="N96" i="32"/>
  <c r="AN94" i="32"/>
  <c r="B100" i="65" l="1"/>
  <c r="AO99" i="63" a="1"/>
  <c r="AO99" i="63" s="1"/>
  <c r="N98" i="65"/>
  <c r="P98" i="65"/>
  <c r="D98" i="65"/>
  <c r="E98" i="65" s="1"/>
  <c r="F98" i="65" s="1"/>
  <c r="G98" i="65" s="1"/>
  <c r="H98" i="65" s="1"/>
  <c r="I98" i="65" s="1"/>
  <c r="J98" i="65" s="1"/>
  <c r="K98" i="65" s="1"/>
  <c r="AM98" i="65"/>
  <c r="O99" i="65"/>
  <c r="C99" i="65"/>
  <c r="L99" i="65"/>
  <c r="M99" i="65" s="1"/>
  <c r="AG96" i="65"/>
  <c r="AF97" i="65"/>
  <c r="AG97" i="65" s="1"/>
  <c r="U97" i="65"/>
  <c r="Q97" i="65"/>
  <c r="R97" i="65"/>
  <c r="S97" i="65" s="1"/>
  <c r="Y97" i="65" s="1"/>
  <c r="AB97" i="65" s="1"/>
  <c r="AC97" i="65" s="1"/>
  <c r="AD97" i="65" s="1"/>
  <c r="AH97" i="65"/>
  <c r="AE97" i="65"/>
  <c r="AV97" i="65"/>
  <c r="AA96" i="53"/>
  <c r="AB96" i="53"/>
  <c r="AF96" i="53"/>
  <c r="AD97" i="53"/>
  <c r="AC97" i="53"/>
  <c r="AT97" i="53"/>
  <c r="AE97" i="53"/>
  <c r="R97" i="53"/>
  <c r="X97" i="53" s="1"/>
  <c r="Q97" i="53"/>
  <c r="AH97" i="53"/>
  <c r="B99" i="53"/>
  <c r="AK98" i="52" a="1"/>
  <c r="AK98" i="52" s="1"/>
  <c r="I98" i="53"/>
  <c r="H98" i="53"/>
  <c r="K98" i="53"/>
  <c r="G98" i="53"/>
  <c r="P98" i="53"/>
  <c r="F98" i="53"/>
  <c r="N98" i="53"/>
  <c r="J98" i="53"/>
  <c r="L98" i="53"/>
  <c r="E98" i="53"/>
  <c r="C98" i="53"/>
  <c r="M98" i="53"/>
  <c r="O98" i="53"/>
  <c r="D98" i="53"/>
  <c r="E98" i="32"/>
  <c r="AL98" i="11" a="1"/>
  <c r="AL98" i="11" s="1"/>
  <c r="C96" i="32"/>
  <c r="W96" i="32"/>
  <c r="X96" i="32" s="1"/>
  <c r="AJ96" i="32"/>
  <c r="Z96" i="32"/>
  <c r="V96" i="32"/>
  <c r="N97" i="32"/>
  <c r="I97" i="32"/>
  <c r="O97" i="32"/>
  <c r="J97" i="32"/>
  <c r="H97" i="32"/>
  <c r="K97" i="32"/>
  <c r="A97" i="32"/>
  <c r="Q97" i="32" s="1"/>
  <c r="P97" i="32" s="1"/>
  <c r="G97" i="32"/>
  <c r="B97" i="32"/>
  <c r="R97" i="32" s="1"/>
  <c r="S97" i="32" s="1"/>
  <c r="M97" i="32"/>
  <c r="T97" i="32"/>
  <c r="AK97" i="32"/>
  <c r="L97" i="32"/>
  <c r="F97" i="32"/>
  <c r="AL95" i="32"/>
  <c r="U96" i="32"/>
  <c r="AD96" i="32" s="1"/>
  <c r="AG96" i="32" s="1"/>
  <c r="AH96" i="32" s="1"/>
  <c r="AI96" i="32" s="1"/>
  <c r="AM96" i="32"/>
  <c r="AE98" i="65" l="1"/>
  <c r="AH98" i="65"/>
  <c r="AV98" i="65"/>
  <c r="U98" i="65"/>
  <c r="Q98" i="65"/>
  <c r="R98" i="65"/>
  <c r="S98" i="65" s="1"/>
  <c r="Y98" i="65" s="1"/>
  <c r="AB98" i="65" s="1"/>
  <c r="AC98" i="65" s="1"/>
  <c r="AD98" i="65" s="1"/>
  <c r="AF98" i="65"/>
  <c r="C100" i="65"/>
  <c r="O100" i="65"/>
  <c r="L100" i="65"/>
  <c r="M100" i="65" s="1"/>
  <c r="AM99" i="65"/>
  <c r="P99" i="65"/>
  <c r="D99" i="65"/>
  <c r="E99" i="65" s="1"/>
  <c r="F99" i="65" s="1"/>
  <c r="G99" i="65" s="1"/>
  <c r="H99" i="65" s="1"/>
  <c r="I99" i="65" s="1"/>
  <c r="J99" i="65" s="1"/>
  <c r="K99" i="65" s="1"/>
  <c r="N99" i="65"/>
  <c r="B101" i="65"/>
  <c r="AO100" i="63" a="1"/>
  <c r="AO100" i="63" s="1"/>
  <c r="R98" i="53"/>
  <c r="X98" i="53" s="1"/>
  <c r="AE98" i="53"/>
  <c r="Q98" i="53"/>
  <c r="AT98" i="53"/>
  <c r="AD98" i="53"/>
  <c r="AC98" i="53"/>
  <c r="AH98" i="53"/>
  <c r="AF97" i="53"/>
  <c r="AA97" i="53"/>
  <c r="AB97" i="53"/>
  <c r="B100" i="53"/>
  <c r="AK99" i="52" a="1"/>
  <c r="AK99" i="52" s="1"/>
  <c r="AG98" i="53"/>
  <c r="M99" i="53"/>
  <c r="C99" i="53"/>
  <c r="G99" i="53"/>
  <c r="P99" i="53"/>
  <c r="K99" i="53"/>
  <c r="O99" i="53"/>
  <c r="AG99" i="53" s="1"/>
  <c r="I99" i="53"/>
  <c r="E99" i="53"/>
  <c r="D99" i="53"/>
  <c r="F99" i="53"/>
  <c r="N99" i="53"/>
  <c r="L99" i="53"/>
  <c r="H99" i="53"/>
  <c r="J99" i="53"/>
  <c r="E99" i="32"/>
  <c r="AL99" i="11" a="1"/>
  <c r="AL99" i="11" s="1"/>
  <c r="AN96" i="32"/>
  <c r="AL96" i="32"/>
  <c r="U97" i="32"/>
  <c r="AD97" i="32" s="1"/>
  <c r="AG97" i="32" s="1"/>
  <c r="AH97" i="32" s="1"/>
  <c r="AI97" i="32" s="1"/>
  <c r="AM97" i="32"/>
  <c r="C97" i="32"/>
  <c r="V97" i="32"/>
  <c r="W97" i="32"/>
  <c r="X97" i="32" s="1"/>
  <c r="AJ97" i="32"/>
  <c r="Z97" i="32"/>
  <c r="B98" i="32"/>
  <c r="R98" i="32" s="1"/>
  <c r="S98" i="32" s="1"/>
  <c r="O98" i="32"/>
  <c r="G98" i="32"/>
  <c r="M98" i="32"/>
  <c r="H98" i="32"/>
  <c r="A98" i="32"/>
  <c r="Q98" i="32" s="1"/>
  <c r="P98" i="32" s="1"/>
  <c r="I98" i="32"/>
  <c r="T98" i="32"/>
  <c r="J98" i="32"/>
  <c r="L98" i="32"/>
  <c r="AK98" i="32"/>
  <c r="N98" i="32"/>
  <c r="F98" i="32"/>
  <c r="K98" i="32"/>
  <c r="AF99" i="65" l="1"/>
  <c r="U99" i="65"/>
  <c r="Q99" i="65"/>
  <c r="AV99" i="65"/>
  <c r="AH99" i="65"/>
  <c r="AE99" i="65"/>
  <c r="R99" i="65"/>
  <c r="S99" i="65" s="1"/>
  <c r="AM100" i="65"/>
  <c r="N100" i="65"/>
  <c r="P100" i="65"/>
  <c r="D100" i="65"/>
  <c r="E100" i="65" s="1"/>
  <c r="F100" i="65" s="1"/>
  <c r="G100" i="65" s="1"/>
  <c r="H100" i="65" s="1"/>
  <c r="I100" i="65" s="1"/>
  <c r="J100" i="65" s="1"/>
  <c r="K100" i="65" s="1"/>
  <c r="B102" i="65"/>
  <c r="AO101" i="63" a="1"/>
  <c r="AO101" i="63" s="1"/>
  <c r="O101" i="65"/>
  <c r="C101" i="65"/>
  <c r="L101" i="65"/>
  <c r="M101" i="65" s="1"/>
  <c r="AG98" i="65"/>
  <c r="Y99" i="65"/>
  <c r="AB99" i="65" s="1"/>
  <c r="AC99" i="65" s="1"/>
  <c r="AD99" i="65" s="1"/>
  <c r="AA98" i="53"/>
  <c r="AB98" i="53"/>
  <c r="AH99" i="53"/>
  <c r="R99" i="53"/>
  <c r="X99" i="53" s="1"/>
  <c r="AD99" i="53"/>
  <c r="AT99" i="53"/>
  <c r="AC99" i="53"/>
  <c r="Q99" i="53"/>
  <c r="AE99" i="53"/>
  <c r="B101" i="53"/>
  <c r="AK100" i="52" a="1"/>
  <c r="AK100" i="52" s="1"/>
  <c r="C100" i="53"/>
  <c r="I100" i="53"/>
  <c r="M100" i="53"/>
  <c r="L100" i="53"/>
  <c r="O100" i="53"/>
  <c r="AG100" i="53" s="1"/>
  <c r="D100" i="53"/>
  <c r="G100" i="53"/>
  <c r="P100" i="53"/>
  <c r="H100" i="53"/>
  <c r="N100" i="53"/>
  <c r="E100" i="53"/>
  <c r="K100" i="53"/>
  <c r="J100" i="53"/>
  <c r="F100" i="53"/>
  <c r="AF98" i="53"/>
  <c r="AN97" i="32"/>
  <c r="E100" i="32"/>
  <c r="AL100" i="11" a="1"/>
  <c r="AL100" i="11" s="1"/>
  <c r="AM98" i="32"/>
  <c r="U98" i="32"/>
  <c r="AD98" i="32" s="1"/>
  <c r="AG98" i="32" s="1"/>
  <c r="AH98" i="32" s="1"/>
  <c r="AI98" i="32" s="1"/>
  <c r="AL97" i="32"/>
  <c r="C98" i="32"/>
  <c r="Z98" i="32"/>
  <c r="AJ98" i="32"/>
  <c r="V98" i="32"/>
  <c r="W98" i="32"/>
  <c r="X98" i="32" s="1"/>
  <c r="N99" i="32"/>
  <c r="T99" i="32"/>
  <c r="G99" i="32"/>
  <c r="O99" i="32"/>
  <c r="AK99" i="32"/>
  <c r="M99" i="32"/>
  <c r="F99" i="32"/>
  <c r="H99" i="32"/>
  <c r="A99" i="32"/>
  <c r="Q99" i="32" s="1"/>
  <c r="P99" i="32" s="1"/>
  <c r="J99" i="32"/>
  <c r="B99" i="32"/>
  <c r="R99" i="32" s="1"/>
  <c r="S99" i="32" s="1"/>
  <c r="L99" i="32"/>
  <c r="K99" i="32"/>
  <c r="I99" i="32"/>
  <c r="R100" i="65" l="1"/>
  <c r="S100" i="65" s="1"/>
  <c r="Y100" i="65" s="1"/>
  <c r="AB100" i="65" s="1"/>
  <c r="AC100" i="65" s="1"/>
  <c r="AD100" i="65" s="1"/>
  <c r="U100" i="65"/>
  <c r="AE100" i="65"/>
  <c r="Q100" i="65"/>
  <c r="AV100" i="65"/>
  <c r="AF100" i="65"/>
  <c r="AH100" i="65"/>
  <c r="AG99" i="65"/>
  <c r="P101" i="65"/>
  <c r="D101" i="65"/>
  <c r="E101" i="65" s="1"/>
  <c r="F101" i="65" s="1"/>
  <c r="G101" i="65" s="1"/>
  <c r="H101" i="65" s="1"/>
  <c r="I101" i="65" s="1"/>
  <c r="J101" i="65" s="1"/>
  <c r="K101" i="65" s="1"/>
  <c r="N101" i="65"/>
  <c r="AM101" i="65"/>
  <c r="B103" i="65"/>
  <c r="AO102" i="63" a="1"/>
  <c r="AO102" i="63" s="1"/>
  <c r="C102" i="65"/>
  <c r="L102" i="65"/>
  <c r="M102" i="65" s="1"/>
  <c r="O102" i="65"/>
  <c r="AF99" i="53"/>
  <c r="AC100" i="53"/>
  <c r="AE100" i="53"/>
  <c r="AT100" i="53"/>
  <c r="R100" i="53"/>
  <c r="X100" i="53" s="1"/>
  <c r="AD100" i="53"/>
  <c r="AH100" i="53"/>
  <c r="Q100" i="53"/>
  <c r="AB99" i="53"/>
  <c r="AA99" i="53"/>
  <c r="B102" i="53"/>
  <c r="AK101" i="52" a="1"/>
  <c r="AK101" i="52" s="1"/>
  <c r="H101" i="53"/>
  <c r="I101" i="53"/>
  <c r="N101" i="53"/>
  <c r="K101" i="53"/>
  <c r="E101" i="53"/>
  <c r="L101" i="53"/>
  <c r="D101" i="53"/>
  <c r="C101" i="53"/>
  <c r="J101" i="53"/>
  <c r="O101" i="53"/>
  <c r="F101" i="53"/>
  <c r="G101" i="53"/>
  <c r="M101" i="53"/>
  <c r="P101" i="53"/>
  <c r="AL98" i="32"/>
  <c r="E101" i="32"/>
  <c r="AL101" i="11" a="1"/>
  <c r="AL101" i="11" s="1"/>
  <c r="AN98" i="32"/>
  <c r="J100" i="32"/>
  <c r="O100" i="32"/>
  <c r="AK100" i="32"/>
  <c r="K100" i="32"/>
  <c r="I100" i="32"/>
  <c r="L100" i="32"/>
  <c r="F100" i="32"/>
  <c r="T100" i="32"/>
  <c r="N100" i="32"/>
  <c r="A100" i="32"/>
  <c r="Q100" i="32" s="1"/>
  <c r="P100" i="32" s="1"/>
  <c r="H100" i="32"/>
  <c r="B100" i="32"/>
  <c r="R100" i="32" s="1"/>
  <c r="S100" i="32" s="1"/>
  <c r="M100" i="32"/>
  <c r="G100" i="32"/>
  <c r="V99" i="32"/>
  <c r="C99" i="32"/>
  <c r="AJ99" i="32"/>
  <c r="Z99" i="32"/>
  <c r="W99" i="32"/>
  <c r="X99" i="32" s="1"/>
  <c r="AM99" i="32"/>
  <c r="U99" i="32"/>
  <c r="AD99" i="32" s="1"/>
  <c r="AG99" i="32" s="1"/>
  <c r="AH99" i="32" s="1"/>
  <c r="AI99" i="32" s="1"/>
  <c r="AM102" i="65" l="1"/>
  <c r="D102" i="65"/>
  <c r="E102" i="65" s="1"/>
  <c r="F102" i="65" s="1"/>
  <c r="G102" i="65" s="1"/>
  <c r="H102" i="65" s="1"/>
  <c r="I102" i="65" s="1"/>
  <c r="J102" i="65" s="1"/>
  <c r="K102" i="65" s="1"/>
  <c r="P102" i="65"/>
  <c r="N102" i="65"/>
  <c r="AG100" i="65"/>
  <c r="L103" i="65"/>
  <c r="M103" i="65" s="1"/>
  <c r="C103" i="65"/>
  <c r="O103" i="65"/>
  <c r="B104" i="65"/>
  <c r="AO103" i="63" a="1"/>
  <c r="AO103" i="63" s="1"/>
  <c r="Q101" i="65"/>
  <c r="AH101" i="65"/>
  <c r="U101" i="65"/>
  <c r="AV101" i="65"/>
  <c r="AE101" i="65"/>
  <c r="R101" i="65"/>
  <c r="S101" i="65" s="1"/>
  <c r="Y101" i="65" s="1"/>
  <c r="AB101" i="65" s="1"/>
  <c r="AC101" i="65" s="1"/>
  <c r="AD101" i="65" s="1"/>
  <c r="AF101" i="65"/>
  <c r="AG101" i="53"/>
  <c r="R101" i="53"/>
  <c r="X101" i="53" s="1"/>
  <c r="AC101" i="53"/>
  <c r="AT101" i="53"/>
  <c r="AH101" i="53"/>
  <c r="AE101" i="53"/>
  <c r="AD101" i="53"/>
  <c r="Q101" i="53"/>
  <c r="AA100" i="53"/>
  <c r="AB100" i="53"/>
  <c r="B103" i="53"/>
  <c r="AK102" i="52" a="1"/>
  <c r="AK102" i="52" s="1"/>
  <c r="J102" i="53"/>
  <c r="P102" i="53"/>
  <c r="N102" i="53"/>
  <c r="I102" i="53"/>
  <c r="M102" i="53"/>
  <c r="C102" i="53"/>
  <c r="F102" i="53"/>
  <c r="O102" i="53"/>
  <c r="AG102" i="53" s="1"/>
  <c r="H102" i="53"/>
  <c r="L102" i="53"/>
  <c r="K102" i="53"/>
  <c r="D102" i="53"/>
  <c r="G102" i="53"/>
  <c r="E102" i="53"/>
  <c r="AF100" i="53"/>
  <c r="AL99" i="32"/>
  <c r="AN99" i="32"/>
  <c r="T101" i="32"/>
  <c r="J101" i="32"/>
  <c r="I101" i="32"/>
  <c r="O101" i="32"/>
  <c r="L101" i="32"/>
  <c r="F101" i="32"/>
  <c r="A101" i="32"/>
  <c r="Q101" i="32" s="1"/>
  <c r="P101" i="32" s="1"/>
  <c r="N101" i="32"/>
  <c r="B101" i="32"/>
  <c r="R101" i="32" s="1"/>
  <c r="S101" i="32" s="1"/>
  <c r="K101" i="32"/>
  <c r="H101" i="32"/>
  <c r="M101" i="32"/>
  <c r="G101" i="32"/>
  <c r="AK101" i="32"/>
  <c r="W100" i="32"/>
  <c r="X100" i="32" s="1"/>
  <c r="Z100" i="32"/>
  <c r="AJ100" i="32"/>
  <c r="V100" i="32"/>
  <c r="C100" i="32"/>
  <c r="AM100" i="32"/>
  <c r="U100" i="32"/>
  <c r="AD100" i="32" s="1"/>
  <c r="AG100" i="32" s="1"/>
  <c r="AH100" i="32" s="1"/>
  <c r="AI100" i="32" s="1"/>
  <c r="E102" i="32"/>
  <c r="AL102" i="11" a="1"/>
  <c r="AL102" i="11" s="1"/>
  <c r="AG101" i="65" l="1"/>
  <c r="L104" i="65"/>
  <c r="M104" i="65" s="1"/>
  <c r="C104" i="65"/>
  <c r="O104" i="65"/>
  <c r="N103" i="65"/>
  <c r="P103" i="65"/>
  <c r="D103" i="65"/>
  <c r="E103" i="65" s="1"/>
  <c r="F103" i="65" s="1"/>
  <c r="G103" i="65" s="1"/>
  <c r="H103" i="65" s="1"/>
  <c r="I103" i="65" s="1"/>
  <c r="J103" i="65" s="1"/>
  <c r="K103" i="65" s="1"/>
  <c r="AM103" i="65"/>
  <c r="B105" i="65"/>
  <c r="AO104" i="63" a="1"/>
  <c r="AO104" i="63" s="1"/>
  <c r="AF102" i="65"/>
  <c r="AE102" i="65"/>
  <c r="U102" i="65"/>
  <c r="R102" i="65"/>
  <c r="S102" i="65" s="1"/>
  <c r="Q102" i="65"/>
  <c r="AV102" i="65"/>
  <c r="AH102" i="65"/>
  <c r="Y102" i="65"/>
  <c r="AB102" i="65" s="1"/>
  <c r="AC102" i="65" s="1"/>
  <c r="AD102" i="65" s="1"/>
  <c r="AB101" i="53"/>
  <c r="AA101" i="53"/>
  <c r="AF101" i="53"/>
  <c r="B104" i="53"/>
  <c r="AK103" i="52" a="1"/>
  <c r="AK103" i="52" s="1"/>
  <c r="M103" i="53"/>
  <c r="E103" i="53"/>
  <c r="C103" i="53"/>
  <c r="O103" i="53"/>
  <c r="AG103" i="53" s="1"/>
  <c r="P103" i="53"/>
  <c r="H103" i="53"/>
  <c r="F103" i="53"/>
  <c r="L103" i="53"/>
  <c r="N103" i="53"/>
  <c r="D103" i="53"/>
  <c r="J103" i="53"/>
  <c r="G103" i="53"/>
  <c r="K103" i="53"/>
  <c r="I103" i="53"/>
  <c r="AH102" i="53"/>
  <c r="Q102" i="53"/>
  <c r="AD102" i="53"/>
  <c r="AC102" i="53"/>
  <c r="AE102" i="53"/>
  <c r="AT102" i="53"/>
  <c r="R102" i="53"/>
  <c r="X102" i="53" s="1"/>
  <c r="AL100" i="32"/>
  <c r="E103" i="32"/>
  <c r="AL103" i="11" a="1"/>
  <c r="AL103" i="11" s="1"/>
  <c r="AN100" i="32"/>
  <c r="V101" i="32"/>
  <c r="AJ101" i="32"/>
  <c r="W101" i="32"/>
  <c r="X101" i="32" s="1"/>
  <c r="C101" i="32"/>
  <c r="Z101" i="32"/>
  <c r="N102" i="32"/>
  <c r="K102" i="32"/>
  <c r="AK102" i="32"/>
  <c r="G102" i="32"/>
  <c r="T102" i="32"/>
  <c r="H102" i="32"/>
  <c r="O102" i="32"/>
  <c r="J102" i="32"/>
  <c r="A102" i="32"/>
  <c r="Q102" i="32" s="1"/>
  <c r="P102" i="32" s="1"/>
  <c r="L102" i="32"/>
  <c r="B102" i="32"/>
  <c r="R102" i="32" s="1"/>
  <c r="S102" i="32" s="1"/>
  <c r="F102" i="32"/>
  <c r="I102" i="32"/>
  <c r="M102" i="32"/>
  <c r="U101" i="32"/>
  <c r="AD101" i="32" s="1"/>
  <c r="AG101" i="32" s="1"/>
  <c r="AH101" i="32" s="1"/>
  <c r="AI101" i="32" s="1"/>
  <c r="AN101" i="32" s="1"/>
  <c r="AM101" i="32"/>
  <c r="AG102" i="65" l="1"/>
  <c r="O105" i="65"/>
  <c r="C105" i="65"/>
  <c r="L105" i="65"/>
  <c r="M105" i="65" s="1"/>
  <c r="N104" i="65"/>
  <c r="P104" i="65"/>
  <c r="D104" i="65"/>
  <c r="E104" i="65" s="1"/>
  <c r="F104" i="65" s="1"/>
  <c r="G104" i="65" s="1"/>
  <c r="H104" i="65" s="1"/>
  <c r="I104" i="65" s="1"/>
  <c r="J104" i="65" s="1"/>
  <c r="K104" i="65" s="1"/>
  <c r="AM104" i="65"/>
  <c r="AV103" i="65"/>
  <c r="R103" i="65"/>
  <c r="S103" i="65" s="1"/>
  <c r="Y103" i="65" s="1"/>
  <c r="AB103" i="65" s="1"/>
  <c r="AC103" i="65" s="1"/>
  <c r="AD103" i="65" s="1"/>
  <c r="Q103" i="65"/>
  <c r="AH103" i="65"/>
  <c r="AE103" i="65"/>
  <c r="U103" i="65"/>
  <c r="AF103" i="65"/>
  <c r="B106" i="65"/>
  <c r="AO105" i="63" a="1"/>
  <c r="AO105" i="63" s="1"/>
  <c r="AF102" i="53"/>
  <c r="AD103" i="53"/>
  <c r="Q103" i="53"/>
  <c r="AE103" i="53"/>
  <c r="AH103" i="53"/>
  <c r="R103" i="53"/>
  <c r="X103" i="53" s="1"/>
  <c r="AC103" i="53"/>
  <c r="AT103" i="53"/>
  <c r="B105" i="53"/>
  <c r="AK104" i="52" a="1"/>
  <c r="AK104" i="52" s="1"/>
  <c r="I104" i="53"/>
  <c r="N104" i="53"/>
  <c r="P104" i="53"/>
  <c r="L104" i="53"/>
  <c r="J104" i="53"/>
  <c r="M104" i="53"/>
  <c r="H104" i="53"/>
  <c r="E104" i="53"/>
  <c r="D104" i="53"/>
  <c r="K104" i="53"/>
  <c r="F104" i="53"/>
  <c r="O104" i="53"/>
  <c r="AG104" i="53" s="1"/>
  <c r="C104" i="53"/>
  <c r="G104" i="53"/>
  <c r="AA102" i="53"/>
  <c r="AB102" i="53"/>
  <c r="E104" i="32"/>
  <c r="AL104" i="11" a="1"/>
  <c r="AL104" i="11" s="1"/>
  <c r="AL101" i="32"/>
  <c r="U102" i="32"/>
  <c r="AD102" i="32" s="1"/>
  <c r="AG102" i="32" s="1"/>
  <c r="AH102" i="32" s="1"/>
  <c r="AI102" i="32" s="1"/>
  <c r="AM102" i="32"/>
  <c r="C102" i="32"/>
  <c r="AJ102" i="32"/>
  <c r="V102" i="32"/>
  <c r="W102" i="32"/>
  <c r="X102" i="32" s="1"/>
  <c r="Z102" i="32"/>
  <c r="I103" i="32"/>
  <c r="A103" i="32"/>
  <c r="Q103" i="32" s="1"/>
  <c r="P103" i="32" s="1"/>
  <c r="H103" i="32"/>
  <c r="B103" i="32"/>
  <c r="R103" i="32" s="1"/>
  <c r="S103" i="32" s="1"/>
  <c r="J103" i="32"/>
  <c r="G103" i="32"/>
  <c r="L103" i="32"/>
  <c r="K103" i="32"/>
  <c r="AK103" i="32"/>
  <c r="M103" i="32"/>
  <c r="T103" i="32"/>
  <c r="F103" i="32"/>
  <c r="O103" i="32"/>
  <c r="N103" i="32"/>
  <c r="C106" i="65" l="1"/>
  <c r="L106" i="65"/>
  <c r="M106" i="65" s="1"/>
  <c r="O106" i="65"/>
  <c r="AG103" i="65"/>
  <c r="B107" i="65"/>
  <c r="AO106" i="63" a="1"/>
  <c r="AO106" i="63" s="1"/>
  <c r="R104" i="65"/>
  <c r="S104" i="65" s="1"/>
  <c r="Y104" i="65" s="1"/>
  <c r="AB104" i="65" s="1"/>
  <c r="AC104" i="65" s="1"/>
  <c r="AD104" i="65" s="1"/>
  <c r="U104" i="65"/>
  <c r="Q104" i="65"/>
  <c r="AV104" i="65"/>
  <c r="AF104" i="65"/>
  <c r="AH104" i="65"/>
  <c r="AE104" i="65"/>
  <c r="N105" i="65"/>
  <c r="D105" i="65"/>
  <c r="E105" i="65" s="1"/>
  <c r="F105" i="65" s="1"/>
  <c r="G105" i="65" s="1"/>
  <c r="H105" i="65" s="1"/>
  <c r="I105" i="65" s="1"/>
  <c r="J105" i="65" s="1"/>
  <c r="K105" i="65" s="1"/>
  <c r="P105" i="65"/>
  <c r="AM105" i="65"/>
  <c r="B106" i="53"/>
  <c r="AK105" i="52" a="1"/>
  <c r="AK105" i="52" s="1"/>
  <c r="F105" i="53"/>
  <c r="D105" i="53"/>
  <c r="I105" i="53"/>
  <c r="E105" i="53"/>
  <c r="L105" i="53"/>
  <c r="G105" i="53"/>
  <c r="P105" i="53"/>
  <c r="M105" i="53"/>
  <c r="H105" i="53"/>
  <c r="O105" i="53"/>
  <c r="K105" i="53"/>
  <c r="J105" i="53"/>
  <c r="N105" i="53"/>
  <c r="C105" i="53"/>
  <c r="AC104" i="53"/>
  <c r="AD104" i="53"/>
  <c r="R104" i="53"/>
  <c r="X104" i="53" s="1"/>
  <c r="AT104" i="53"/>
  <c r="AH104" i="53"/>
  <c r="Q104" i="53"/>
  <c r="AE104" i="53"/>
  <c r="AF103" i="53"/>
  <c r="AA103" i="53"/>
  <c r="AB103" i="53"/>
  <c r="AL102" i="32"/>
  <c r="E105" i="32"/>
  <c r="AL105" i="11" a="1"/>
  <c r="AL105" i="11" s="1"/>
  <c r="O104" i="32"/>
  <c r="AK104" i="32"/>
  <c r="M104" i="32"/>
  <c r="J104" i="32"/>
  <c r="I104" i="32"/>
  <c r="G104" i="32"/>
  <c r="T104" i="32"/>
  <c r="K104" i="32"/>
  <c r="L104" i="32"/>
  <c r="F104" i="32"/>
  <c r="A104" i="32"/>
  <c r="Q104" i="32" s="1"/>
  <c r="P104" i="32" s="1"/>
  <c r="N104" i="32"/>
  <c r="B104" i="32"/>
  <c r="R104" i="32" s="1"/>
  <c r="S104" i="32" s="1"/>
  <c r="H104" i="32"/>
  <c r="AJ103" i="32"/>
  <c r="W103" i="32"/>
  <c r="X103" i="32" s="1"/>
  <c r="Z103" i="32"/>
  <c r="C103" i="32"/>
  <c r="V103" i="32"/>
  <c r="U103" i="32"/>
  <c r="AD103" i="32" s="1"/>
  <c r="AG103" i="32" s="1"/>
  <c r="AH103" i="32" s="1"/>
  <c r="AI103" i="32" s="1"/>
  <c r="AM103" i="32"/>
  <c r="AN102" i="32"/>
  <c r="D106" i="65" l="1"/>
  <c r="E106" i="65" s="1"/>
  <c r="F106" i="65" s="1"/>
  <c r="G106" i="65" s="1"/>
  <c r="H106" i="65" s="1"/>
  <c r="I106" i="65" s="1"/>
  <c r="J106" i="65" s="1"/>
  <c r="K106" i="65" s="1"/>
  <c r="P106" i="65"/>
  <c r="N106" i="65"/>
  <c r="AM106" i="65"/>
  <c r="Y105" i="65"/>
  <c r="AB105" i="65" s="1"/>
  <c r="AC105" i="65" s="1"/>
  <c r="AD105" i="65" s="1"/>
  <c r="U105" i="65"/>
  <c r="AE105" i="65"/>
  <c r="AV105" i="65"/>
  <c r="Q105" i="65"/>
  <c r="AF105" i="65"/>
  <c r="AG105" i="65" s="1"/>
  <c r="R105" i="65"/>
  <c r="S105" i="65" s="1"/>
  <c r="AH105" i="65"/>
  <c r="AG104" i="65"/>
  <c r="B108" i="65"/>
  <c r="AO107" i="63" a="1"/>
  <c r="AO107" i="63" s="1"/>
  <c r="L107" i="65"/>
  <c r="M107" i="65" s="1"/>
  <c r="O107" i="65"/>
  <c r="C107" i="65"/>
  <c r="B107" i="53"/>
  <c r="AK106" i="52" a="1"/>
  <c r="AK106" i="52" s="1"/>
  <c r="AF104" i="53"/>
  <c r="AE105" i="53"/>
  <c r="AD105" i="53"/>
  <c r="R105" i="53"/>
  <c r="X105" i="53" s="1"/>
  <c r="Q105" i="53"/>
  <c r="AH105" i="53"/>
  <c r="AT105" i="53"/>
  <c r="AC105" i="53"/>
  <c r="L106" i="53"/>
  <c r="C106" i="53"/>
  <c r="H106" i="53"/>
  <c r="P106" i="53"/>
  <c r="K106" i="53"/>
  <c r="F106" i="53"/>
  <c r="E106" i="53"/>
  <c r="D106" i="53"/>
  <c r="M106" i="53"/>
  <c r="G106" i="53"/>
  <c r="O106" i="53"/>
  <c r="AG106" i="53" s="1"/>
  <c r="J106" i="53"/>
  <c r="N106" i="53"/>
  <c r="I106" i="53"/>
  <c r="AG105" i="53"/>
  <c r="AA104" i="53"/>
  <c r="AB104" i="53"/>
  <c r="E106" i="32"/>
  <c r="AL106" i="11" a="1"/>
  <c r="AL106" i="11" s="1"/>
  <c r="AL103" i="32"/>
  <c r="K105" i="32"/>
  <c r="H105" i="32"/>
  <c r="O105" i="32"/>
  <c r="AK105" i="32"/>
  <c r="G105" i="32"/>
  <c r="T105" i="32"/>
  <c r="M105" i="32"/>
  <c r="I105" i="32"/>
  <c r="A105" i="32"/>
  <c r="Q105" i="32" s="1"/>
  <c r="P105" i="32" s="1"/>
  <c r="J105" i="32"/>
  <c r="B105" i="32"/>
  <c r="R105" i="32" s="1"/>
  <c r="S105" i="32" s="1"/>
  <c r="L105" i="32"/>
  <c r="F105" i="32"/>
  <c r="N105" i="32"/>
  <c r="AJ104" i="32"/>
  <c r="W104" i="32"/>
  <c r="X104" i="32" s="1"/>
  <c r="Z104" i="32"/>
  <c r="V104" i="32"/>
  <c r="C104" i="32"/>
  <c r="AN103" i="32"/>
  <c r="U104" i="32"/>
  <c r="AD104" i="32" s="1"/>
  <c r="AG104" i="32" s="1"/>
  <c r="AH104" i="32" s="1"/>
  <c r="AI104" i="32" s="1"/>
  <c r="AM104" i="32"/>
  <c r="Y106" i="65" l="1"/>
  <c r="AB106" i="65" s="1"/>
  <c r="AC106" i="65" s="1"/>
  <c r="AD106" i="65" s="1"/>
  <c r="B109" i="65"/>
  <c r="AO108" i="63" a="1"/>
  <c r="AO108" i="63" s="1"/>
  <c r="N107" i="65"/>
  <c r="AM107" i="65"/>
  <c r="P107" i="65"/>
  <c r="D107" i="65"/>
  <c r="E107" i="65" s="1"/>
  <c r="F107" i="65" s="1"/>
  <c r="G107" i="65" s="1"/>
  <c r="H107" i="65" s="1"/>
  <c r="I107" i="65" s="1"/>
  <c r="J107" i="65" s="1"/>
  <c r="K107" i="65" s="1"/>
  <c r="C108" i="65"/>
  <c r="L108" i="65"/>
  <c r="M108" i="65" s="1"/>
  <c r="O108" i="65"/>
  <c r="AH106" i="65"/>
  <c r="AV106" i="65"/>
  <c r="AF106" i="65"/>
  <c r="AE106" i="65"/>
  <c r="R106" i="65"/>
  <c r="S106" i="65" s="1"/>
  <c r="U106" i="65"/>
  <c r="Q106" i="65"/>
  <c r="O107" i="53"/>
  <c r="AG107" i="53" s="1"/>
  <c r="K107" i="53"/>
  <c r="G107" i="53"/>
  <c r="N107" i="53"/>
  <c r="H107" i="53"/>
  <c r="E107" i="53"/>
  <c r="M107" i="53"/>
  <c r="I107" i="53"/>
  <c r="D107" i="53"/>
  <c r="P107" i="53"/>
  <c r="C107" i="53"/>
  <c r="J107" i="53"/>
  <c r="F107" i="53"/>
  <c r="L107" i="53"/>
  <c r="AF105" i="53"/>
  <c r="AA105" i="53"/>
  <c r="AB105" i="53"/>
  <c r="AD106" i="53"/>
  <c r="AH106" i="53"/>
  <c r="Q106" i="53"/>
  <c r="AC106" i="53"/>
  <c r="R106" i="53"/>
  <c r="X106" i="53" s="1"/>
  <c r="AT106" i="53"/>
  <c r="AE106" i="53"/>
  <c r="B108" i="53"/>
  <c r="AK107" i="52" a="1"/>
  <c r="AK107" i="52" s="1"/>
  <c r="AL104" i="32"/>
  <c r="E107" i="32"/>
  <c r="AL107" i="11" a="1"/>
  <c r="AL107" i="11" s="1"/>
  <c r="AM105" i="32"/>
  <c r="U105" i="32"/>
  <c r="AD105" i="32" s="1"/>
  <c r="AG105" i="32" s="1"/>
  <c r="AH105" i="32" s="1"/>
  <c r="AI105" i="32" s="1"/>
  <c r="V105" i="32"/>
  <c r="AJ105" i="32"/>
  <c r="C105" i="32"/>
  <c r="W105" i="32"/>
  <c r="X105" i="32" s="1"/>
  <c r="Z105" i="32"/>
  <c r="AN104" i="32"/>
  <c r="T106" i="32"/>
  <c r="H106" i="32"/>
  <c r="A106" i="32"/>
  <c r="Q106" i="32" s="1"/>
  <c r="P106" i="32" s="1"/>
  <c r="I106" i="32"/>
  <c r="B106" i="32"/>
  <c r="R106" i="32" s="1"/>
  <c r="S106" i="32" s="1"/>
  <c r="N106" i="32"/>
  <c r="F106" i="32"/>
  <c r="K106" i="32"/>
  <c r="M106" i="32"/>
  <c r="AK106" i="32"/>
  <c r="G106" i="32"/>
  <c r="J106" i="32"/>
  <c r="L106" i="32"/>
  <c r="O106" i="32"/>
  <c r="P108" i="65" l="1"/>
  <c r="AM108" i="65"/>
  <c r="D108" i="65"/>
  <c r="E108" i="65" s="1"/>
  <c r="F108" i="65" s="1"/>
  <c r="G108" i="65" s="1"/>
  <c r="H108" i="65" s="1"/>
  <c r="I108" i="65" s="1"/>
  <c r="J108" i="65" s="1"/>
  <c r="K108" i="65" s="1"/>
  <c r="N108" i="65"/>
  <c r="O109" i="65"/>
  <c r="L109" i="65"/>
  <c r="M109" i="65" s="1"/>
  <c r="C109" i="65"/>
  <c r="AG106" i="65"/>
  <c r="R107" i="65"/>
  <c r="S107" i="65" s="1"/>
  <c r="Y107" i="65" s="1"/>
  <c r="AB107" i="65" s="1"/>
  <c r="AC107" i="65" s="1"/>
  <c r="AD107" i="65" s="1"/>
  <c r="AF107" i="65"/>
  <c r="AE107" i="65"/>
  <c r="AV107" i="65"/>
  <c r="AH107" i="65"/>
  <c r="U107" i="65"/>
  <c r="Q107" i="65"/>
  <c r="B110" i="65"/>
  <c r="AO109" i="63" a="1"/>
  <c r="AO109" i="63" s="1"/>
  <c r="AF106" i="53"/>
  <c r="AH107" i="53"/>
  <c r="AC107" i="53"/>
  <c r="R107" i="53"/>
  <c r="X107" i="53" s="1"/>
  <c r="AD107" i="53"/>
  <c r="Q107" i="53"/>
  <c r="AT107" i="53"/>
  <c r="AE107" i="53"/>
  <c r="O108" i="53"/>
  <c r="H108" i="53"/>
  <c r="G108" i="53"/>
  <c r="J108" i="53"/>
  <c r="D108" i="53"/>
  <c r="M108" i="53"/>
  <c r="P108" i="53"/>
  <c r="F108" i="53"/>
  <c r="I108" i="53"/>
  <c r="N108" i="53"/>
  <c r="C108" i="53"/>
  <c r="E108" i="53"/>
  <c r="K108" i="53"/>
  <c r="L108" i="53"/>
  <c r="AA106" i="53"/>
  <c r="AB106" i="53"/>
  <c r="B109" i="53"/>
  <c r="AK108" i="52" a="1"/>
  <c r="AK108" i="52" s="1"/>
  <c r="AL105" i="32"/>
  <c r="E108" i="32"/>
  <c r="AL108" i="11" a="1"/>
  <c r="AL108" i="11" s="1"/>
  <c r="Z106" i="32"/>
  <c r="AJ106" i="32"/>
  <c r="V106" i="32"/>
  <c r="C106" i="32"/>
  <c r="W106" i="32"/>
  <c r="X106" i="32" s="1"/>
  <c r="U106" i="32"/>
  <c r="AD106" i="32" s="1"/>
  <c r="AG106" i="32" s="1"/>
  <c r="AH106" i="32" s="1"/>
  <c r="AI106" i="32" s="1"/>
  <c r="AM106" i="32"/>
  <c r="AN105" i="32"/>
  <c r="L107" i="32"/>
  <c r="O107" i="32"/>
  <c r="N107" i="32"/>
  <c r="A107" i="32"/>
  <c r="Q107" i="32" s="1"/>
  <c r="P107" i="32" s="1"/>
  <c r="H107" i="32"/>
  <c r="B107" i="32"/>
  <c r="R107" i="32" s="1"/>
  <c r="S107" i="32" s="1"/>
  <c r="J107" i="32"/>
  <c r="G107" i="32"/>
  <c r="K107" i="32"/>
  <c r="I107" i="32"/>
  <c r="AK107" i="32"/>
  <c r="M107" i="32"/>
  <c r="T107" i="32"/>
  <c r="F107" i="32"/>
  <c r="C110" i="65" l="1"/>
  <c r="O110" i="65"/>
  <c r="L110" i="65"/>
  <c r="M110" i="65" s="1"/>
  <c r="P109" i="65"/>
  <c r="AM109" i="65"/>
  <c r="D109" i="65"/>
  <c r="E109" i="65" s="1"/>
  <c r="F109" i="65" s="1"/>
  <c r="G109" i="65" s="1"/>
  <c r="H109" i="65" s="1"/>
  <c r="I109" i="65" s="1"/>
  <c r="J109" i="65" s="1"/>
  <c r="K109" i="65" s="1"/>
  <c r="N109" i="65"/>
  <c r="U108" i="65"/>
  <c r="AE108" i="65"/>
  <c r="AV108" i="65"/>
  <c r="R108" i="65"/>
  <c r="S108" i="65" s="1"/>
  <c r="Y108" i="65" s="1"/>
  <c r="AB108" i="65" s="1"/>
  <c r="AC108" i="65" s="1"/>
  <c r="AD108" i="65" s="1"/>
  <c r="Q108" i="65"/>
  <c r="AH108" i="65"/>
  <c r="AF108" i="65"/>
  <c r="AG108" i="65" s="1"/>
  <c r="B111" i="65"/>
  <c r="AO110" i="63" a="1"/>
  <c r="AO110" i="63" s="1"/>
  <c r="AG107" i="65"/>
  <c r="AG108" i="53"/>
  <c r="AF107" i="53"/>
  <c r="AH108" i="53"/>
  <c r="R108" i="53"/>
  <c r="X108" i="53" s="1"/>
  <c r="AE108" i="53"/>
  <c r="AC108" i="53"/>
  <c r="AD108" i="53"/>
  <c r="AT108" i="53"/>
  <c r="Q108" i="53"/>
  <c r="AA107" i="53"/>
  <c r="AB107" i="53"/>
  <c r="B110" i="53"/>
  <c r="AK109" i="52" a="1"/>
  <c r="AK109" i="52" s="1"/>
  <c r="M109" i="53"/>
  <c r="I109" i="53"/>
  <c r="O109" i="53"/>
  <c r="G109" i="53"/>
  <c r="N109" i="53"/>
  <c r="P109" i="53"/>
  <c r="E109" i="53"/>
  <c r="D109" i="53"/>
  <c r="H109" i="53"/>
  <c r="L109" i="53"/>
  <c r="K109" i="53"/>
  <c r="J109" i="53"/>
  <c r="F109" i="53"/>
  <c r="C109" i="53"/>
  <c r="AL106" i="32"/>
  <c r="E109" i="32"/>
  <c r="AL109" i="11" a="1"/>
  <c r="AL109" i="11" s="1"/>
  <c r="AM107" i="32"/>
  <c r="U107" i="32"/>
  <c r="AD107" i="32" s="1"/>
  <c r="AG107" i="32" s="1"/>
  <c r="AH107" i="32" s="1"/>
  <c r="AI107" i="32" s="1"/>
  <c r="AN106" i="32"/>
  <c r="W107" i="32"/>
  <c r="X107" i="32" s="1"/>
  <c r="C107" i="32"/>
  <c r="Z107" i="32"/>
  <c r="AJ107" i="32"/>
  <c r="V107" i="32"/>
  <c r="F108" i="32"/>
  <c r="AK108" i="32"/>
  <c r="K108" i="32"/>
  <c r="T108" i="32"/>
  <c r="L108" i="32"/>
  <c r="O108" i="32"/>
  <c r="N108" i="32"/>
  <c r="A108" i="32"/>
  <c r="Q108" i="32" s="1"/>
  <c r="P108" i="32" s="1"/>
  <c r="H108" i="32"/>
  <c r="B108" i="32"/>
  <c r="R108" i="32" s="1"/>
  <c r="S108" i="32" s="1"/>
  <c r="J108" i="32"/>
  <c r="M108" i="32"/>
  <c r="G108" i="32"/>
  <c r="I108" i="32"/>
  <c r="N110" i="65" l="1"/>
  <c r="D110" i="65"/>
  <c r="E110" i="65" s="1"/>
  <c r="F110" i="65" s="1"/>
  <c r="G110" i="65" s="1"/>
  <c r="H110" i="65" s="1"/>
  <c r="I110" i="65" s="1"/>
  <c r="J110" i="65" s="1"/>
  <c r="K110" i="65" s="1"/>
  <c r="P110" i="65"/>
  <c r="AM110" i="65"/>
  <c r="B112" i="65"/>
  <c r="AO111" i="63" a="1"/>
  <c r="AO111" i="63" s="1"/>
  <c r="O111" i="65"/>
  <c r="C111" i="65"/>
  <c r="L111" i="65"/>
  <c r="M111" i="65" s="1"/>
  <c r="AE109" i="65"/>
  <c r="Q109" i="65"/>
  <c r="AF109" i="65"/>
  <c r="R109" i="65"/>
  <c r="S109" i="65" s="1"/>
  <c r="Y109" i="65" s="1"/>
  <c r="AB109" i="65" s="1"/>
  <c r="AC109" i="65" s="1"/>
  <c r="AD109" i="65" s="1"/>
  <c r="U109" i="65"/>
  <c r="AH109" i="65"/>
  <c r="AV109" i="65"/>
  <c r="AA108" i="53"/>
  <c r="AB108" i="53"/>
  <c r="AH109" i="53"/>
  <c r="Q109" i="53"/>
  <c r="AT109" i="53"/>
  <c r="AE109" i="53"/>
  <c r="AD109" i="53"/>
  <c r="R109" i="53"/>
  <c r="X109" i="53" s="1"/>
  <c r="AC109" i="53"/>
  <c r="B111" i="53"/>
  <c r="AK110" i="52" a="1"/>
  <c r="AK110" i="52" s="1"/>
  <c r="AF108" i="53"/>
  <c r="AG109" i="53"/>
  <c r="I110" i="53"/>
  <c r="K110" i="53"/>
  <c r="H110" i="53"/>
  <c r="C110" i="53"/>
  <c r="J110" i="53"/>
  <c r="M110" i="53"/>
  <c r="D110" i="53"/>
  <c r="L110" i="53"/>
  <c r="N110" i="53"/>
  <c r="F110" i="53"/>
  <c r="P110" i="53"/>
  <c r="O110" i="53"/>
  <c r="AG110" i="53" s="1"/>
  <c r="G110" i="53"/>
  <c r="E110" i="53"/>
  <c r="AL107" i="32"/>
  <c r="AN107" i="32"/>
  <c r="G109" i="32"/>
  <c r="M109" i="32"/>
  <c r="AK109" i="32"/>
  <c r="I109" i="32"/>
  <c r="T109" i="32"/>
  <c r="J109" i="32"/>
  <c r="O109" i="32"/>
  <c r="L109" i="32"/>
  <c r="A109" i="32"/>
  <c r="Q109" i="32" s="1"/>
  <c r="P109" i="32" s="1"/>
  <c r="F109" i="32"/>
  <c r="B109" i="32"/>
  <c r="R109" i="32" s="1"/>
  <c r="S109" i="32" s="1"/>
  <c r="N109" i="32"/>
  <c r="K109" i="32"/>
  <c r="H109" i="32"/>
  <c r="C108" i="32"/>
  <c r="Z108" i="32"/>
  <c r="W108" i="32"/>
  <c r="X108" i="32" s="1"/>
  <c r="V108" i="32"/>
  <c r="AJ108" i="32"/>
  <c r="U108" i="32"/>
  <c r="AD108" i="32" s="1"/>
  <c r="AG108" i="32" s="1"/>
  <c r="AH108" i="32" s="1"/>
  <c r="AI108" i="32" s="1"/>
  <c r="AM108" i="32"/>
  <c r="E110" i="32"/>
  <c r="AL110" i="11" a="1"/>
  <c r="AL110" i="11" s="1"/>
  <c r="N111" i="65" l="1"/>
  <c r="AM111" i="65"/>
  <c r="P111" i="65"/>
  <c r="D111" i="65"/>
  <c r="E111" i="65" s="1"/>
  <c r="F111" i="65" s="1"/>
  <c r="G111" i="65" s="1"/>
  <c r="H111" i="65" s="1"/>
  <c r="I111" i="65" s="1"/>
  <c r="J111" i="65" s="1"/>
  <c r="K111" i="65" s="1"/>
  <c r="R110" i="65"/>
  <c r="S110" i="65" s="1"/>
  <c r="Y110" i="65" s="1"/>
  <c r="AB110" i="65" s="1"/>
  <c r="AC110" i="65" s="1"/>
  <c r="AD110" i="65" s="1"/>
  <c r="AF110" i="65"/>
  <c r="AH110" i="65"/>
  <c r="AV110" i="65"/>
  <c r="U110" i="65"/>
  <c r="AE110" i="65"/>
  <c r="Q110" i="65"/>
  <c r="B113" i="65"/>
  <c r="AO112" i="63" a="1"/>
  <c r="AO112" i="63" s="1"/>
  <c r="AG109" i="65"/>
  <c r="O112" i="65"/>
  <c r="C112" i="65"/>
  <c r="L112" i="65"/>
  <c r="M112" i="65" s="1"/>
  <c r="AA109" i="53"/>
  <c r="AB109" i="53"/>
  <c r="AF109" i="53"/>
  <c r="AE110" i="53"/>
  <c r="AC110" i="53"/>
  <c r="AD110" i="53"/>
  <c r="Q110" i="53"/>
  <c r="AH110" i="53"/>
  <c r="AT110" i="53"/>
  <c r="R110" i="53"/>
  <c r="X110" i="53" s="1"/>
  <c r="B112" i="53"/>
  <c r="AK111" i="52" a="1"/>
  <c r="AK111" i="52" s="1"/>
  <c r="O111" i="53"/>
  <c r="G111" i="53"/>
  <c r="C111" i="53"/>
  <c r="H111" i="53"/>
  <c r="F111" i="53"/>
  <c r="I111" i="53"/>
  <c r="M111" i="53"/>
  <c r="L111" i="53"/>
  <c r="P111" i="53"/>
  <c r="K111" i="53"/>
  <c r="E111" i="53"/>
  <c r="N111" i="53"/>
  <c r="J111" i="53"/>
  <c r="D111" i="53"/>
  <c r="N110" i="32"/>
  <c r="G110" i="32"/>
  <c r="H110" i="32"/>
  <c r="T110" i="32"/>
  <c r="J110" i="32"/>
  <c r="O110" i="32"/>
  <c r="A110" i="32"/>
  <c r="Q110" i="32" s="1"/>
  <c r="P110" i="32" s="1"/>
  <c r="L110" i="32"/>
  <c r="AK110" i="32"/>
  <c r="B110" i="32"/>
  <c r="R110" i="32" s="1"/>
  <c r="S110" i="32" s="1"/>
  <c r="F110" i="32"/>
  <c r="I110" i="32"/>
  <c r="M110" i="32"/>
  <c r="K110" i="32"/>
  <c r="AL108" i="32"/>
  <c r="U109" i="32"/>
  <c r="AD109" i="32" s="1"/>
  <c r="AG109" i="32" s="1"/>
  <c r="AH109" i="32" s="1"/>
  <c r="AI109" i="32" s="1"/>
  <c r="AM109" i="32"/>
  <c r="AN108" i="32"/>
  <c r="V109" i="32"/>
  <c r="AJ109" i="32"/>
  <c r="W109" i="32"/>
  <c r="X109" i="32" s="1"/>
  <c r="C109" i="32"/>
  <c r="Z109" i="32"/>
  <c r="E111" i="32"/>
  <c r="AL111" i="11" a="1"/>
  <c r="AL111" i="11" s="1"/>
  <c r="Q111" i="65" l="1"/>
  <c r="AV111" i="65"/>
  <c r="AE111" i="65"/>
  <c r="R111" i="65"/>
  <c r="S111" i="65" s="1"/>
  <c r="AH111" i="65"/>
  <c r="AF111" i="65"/>
  <c r="U111" i="65"/>
  <c r="N112" i="65"/>
  <c r="P112" i="65"/>
  <c r="D112" i="65"/>
  <c r="E112" i="65" s="1"/>
  <c r="F112" i="65" s="1"/>
  <c r="G112" i="65" s="1"/>
  <c r="H112" i="65" s="1"/>
  <c r="I112" i="65" s="1"/>
  <c r="J112" i="65" s="1"/>
  <c r="K112" i="65" s="1"/>
  <c r="AM112" i="65"/>
  <c r="AG110" i="65"/>
  <c r="B114" i="65"/>
  <c r="AO113" i="63" a="1"/>
  <c r="AO113" i="63" s="1"/>
  <c r="L113" i="65"/>
  <c r="M113" i="65" s="1"/>
  <c r="C113" i="65"/>
  <c r="O113" i="65"/>
  <c r="Y111" i="65"/>
  <c r="AB111" i="65" s="1"/>
  <c r="AC111" i="65" s="1"/>
  <c r="AD111" i="65" s="1"/>
  <c r="B113" i="53"/>
  <c r="AK112" i="52" a="1"/>
  <c r="AK112" i="52" s="1"/>
  <c r="AF110" i="53"/>
  <c r="AG111" i="53"/>
  <c r="AT111" i="53"/>
  <c r="AC111" i="53"/>
  <c r="AH111" i="53"/>
  <c r="AD111" i="53"/>
  <c r="Q111" i="53"/>
  <c r="AE111" i="53"/>
  <c r="R111" i="53"/>
  <c r="X111" i="53" s="1"/>
  <c r="O112" i="53"/>
  <c r="AG112" i="53" s="1"/>
  <c r="P112" i="53"/>
  <c r="D112" i="53"/>
  <c r="L112" i="53"/>
  <c r="K112" i="53"/>
  <c r="E112" i="53"/>
  <c r="H112" i="53"/>
  <c r="F112" i="53"/>
  <c r="G112" i="53"/>
  <c r="J112" i="53"/>
  <c r="M112" i="53"/>
  <c r="I112" i="53"/>
  <c r="C112" i="53"/>
  <c r="N112" i="53"/>
  <c r="AB110" i="53"/>
  <c r="AA110" i="53"/>
  <c r="AL109" i="32"/>
  <c r="AN109" i="32"/>
  <c r="T111" i="32"/>
  <c r="M111" i="32"/>
  <c r="K111" i="32"/>
  <c r="O111" i="32"/>
  <c r="A111" i="32"/>
  <c r="Q111" i="32" s="1"/>
  <c r="P111" i="32" s="1"/>
  <c r="F111" i="32"/>
  <c r="B111" i="32"/>
  <c r="R111" i="32" s="1"/>
  <c r="S111" i="32" s="1"/>
  <c r="N111" i="32"/>
  <c r="AK111" i="32"/>
  <c r="H111" i="32"/>
  <c r="J111" i="32"/>
  <c r="G111" i="32"/>
  <c r="L111" i="32"/>
  <c r="I111" i="32"/>
  <c r="U110" i="32"/>
  <c r="AD110" i="32" s="1"/>
  <c r="AG110" i="32" s="1"/>
  <c r="AH110" i="32" s="1"/>
  <c r="AI110" i="32" s="1"/>
  <c r="AM110" i="32"/>
  <c r="Z110" i="32"/>
  <c r="AJ110" i="32"/>
  <c r="V110" i="32"/>
  <c r="C110" i="32"/>
  <c r="W110" i="32"/>
  <c r="X110" i="32" s="1"/>
  <c r="E112" i="32"/>
  <c r="AL112" i="11" a="1"/>
  <c r="AL112" i="11" s="1"/>
  <c r="P113" i="65" l="1"/>
  <c r="AM113" i="65"/>
  <c r="N113" i="65"/>
  <c r="D113" i="65"/>
  <c r="E113" i="65" s="1"/>
  <c r="F113" i="65" s="1"/>
  <c r="G113" i="65" s="1"/>
  <c r="H113" i="65" s="1"/>
  <c r="I113" i="65" s="1"/>
  <c r="J113" i="65" s="1"/>
  <c r="K113" i="65" s="1"/>
  <c r="AV112" i="65"/>
  <c r="AH112" i="65"/>
  <c r="U112" i="65"/>
  <c r="Q112" i="65"/>
  <c r="AE112" i="65"/>
  <c r="AF112" i="65"/>
  <c r="AG112" i="65" s="1"/>
  <c r="R112" i="65"/>
  <c r="S112" i="65" s="1"/>
  <c r="Y112" i="65" s="1"/>
  <c r="AB112" i="65" s="1"/>
  <c r="AC112" i="65" s="1"/>
  <c r="AD112" i="65" s="1"/>
  <c r="B115" i="65"/>
  <c r="AO114" i="63" a="1"/>
  <c r="AO114" i="63" s="1"/>
  <c r="AG111" i="65"/>
  <c r="C114" i="65"/>
  <c r="O114" i="65"/>
  <c r="L114" i="65"/>
  <c r="M114" i="65" s="1"/>
  <c r="AC112" i="53"/>
  <c r="AE112" i="53"/>
  <c r="AT112" i="53"/>
  <c r="Q112" i="53"/>
  <c r="AD112" i="53"/>
  <c r="R112" i="53"/>
  <c r="X112" i="53" s="1"/>
  <c r="AH112" i="53"/>
  <c r="O113" i="53"/>
  <c r="AG113" i="53" s="1"/>
  <c r="F113" i="53"/>
  <c r="L113" i="53"/>
  <c r="D113" i="53"/>
  <c r="C113" i="53"/>
  <c r="H113" i="53"/>
  <c r="G113" i="53"/>
  <c r="M113" i="53"/>
  <c r="P113" i="53"/>
  <c r="N113" i="53"/>
  <c r="I113" i="53"/>
  <c r="E113" i="53"/>
  <c r="K113" i="53"/>
  <c r="J113" i="53"/>
  <c r="AA111" i="53"/>
  <c r="AB111" i="53"/>
  <c r="AF111" i="53"/>
  <c r="B114" i="53"/>
  <c r="AK113" i="52" a="1"/>
  <c r="AK113" i="52" s="1"/>
  <c r="AL110" i="32"/>
  <c r="E113" i="32"/>
  <c r="AL113" i="11" a="1"/>
  <c r="AL113" i="11" s="1"/>
  <c r="B112" i="32"/>
  <c r="R112" i="32" s="1"/>
  <c r="S112" i="32" s="1"/>
  <c r="F112" i="32"/>
  <c r="N112" i="32"/>
  <c r="H112" i="32"/>
  <c r="AK112" i="32"/>
  <c r="M112" i="32"/>
  <c r="J112" i="32"/>
  <c r="I112" i="32"/>
  <c r="T112" i="32"/>
  <c r="K112" i="32"/>
  <c r="G112" i="32"/>
  <c r="L112" i="32"/>
  <c r="A112" i="32"/>
  <c r="Q112" i="32" s="1"/>
  <c r="P112" i="32" s="1"/>
  <c r="O112" i="32"/>
  <c r="W111" i="32"/>
  <c r="X111" i="32" s="1"/>
  <c r="C111" i="32"/>
  <c r="V111" i="32"/>
  <c r="Z111" i="32"/>
  <c r="AJ111" i="32"/>
  <c r="AM111" i="32"/>
  <c r="U111" i="32"/>
  <c r="AD111" i="32" s="1"/>
  <c r="AG111" i="32" s="1"/>
  <c r="AH111" i="32" s="1"/>
  <c r="AI111" i="32" s="1"/>
  <c r="AN110" i="32"/>
  <c r="B116" i="65" l="1"/>
  <c r="AO115" i="63" a="1"/>
  <c r="AO115" i="63" s="1"/>
  <c r="Y113" i="65"/>
  <c r="AB113" i="65" s="1"/>
  <c r="AC113" i="65" s="1"/>
  <c r="AD113" i="65" s="1"/>
  <c r="AM114" i="65"/>
  <c r="D114" i="65"/>
  <c r="E114" i="65" s="1"/>
  <c r="F114" i="65" s="1"/>
  <c r="G114" i="65" s="1"/>
  <c r="H114" i="65" s="1"/>
  <c r="I114" i="65" s="1"/>
  <c r="J114" i="65" s="1"/>
  <c r="K114" i="65" s="1"/>
  <c r="N114" i="65"/>
  <c r="P114" i="65"/>
  <c r="C115" i="65"/>
  <c r="L115" i="65"/>
  <c r="M115" i="65" s="1"/>
  <c r="O115" i="65"/>
  <c r="U113" i="65"/>
  <c r="AV113" i="65"/>
  <c r="AH113" i="65"/>
  <c r="R113" i="65"/>
  <c r="S113" i="65" s="1"/>
  <c r="Q113" i="65"/>
  <c r="AF113" i="65"/>
  <c r="AE113" i="65"/>
  <c r="AE113" i="53"/>
  <c r="Q113" i="53"/>
  <c r="AD113" i="53"/>
  <c r="R113" i="53"/>
  <c r="X113" i="53" s="1"/>
  <c r="AC113" i="53"/>
  <c r="AH113" i="53"/>
  <c r="AT113" i="53"/>
  <c r="AA112" i="53"/>
  <c r="AB112" i="53"/>
  <c r="B115" i="53"/>
  <c r="AK114" i="52" a="1"/>
  <c r="AK114" i="52" s="1"/>
  <c r="AF112" i="53"/>
  <c r="P114" i="53"/>
  <c r="M114" i="53"/>
  <c r="G114" i="53"/>
  <c r="H114" i="53"/>
  <c r="D114" i="53"/>
  <c r="E114" i="53"/>
  <c r="C114" i="53"/>
  <c r="O114" i="53"/>
  <c r="AG114" i="53" s="1"/>
  <c r="F114" i="53"/>
  <c r="J114" i="53"/>
  <c r="L114" i="53"/>
  <c r="K114" i="53"/>
  <c r="I114" i="53"/>
  <c r="N114" i="53"/>
  <c r="AM112" i="32"/>
  <c r="U112" i="32"/>
  <c r="AD112" i="32" s="1"/>
  <c r="AG112" i="32" s="1"/>
  <c r="AH112" i="32" s="1"/>
  <c r="AI112" i="32" s="1"/>
  <c r="AN111" i="32"/>
  <c r="W112" i="32"/>
  <c r="X112" i="32" s="1"/>
  <c r="V112" i="32"/>
  <c r="Z112" i="32"/>
  <c r="AJ112" i="32"/>
  <c r="C112" i="32"/>
  <c r="E114" i="32"/>
  <c r="AL114" i="11" a="1"/>
  <c r="AL114" i="11" s="1"/>
  <c r="AL111" i="32"/>
  <c r="K113" i="32"/>
  <c r="T113" i="32"/>
  <c r="AK113" i="32"/>
  <c r="G113" i="32"/>
  <c r="O113" i="32"/>
  <c r="I113" i="32"/>
  <c r="M113" i="32"/>
  <c r="J113" i="32"/>
  <c r="L113" i="32"/>
  <c r="A113" i="32"/>
  <c r="Q113" i="32" s="1"/>
  <c r="P113" i="32" s="1"/>
  <c r="F113" i="32"/>
  <c r="B113" i="32"/>
  <c r="R113" i="32" s="1"/>
  <c r="S113" i="32" s="1"/>
  <c r="N113" i="32"/>
  <c r="H113" i="32"/>
  <c r="C116" i="65" l="1"/>
  <c r="O116" i="65"/>
  <c r="L116" i="65"/>
  <c r="M116" i="65" s="1"/>
  <c r="AG113" i="65"/>
  <c r="P115" i="65"/>
  <c r="D115" i="65"/>
  <c r="E115" i="65" s="1"/>
  <c r="F115" i="65" s="1"/>
  <c r="G115" i="65" s="1"/>
  <c r="H115" i="65" s="1"/>
  <c r="I115" i="65" s="1"/>
  <c r="J115" i="65" s="1"/>
  <c r="K115" i="65" s="1"/>
  <c r="AM115" i="65"/>
  <c r="N115" i="65"/>
  <c r="AH114" i="65"/>
  <c r="AF114" i="65"/>
  <c r="Q114" i="65"/>
  <c r="AV114" i="65"/>
  <c r="R114" i="65"/>
  <c r="S114" i="65" s="1"/>
  <c r="Y114" i="65" s="1"/>
  <c r="AB114" i="65" s="1"/>
  <c r="AC114" i="65" s="1"/>
  <c r="AD114" i="65" s="1"/>
  <c r="U114" i="65"/>
  <c r="AE114" i="65"/>
  <c r="B117" i="65"/>
  <c r="AO116" i="63" a="1"/>
  <c r="AO116" i="63" s="1"/>
  <c r="AF113" i="53"/>
  <c r="AT114" i="53"/>
  <c r="AD114" i="53"/>
  <c r="AE114" i="53"/>
  <c r="AC114" i="53"/>
  <c r="AH114" i="53"/>
  <c r="R114" i="53"/>
  <c r="X114" i="53" s="1"/>
  <c r="Q114" i="53"/>
  <c r="AA113" i="53"/>
  <c r="AB113" i="53"/>
  <c r="B116" i="53"/>
  <c r="AK115" i="52" a="1"/>
  <c r="AK115" i="52" s="1"/>
  <c r="M115" i="53"/>
  <c r="E115" i="53"/>
  <c r="O115" i="53"/>
  <c r="AG115" i="53" s="1"/>
  <c r="I115" i="53"/>
  <c r="J115" i="53"/>
  <c r="L115" i="53"/>
  <c r="F115" i="53"/>
  <c r="N115" i="53"/>
  <c r="G115" i="53"/>
  <c r="C115" i="53"/>
  <c r="H115" i="53"/>
  <c r="D115" i="53"/>
  <c r="K115" i="53"/>
  <c r="P115" i="53"/>
  <c r="Z113" i="32"/>
  <c r="AJ113" i="32"/>
  <c r="W113" i="32"/>
  <c r="X113" i="32" s="1"/>
  <c r="V113" i="32"/>
  <c r="C113" i="32"/>
  <c r="AN112" i="32"/>
  <c r="AM113" i="32"/>
  <c r="U113" i="32"/>
  <c r="AD113" i="32" s="1"/>
  <c r="AG113" i="32" s="1"/>
  <c r="AH113" i="32" s="1"/>
  <c r="AI113" i="32" s="1"/>
  <c r="T114" i="32"/>
  <c r="F114" i="32"/>
  <c r="O114" i="32"/>
  <c r="AK114" i="32"/>
  <c r="K114" i="32"/>
  <c r="G114" i="32"/>
  <c r="M114" i="32"/>
  <c r="H114" i="32"/>
  <c r="J114" i="32"/>
  <c r="A114" i="32"/>
  <c r="Q114" i="32" s="1"/>
  <c r="P114" i="32" s="1"/>
  <c r="L114" i="32"/>
  <c r="B114" i="32"/>
  <c r="R114" i="32" s="1"/>
  <c r="S114" i="32" s="1"/>
  <c r="I114" i="32"/>
  <c r="N114" i="32"/>
  <c r="E115" i="32"/>
  <c r="AL115" i="11" a="1"/>
  <c r="AL115" i="11" s="1"/>
  <c r="AL112" i="32"/>
  <c r="U115" i="65" l="1"/>
  <c r="Q115" i="65"/>
  <c r="AH115" i="65"/>
  <c r="AV115" i="65"/>
  <c r="AF115" i="65"/>
  <c r="R115" i="65"/>
  <c r="S115" i="65" s="1"/>
  <c r="Y115" i="65" s="1"/>
  <c r="AB115" i="65" s="1"/>
  <c r="AC115" i="65" s="1"/>
  <c r="AD115" i="65" s="1"/>
  <c r="AE115" i="65"/>
  <c r="B118" i="65"/>
  <c r="AO117" i="63" a="1"/>
  <c r="AO117" i="63" s="1"/>
  <c r="O117" i="65"/>
  <c r="L117" i="65"/>
  <c r="M117" i="65" s="1"/>
  <c r="C117" i="65"/>
  <c r="N116" i="65"/>
  <c r="D116" i="65"/>
  <c r="E116" i="65" s="1"/>
  <c r="F116" i="65" s="1"/>
  <c r="G116" i="65" s="1"/>
  <c r="H116" i="65" s="1"/>
  <c r="I116" i="65" s="1"/>
  <c r="J116" i="65" s="1"/>
  <c r="K116" i="65" s="1"/>
  <c r="AM116" i="65"/>
  <c r="P116" i="65"/>
  <c r="AG114" i="65"/>
  <c r="AT115" i="53"/>
  <c r="AD115" i="53"/>
  <c r="R115" i="53"/>
  <c r="X115" i="53" s="1"/>
  <c r="Q115" i="53"/>
  <c r="AE115" i="53"/>
  <c r="AH115" i="53"/>
  <c r="AC115" i="53"/>
  <c r="H116" i="53"/>
  <c r="P116" i="53"/>
  <c r="E116" i="53"/>
  <c r="M116" i="53"/>
  <c r="O116" i="53"/>
  <c r="AG116" i="53" s="1"/>
  <c r="J116" i="53"/>
  <c r="F116" i="53"/>
  <c r="I116" i="53"/>
  <c r="N116" i="53"/>
  <c r="C116" i="53"/>
  <c r="D116" i="53"/>
  <c r="K116" i="53"/>
  <c r="L116" i="53"/>
  <c r="G116" i="53"/>
  <c r="AB114" i="53"/>
  <c r="AA114" i="53"/>
  <c r="B117" i="53"/>
  <c r="AK116" i="52" a="1"/>
  <c r="AK116" i="52" s="1"/>
  <c r="AF114" i="53"/>
  <c r="AL113" i="32"/>
  <c r="E116" i="32"/>
  <c r="AL116" i="11" a="1"/>
  <c r="AL116" i="11" s="1"/>
  <c r="B115" i="32"/>
  <c r="R115" i="32" s="1"/>
  <c r="S115" i="32" s="1"/>
  <c r="J115" i="32"/>
  <c r="G115" i="32"/>
  <c r="L115" i="32"/>
  <c r="AK115" i="32"/>
  <c r="K115" i="32"/>
  <c r="T115" i="32"/>
  <c r="M115" i="32"/>
  <c r="I115" i="32"/>
  <c r="O115" i="32"/>
  <c r="F115" i="32"/>
  <c r="N115" i="32"/>
  <c r="A115" i="32"/>
  <c r="Q115" i="32" s="1"/>
  <c r="P115" i="32" s="1"/>
  <c r="H115" i="32"/>
  <c r="AM114" i="32"/>
  <c r="U114" i="32"/>
  <c r="AD114" i="32" s="1"/>
  <c r="AG114" i="32" s="1"/>
  <c r="AH114" i="32" s="1"/>
  <c r="AI114" i="32" s="1"/>
  <c r="C114" i="32"/>
  <c r="Z114" i="32"/>
  <c r="AJ114" i="32"/>
  <c r="W114" i="32"/>
  <c r="X114" i="32" s="1"/>
  <c r="V114" i="32"/>
  <c r="AN113" i="32"/>
  <c r="C118" i="65" l="1"/>
  <c r="L118" i="65"/>
  <c r="M118" i="65" s="1"/>
  <c r="O118" i="65"/>
  <c r="B119" i="65"/>
  <c r="AO118" i="63" a="1"/>
  <c r="AO118" i="63" s="1"/>
  <c r="Y116" i="65"/>
  <c r="AB116" i="65" s="1"/>
  <c r="AC116" i="65" s="1"/>
  <c r="AD116" i="65" s="1"/>
  <c r="AF116" i="65"/>
  <c r="AH116" i="65"/>
  <c r="Q116" i="65"/>
  <c r="AV116" i="65"/>
  <c r="U116" i="65"/>
  <c r="AE116" i="65"/>
  <c r="R116" i="65"/>
  <c r="S116" i="65" s="1"/>
  <c r="AG115" i="65"/>
  <c r="D117" i="65"/>
  <c r="E117" i="65" s="1"/>
  <c r="F117" i="65" s="1"/>
  <c r="G117" i="65" s="1"/>
  <c r="H117" i="65" s="1"/>
  <c r="I117" i="65" s="1"/>
  <c r="J117" i="65" s="1"/>
  <c r="K117" i="65" s="1"/>
  <c r="N117" i="65"/>
  <c r="P117" i="65"/>
  <c r="AM117" i="65"/>
  <c r="AF115" i="53"/>
  <c r="B118" i="53"/>
  <c r="AK117" i="52" a="1"/>
  <c r="AK117" i="52" s="1"/>
  <c r="P117" i="53"/>
  <c r="F117" i="53"/>
  <c r="N117" i="53"/>
  <c r="D117" i="53"/>
  <c r="E117" i="53"/>
  <c r="L117" i="53"/>
  <c r="J117" i="53"/>
  <c r="M117" i="53"/>
  <c r="I117" i="53"/>
  <c r="O117" i="53"/>
  <c r="AG117" i="53" s="1"/>
  <c r="K117" i="53"/>
  <c r="G117" i="53"/>
  <c r="H117" i="53"/>
  <c r="C117" i="53"/>
  <c r="AT116" i="53"/>
  <c r="R116" i="53"/>
  <c r="X116" i="53" s="1"/>
  <c r="Q116" i="53"/>
  <c r="AC116" i="53"/>
  <c r="AE116" i="53"/>
  <c r="AD116" i="53"/>
  <c r="AH116" i="53"/>
  <c r="AA115" i="53"/>
  <c r="AB115" i="53"/>
  <c r="E117" i="32"/>
  <c r="AL117" i="11" a="1"/>
  <c r="AL117" i="11" s="1"/>
  <c r="M116" i="32"/>
  <c r="G116" i="32"/>
  <c r="AK116" i="32"/>
  <c r="K116" i="32"/>
  <c r="I116" i="32"/>
  <c r="T116" i="32"/>
  <c r="L116" i="32"/>
  <c r="O116" i="32"/>
  <c r="F116" i="32"/>
  <c r="A116" i="32"/>
  <c r="Q116" i="32" s="1"/>
  <c r="P116" i="32" s="1"/>
  <c r="N116" i="32"/>
  <c r="H116" i="32"/>
  <c r="J116" i="32"/>
  <c r="B116" i="32"/>
  <c r="R116" i="32" s="1"/>
  <c r="S116" i="32" s="1"/>
  <c r="V115" i="32"/>
  <c r="AJ115" i="32"/>
  <c r="W115" i="32"/>
  <c r="X115" i="32" s="1"/>
  <c r="C115" i="32"/>
  <c r="Z115" i="32"/>
  <c r="AN114" i="32"/>
  <c r="AL114" i="32"/>
  <c r="AM115" i="32"/>
  <c r="U115" i="32"/>
  <c r="AD115" i="32" s="1"/>
  <c r="AG115" i="32" s="1"/>
  <c r="AH115" i="32" s="1"/>
  <c r="AI115" i="32" s="1"/>
  <c r="Y117" i="65" l="1"/>
  <c r="AB117" i="65" s="1"/>
  <c r="AC117" i="65" s="1"/>
  <c r="AD117" i="65" s="1"/>
  <c r="D118" i="65"/>
  <c r="E118" i="65" s="1"/>
  <c r="F118" i="65" s="1"/>
  <c r="G118" i="65" s="1"/>
  <c r="H118" i="65" s="1"/>
  <c r="I118" i="65" s="1"/>
  <c r="J118" i="65" s="1"/>
  <c r="K118" i="65" s="1"/>
  <c r="AM118" i="65"/>
  <c r="N118" i="65"/>
  <c r="P118" i="65"/>
  <c r="AH117" i="65"/>
  <c r="U117" i="65"/>
  <c r="R117" i="65"/>
  <c r="S117" i="65" s="1"/>
  <c r="Q117" i="65"/>
  <c r="AV117" i="65"/>
  <c r="AE117" i="65"/>
  <c r="AF117" i="65"/>
  <c r="AG116" i="65"/>
  <c r="O119" i="65"/>
  <c r="L119" i="65"/>
  <c r="M119" i="65" s="1"/>
  <c r="C119" i="65"/>
  <c r="B120" i="65"/>
  <c r="AO119" i="63" a="1"/>
  <c r="AO119" i="63" s="1"/>
  <c r="AB116" i="53"/>
  <c r="AA116" i="53"/>
  <c r="AT117" i="53"/>
  <c r="AE117" i="53"/>
  <c r="Q117" i="53"/>
  <c r="AD117" i="53"/>
  <c r="AH117" i="53"/>
  <c r="AC117" i="53"/>
  <c r="R117" i="53"/>
  <c r="X117" i="53" s="1"/>
  <c r="E118" i="53"/>
  <c r="D118" i="53"/>
  <c r="M118" i="53"/>
  <c r="G118" i="53"/>
  <c r="F118" i="53"/>
  <c r="K118" i="53"/>
  <c r="N118" i="53"/>
  <c r="L118" i="53"/>
  <c r="H118" i="53"/>
  <c r="O118" i="53"/>
  <c r="AG118" i="53" s="1"/>
  <c r="P118" i="53"/>
  <c r="C118" i="53"/>
  <c r="I118" i="53"/>
  <c r="J118" i="53"/>
  <c r="AF116" i="53"/>
  <c r="B119" i="53"/>
  <c r="AK118" i="52" a="1"/>
  <c r="AK118" i="52" s="1"/>
  <c r="E118" i="32"/>
  <c r="AL118" i="11" a="1"/>
  <c r="AL118" i="11" s="1"/>
  <c r="AN115" i="32"/>
  <c r="A117" i="32"/>
  <c r="Q117" i="32" s="1"/>
  <c r="P117" i="32" s="1"/>
  <c r="F117" i="32"/>
  <c r="B117" i="32"/>
  <c r="R117" i="32" s="1"/>
  <c r="S117" i="32" s="1"/>
  <c r="N117" i="32"/>
  <c r="T117" i="32"/>
  <c r="K117" i="32"/>
  <c r="O117" i="32"/>
  <c r="H117" i="32"/>
  <c r="AK117" i="32"/>
  <c r="M117" i="32"/>
  <c r="I117" i="32"/>
  <c r="G117" i="32"/>
  <c r="J117" i="32"/>
  <c r="L117" i="32"/>
  <c r="Z116" i="32"/>
  <c r="C116" i="32"/>
  <c r="AJ116" i="32"/>
  <c r="W116" i="32"/>
  <c r="X116" i="32" s="1"/>
  <c r="V116" i="32"/>
  <c r="AL115" i="32"/>
  <c r="U116" i="32"/>
  <c r="AD116" i="32" s="1"/>
  <c r="AG116" i="32" s="1"/>
  <c r="AH116" i="32" s="1"/>
  <c r="AI116" i="32" s="1"/>
  <c r="AM116" i="32"/>
  <c r="D119" i="65" l="1"/>
  <c r="E119" i="65" s="1"/>
  <c r="F119" i="65" s="1"/>
  <c r="G119" i="65" s="1"/>
  <c r="H119" i="65" s="1"/>
  <c r="I119" i="65" s="1"/>
  <c r="J119" i="65" s="1"/>
  <c r="K119" i="65" s="1"/>
  <c r="P119" i="65"/>
  <c r="AM119" i="65"/>
  <c r="N119" i="65"/>
  <c r="B121" i="65"/>
  <c r="AO120" i="63" a="1"/>
  <c r="AO120" i="63" s="1"/>
  <c r="C120" i="65"/>
  <c r="O120" i="65"/>
  <c r="L120" i="65"/>
  <c r="M120" i="65" s="1"/>
  <c r="AG117" i="65"/>
  <c r="AH118" i="65"/>
  <c r="U118" i="65"/>
  <c r="AE118" i="65"/>
  <c r="R118" i="65"/>
  <c r="S118" i="65" s="1"/>
  <c r="Y118" i="65" s="1"/>
  <c r="AB118" i="65" s="1"/>
  <c r="AC118" i="65" s="1"/>
  <c r="AD118" i="65" s="1"/>
  <c r="Q118" i="65"/>
  <c r="AV118" i="65"/>
  <c r="AF118" i="65"/>
  <c r="AG118" i="65" s="1"/>
  <c r="AA117" i="53"/>
  <c r="AB117" i="53"/>
  <c r="B120" i="53"/>
  <c r="AK119" i="52" a="1"/>
  <c r="AK119" i="52" s="1"/>
  <c r="C119" i="53"/>
  <c r="P119" i="53"/>
  <c r="E119" i="53"/>
  <c r="M119" i="53"/>
  <c r="F119" i="53"/>
  <c r="I119" i="53"/>
  <c r="D119" i="53"/>
  <c r="N119" i="53"/>
  <c r="L119" i="53"/>
  <c r="G119" i="53"/>
  <c r="J119" i="53"/>
  <c r="O119" i="53"/>
  <c r="AG119" i="53" s="1"/>
  <c r="K119" i="53"/>
  <c r="H119" i="53"/>
  <c r="AC118" i="53"/>
  <c r="AD118" i="53"/>
  <c r="AH118" i="53"/>
  <c r="Q118" i="53"/>
  <c r="R118" i="53"/>
  <c r="X118" i="53" s="1"/>
  <c r="AE118" i="53"/>
  <c r="AT118" i="53"/>
  <c r="AF117" i="53"/>
  <c r="E119" i="32"/>
  <c r="AL119" i="11" a="1"/>
  <c r="AL119" i="11" s="1"/>
  <c r="AN116" i="32"/>
  <c r="Z117" i="32"/>
  <c r="V117" i="32"/>
  <c r="C117" i="32"/>
  <c r="W117" i="32"/>
  <c r="X117" i="32" s="1"/>
  <c r="AJ117" i="32"/>
  <c r="AM117" i="32"/>
  <c r="U117" i="32"/>
  <c r="AD117" i="32" s="1"/>
  <c r="AG117" i="32" s="1"/>
  <c r="AH117" i="32" s="1"/>
  <c r="AI117" i="32" s="1"/>
  <c r="AL116" i="32"/>
  <c r="A118" i="32"/>
  <c r="Q118" i="32" s="1"/>
  <c r="P118" i="32" s="1"/>
  <c r="L118" i="32"/>
  <c r="B118" i="32"/>
  <c r="R118" i="32" s="1"/>
  <c r="S118" i="32" s="1"/>
  <c r="F118" i="32"/>
  <c r="I118" i="32"/>
  <c r="N118" i="32"/>
  <c r="AK118" i="32"/>
  <c r="M118" i="32"/>
  <c r="T118" i="32"/>
  <c r="G118" i="32"/>
  <c r="K118" i="32"/>
  <c r="J118" i="32"/>
  <c r="O118" i="32"/>
  <c r="H118" i="32"/>
  <c r="B122" i="65" l="1"/>
  <c r="AO121" i="63" a="1"/>
  <c r="AO121" i="63" s="1"/>
  <c r="N120" i="65"/>
  <c r="D120" i="65"/>
  <c r="E120" i="65" s="1"/>
  <c r="F120" i="65" s="1"/>
  <c r="G120" i="65" s="1"/>
  <c r="H120" i="65" s="1"/>
  <c r="I120" i="65" s="1"/>
  <c r="J120" i="65" s="1"/>
  <c r="K120" i="65" s="1"/>
  <c r="AM120" i="65"/>
  <c r="P120" i="65"/>
  <c r="U119" i="65"/>
  <c r="Q119" i="65"/>
  <c r="R119" i="65"/>
  <c r="S119" i="65" s="1"/>
  <c r="Y119" i="65" s="1"/>
  <c r="AB119" i="65" s="1"/>
  <c r="AC119" i="65" s="1"/>
  <c r="AD119" i="65" s="1"/>
  <c r="AV119" i="65"/>
  <c r="AE119" i="65"/>
  <c r="AF119" i="65"/>
  <c r="AH119" i="65"/>
  <c r="L121" i="65"/>
  <c r="M121" i="65" s="1"/>
  <c r="C121" i="65"/>
  <c r="O121" i="65"/>
  <c r="AA118" i="53"/>
  <c r="AB118" i="53"/>
  <c r="AF118" i="53"/>
  <c r="AE119" i="53"/>
  <c r="Q119" i="53"/>
  <c r="R119" i="53"/>
  <c r="X119" i="53" s="1"/>
  <c r="AD119" i="53"/>
  <c r="AH119" i="53"/>
  <c r="AC119" i="53"/>
  <c r="AT119" i="53"/>
  <c r="B121" i="53"/>
  <c r="AK120" i="52" a="1"/>
  <c r="AK120" i="52" s="1"/>
  <c r="K120" i="53"/>
  <c r="E120" i="53"/>
  <c r="D120" i="53"/>
  <c r="P120" i="53"/>
  <c r="M120" i="53"/>
  <c r="I120" i="53"/>
  <c r="O120" i="53"/>
  <c r="AG120" i="53" s="1"/>
  <c r="H120" i="53"/>
  <c r="L120" i="53"/>
  <c r="J120" i="53"/>
  <c r="F120" i="53"/>
  <c r="C120" i="53"/>
  <c r="N120" i="53"/>
  <c r="G120" i="53"/>
  <c r="E120" i="32"/>
  <c r="AL120" i="11" a="1"/>
  <c r="AL120" i="11" s="1"/>
  <c r="G119" i="32"/>
  <c r="L119" i="32"/>
  <c r="AK119" i="32"/>
  <c r="I119" i="32"/>
  <c r="T119" i="32"/>
  <c r="M119" i="32"/>
  <c r="K119" i="32"/>
  <c r="O119" i="32"/>
  <c r="F119" i="32"/>
  <c r="N119" i="32"/>
  <c r="H119" i="32"/>
  <c r="J119" i="32"/>
  <c r="A119" i="32"/>
  <c r="Q119" i="32" s="1"/>
  <c r="P119" i="32" s="1"/>
  <c r="B119" i="32"/>
  <c r="R119" i="32" s="1"/>
  <c r="S119" i="32" s="1"/>
  <c r="AL117" i="32"/>
  <c r="AM118" i="32"/>
  <c r="U118" i="32"/>
  <c r="AD118" i="32" s="1"/>
  <c r="AG118" i="32" s="1"/>
  <c r="AH118" i="32" s="1"/>
  <c r="AI118" i="32" s="1"/>
  <c r="AN118" i="32" s="1"/>
  <c r="Z118" i="32"/>
  <c r="AJ118" i="32"/>
  <c r="C118" i="32"/>
  <c r="W118" i="32"/>
  <c r="X118" i="32" s="1"/>
  <c r="V118" i="32"/>
  <c r="AN117" i="32"/>
  <c r="B123" i="65" l="1"/>
  <c r="AO122" i="63" a="1"/>
  <c r="AO122" i="63" s="1"/>
  <c r="C122" i="65"/>
  <c r="L122" i="65"/>
  <c r="M122" i="65" s="1"/>
  <c r="O122" i="65"/>
  <c r="P121" i="65"/>
  <c r="D121" i="65"/>
  <c r="E121" i="65" s="1"/>
  <c r="F121" i="65" s="1"/>
  <c r="G121" i="65" s="1"/>
  <c r="H121" i="65" s="1"/>
  <c r="I121" i="65" s="1"/>
  <c r="J121" i="65" s="1"/>
  <c r="K121" i="65" s="1"/>
  <c r="AM121" i="65"/>
  <c r="N121" i="65"/>
  <c r="AG119" i="65"/>
  <c r="Q120" i="65"/>
  <c r="U120" i="65"/>
  <c r="AH120" i="65"/>
  <c r="AF120" i="65"/>
  <c r="AV120" i="65"/>
  <c r="AE120" i="65"/>
  <c r="R120" i="65"/>
  <c r="S120" i="65" s="1"/>
  <c r="Y120" i="65" s="1"/>
  <c r="AB120" i="65" s="1"/>
  <c r="AC120" i="65" s="1"/>
  <c r="AD120" i="65" s="1"/>
  <c r="AT120" i="53"/>
  <c r="AD120" i="53"/>
  <c r="R120" i="53"/>
  <c r="X120" i="53" s="1"/>
  <c r="AE120" i="53"/>
  <c r="Q120" i="53"/>
  <c r="AH120" i="53"/>
  <c r="AC120" i="53"/>
  <c r="AB119" i="53"/>
  <c r="AA119" i="53"/>
  <c r="B122" i="53"/>
  <c r="AK121" i="52" a="1"/>
  <c r="AK121" i="52" s="1"/>
  <c r="AF119" i="53"/>
  <c r="O121" i="53"/>
  <c r="L121" i="53"/>
  <c r="M121" i="53"/>
  <c r="D121" i="53"/>
  <c r="G121" i="53"/>
  <c r="J121" i="53"/>
  <c r="N121" i="53"/>
  <c r="F121" i="53"/>
  <c r="C121" i="53"/>
  <c r="P121" i="53"/>
  <c r="K121" i="53"/>
  <c r="H121" i="53"/>
  <c r="I121" i="53"/>
  <c r="E121" i="53"/>
  <c r="U119" i="32"/>
  <c r="AD119" i="32" s="1"/>
  <c r="AG119" i="32" s="1"/>
  <c r="AH119" i="32" s="1"/>
  <c r="AI119" i="32" s="1"/>
  <c r="AM119" i="32"/>
  <c r="AL118" i="32"/>
  <c r="B120" i="32"/>
  <c r="R120" i="32" s="1"/>
  <c r="S120" i="32" s="1"/>
  <c r="H120" i="32"/>
  <c r="M120" i="32"/>
  <c r="J120" i="32"/>
  <c r="T120" i="32"/>
  <c r="K120" i="32"/>
  <c r="G120" i="32"/>
  <c r="O120" i="32"/>
  <c r="L120" i="32"/>
  <c r="I120" i="32"/>
  <c r="A120" i="32"/>
  <c r="Q120" i="32" s="1"/>
  <c r="P120" i="32" s="1"/>
  <c r="AK120" i="32"/>
  <c r="F120" i="32"/>
  <c r="N120" i="32"/>
  <c r="V119" i="32"/>
  <c r="Z119" i="32"/>
  <c r="W119" i="32"/>
  <c r="X119" i="32" s="1"/>
  <c r="C119" i="32"/>
  <c r="AJ119" i="32"/>
  <c r="E121" i="32"/>
  <c r="AL121" i="11" a="1"/>
  <c r="AL121" i="11" s="1"/>
  <c r="R121" i="65" l="1"/>
  <c r="S121" i="65" s="1"/>
  <c r="Y121" i="65" s="1"/>
  <c r="AB121" i="65" s="1"/>
  <c r="AC121" i="65" s="1"/>
  <c r="AD121" i="65" s="1"/>
  <c r="Q121" i="65"/>
  <c r="AE121" i="65"/>
  <c r="AV121" i="65"/>
  <c r="AF121" i="65"/>
  <c r="U121" i="65"/>
  <c r="AH121" i="65"/>
  <c r="L123" i="65"/>
  <c r="M123" i="65" s="1"/>
  <c r="C123" i="65"/>
  <c r="O123" i="65"/>
  <c r="AG120" i="65"/>
  <c r="N122" i="65"/>
  <c r="P122" i="65"/>
  <c r="AM122" i="65"/>
  <c r="D122" i="65"/>
  <c r="E122" i="65" s="1"/>
  <c r="F122" i="65" s="1"/>
  <c r="G122" i="65" s="1"/>
  <c r="H122" i="65" s="1"/>
  <c r="I122" i="65" s="1"/>
  <c r="J122" i="65" s="1"/>
  <c r="K122" i="65" s="1"/>
  <c r="B124" i="65"/>
  <c r="AO123" i="63" a="1"/>
  <c r="AO123" i="63" s="1"/>
  <c r="AF120" i="53"/>
  <c r="M122" i="53"/>
  <c r="D122" i="53"/>
  <c r="F122" i="53"/>
  <c r="E122" i="53"/>
  <c r="P122" i="53"/>
  <c r="K122" i="53"/>
  <c r="H122" i="53"/>
  <c r="J122" i="53"/>
  <c r="L122" i="53"/>
  <c r="O122" i="53"/>
  <c r="AG122" i="53" s="1"/>
  <c r="G122" i="53"/>
  <c r="I122" i="53"/>
  <c r="N122" i="53"/>
  <c r="C122" i="53"/>
  <c r="AC121" i="53"/>
  <c r="R121" i="53"/>
  <c r="X121" i="53" s="1"/>
  <c r="Q121" i="53"/>
  <c r="AE121" i="53"/>
  <c r="AD121" i="53"/>
  <c r="AH121" i="53"/>
  <c r="AT121" i="53"/>
  <c r="AG121" i="53"/>
  <c r="B123" i="53"/>
  <c r="AK122" i="52" a="1"/>
  <c r="AK122" i="52" s="1"/>
  <c r="AB120" i="53"/>
  <c r="AA120" i="53"/>
  <c r="AL119" i="32"/>
  <c r="E122" i="32"/>
  <c r="AL122" i="11" a="1"/>
  <c r="AL122" i="11" s="1"/>
  <c r="G121" i="32"/>
  <c r="AK121" i="32"/>
  <c r="I121" i="32"/>
  <c r="M121" i="32"/>
  <c r="T121" i="32"/>
  <c r="J121" i="32"/>
  <c r="B121" i="32"/>
  <c r="R121" i="32" s="1"/>
  <c r="S121" i="32" s="1"/>
  <c r="N121" i="32"/>
  <c r="L121" i="32"/>
  <c r="F121" i="32"/>
  <c r="H121" i="32"/>
  <c r="K121" i="32"/>
  <c r="O121" i="32"/>
  <c r="A121" i="32"/>
  <c r="Q121" i="32" s="1"/>
  <c r="P121" i="32" s="1"/>
  <c r="U120" i="32"/>
  <c r="AD120" i="32" s="1"/>
  <c r="AG120" i="32" s="1"/>
  <c r="AH120" i="32" s="1"/>
  <c r="AI120" i="32" s="1"/>
  <c r="AM120" i="32"/>
  <c r="V120" i="32"/>
  <c r="C120" i="32"/>
  <c r="AJ120" i="32"/>
  <c r="Z120" i="32"/>
  <c r="W120" i="32"/>
  <c r="X120" i="32" s="1"/>
  <c r="AN119" i="32"/>
  <c r="B125" i="65" l="1"/>
  <c r="AO124" i="63" a="1"/>
  <c r="AO124" i="63" s="1"/>
  <c r="AM123" i="65"/>
  <c r="D123" i="65"/>
  <c r="E123" i="65" s="1"/>
  <c r="F123" i="65" s="1"/>
  <c r="G123" i="65" s="1"/>
  <c r="H123" i="65" s="1"/>
  <c r="I123" i="65" s="1"/>
  <c r="J123" i="65" s="1"/>
  <c r="K123" i="65" s="1"/>
  <c r="N123" i="65"/>
  <c r="P123" i="65"/>
  <c r="C124" i="65"/>
  <c r="L124" i="65"/>
  <c r="M124" i="65" s="1"/>
  <c r="O124" i="65"/>
  <c r="AG121" i="65"/>
  <c r="AE122" i="65"/>
  <c r="U122" i="65"/>
  <c r="AF122" i="65"/>
  <c r="AH122" i="65"/>
  <c r="AV122" i="65"/>
  <c r="Q122" i="65"/>
  <c r="R122" i="65"/>
  <c r="S122" i="65" s="1"/>
  <c r="Y122" i="65" s="1"/>
  <c r="AB122" i="65" s="1"/>
  <c r="AC122" i="65" s="1"/>
  <c r="AD122" i="65" s="1"/>
  <c r="AA121" i="53"/>
  <c r="AB121" i="53"/>
  <c r="AF121" i="53"/>
  <c r="M123" i="53"/>
  <c r="J123" i="53"/>
  <c r="C123" i="53"/>
  <c r="I123" i="53"/>
  <c r="K123" i="53"/>
  <c r="G123" i="53"/>
  <c r="L123" i="53"/>
  <c r="H123" i="53"/>
  <c r="N123" i="53"/>
  <c r="D123" i="53"/>
  <c r="P123" i="53"/>
  <c r="O123" i="53"/>
  <c r="E123" i="53"/>
  <c r="F123" i="53"/>
  <c r="B124" i="53"/>
  <c r="AK123" i="52" a="1"/>
  <c r="AK123" i="52" s="1"/>
  <c r="AD122" i="53"/>
  <c r="R122" i="53"/>
  <c r="X122" i="53" s="1"/>
  <c r="Q122" i="53"/>
  <c r="AE122" i="53"/>
  <c r="AT122" i="53"/>
  <c r="AC122" i="53"/>
  <c r="AH122" i="53"/>
  <c r="C121" i="32"/>
  <c r="V121" i="32"/>
  <c r="AJ121" i="32"/>
  <c r="W121" i="32"/>
  <c r="X121" i="32" s="1"/>
  <c r="Z121" i="32"/>
  <c r="A122" i="32"/>
  <c r="Q122" i="32" s="1"/>
  <c r="P122" i="32" s="1"/>
  <c r="J122" i="32"/>
  <c r="B122" i="32"/>
  <c r="R122" i="32" s="1"/>
  <c r="S122" i="32" s="1"/>
  <c r="L122" i="32"/>
  <c r="I122" i="32"/>
  <c r="K122" i="32"/>
  <c r="O122" i="32"/>
  <c r="G122" i="32"/>
  <c r="H122" i="32"/>
  <c r="N122" i="32"/>
  <c r="F122" i="32"/>
  <c r="AK122" i="32"/>
  <c r="M122" i="32"/>
  <c r="T122" i="32"/>
  <c r="AN120" i="32"/>
  <c r="U121" i="32"/>
  <c r="AD121" i="32" s="1"/>
  <c r="AG121" i="32" s="1"/>
  <c r="AH121" i="32" s="1"/>
  <c r="AI121" i="32" s="1"/>
  <c r="AM121" i="32"/>
  <c r="AL120" i="32"/>
  <c r="E123" i="32"/>
  <c r="AL123" i="11" a="1"/>
  <c r="AL123" i="11" s="1"/>
  <c r="L125" i="65" l="1"/>
  <c r="M125" i="65" s="1"/>
  <c r="O125" i="65"/>
  <c r="C125" i="65"/>
  <c r="B126" i="65"/>
  <c r="AO125" i="63" a="1"/>
  <c r="AO125" i="63" s="1"/>
  <c r="N124" i="65"/>
  <c r="D124" i="65"/>
  <c r="E124" i="65" s="1"/>
  <c r="F124" i="65" s="1"/>
  <c r="G124" i="65" s="1"/>
  <c r="H124" i="65" s="1"/>
  <c r="I124" i="65" s="1"/>
  <c r="J124" i="65" s="1"/>
  <c r="K124" i="65" s="1"/>
  <c r="AM124" i="65"/>
  <c r="P124" i="65"/>
  <c r="Y123" i="65"/>
  <c r="AB123" i="65" s="1"/>
  <c r="AC123" i="65" s="1"/>
  <c r="AD123" i="65" s="1"/>
  <c r="AG122" i="65"/>
  <c r="R123" i="65"/>
  <c r="S123" i="65" s="1"/>
  <c r="AF123" i="65"/>
  <c r="AG123" i="65" s="1"/>
  <c r="AH123" i="65"/>
  <c r="U123" i="65"/>
  <c r="AV123" i="65"/>
  <c r="Q123" i="65"/>
  <c r="AE123" i="65"/>
  <c r="I124" i="53"/>
  <c r="C124" i="53"/>
  <c r="F124" i="53"/>
  <c r="P124" i="53"/>
  <c r="D124" i="53"/>
  <c r="M124" i="53"/>
  <c r="J124" i="53"/>
  <c r="O124" i="53"/>
  <c r="AG124" i="53" s="1"/>
  <c r="H124" i="53"/>
  <c r="L124" i="53"/>
  <c r="K124" i="53"/>
  <c r="N124" i="53"/>
  <c r="E124" i="53"/>
  <c r="G124" i="53"/>
  <c r="AF122" i="53"/>
  <c r="AG123" i="53"/>
  <c r="AB122" i="53"/>
  <c r="AA122" i="53"/>
  <c r="Q123" i="53"/>
  <c r="R123" i="53"/>
  <c r="X123" i="53" s="1"/>
  <c r="AE123" i="53"/>
  <c r="AT123" i="53"/>
  <c r="AH123" i="53"/>
  <c r="AC123" i="53"/>
  <c r="AD123" i="53"/>
  <c r="B125" i="53"/>
  <c r="AK124" i="52" a="1"/>
  <c r="AK124" i="52" s="1"/>
  <c r="H123" i="32"/>
  <c r="T123" i="32"/>
  <c r="J123" i="32"/>
  <c r="O123" i="32"/>
  <c r="AK123" i="32"/>
  <c r="G123" i="32"/>
  <c r="M123" i="32"/>
  <c r="I123" i="32"/>
  <c r="L123" i="32"/>
  <c r="A123" i="32"/>
  <c r="Q123" i="32" s="1"/>
  <c r="P123" i="32" s="1"/>
  <c r="K123" i="32"/>
  <c r="B123" i="32"/>
  <c r="R123" i="32" s="1"/>
  <c r="S123" i="32" s="1"/>
  <c r="F123" i="32"/>
  <c r="N123" i="32"/>
  <c r="C122" i="32"/>
  <c r="AJ122" i="32"/>
  <c r="V122" i="32"/>
  <c r="Z122" i="32"/>
  <c r="W122" i="32"/>
  <c r="X122" i="32" s="1"/>
  <c r="AL121" i="32"/>
  <c r="U122" i="32"/>
  <c r="AD122" i="32" s="1"/>
  <c r="AG122" i="32" s="1"/>
  <c r="AH122" i="32" s="1"/>
  <c r="AI122" i="32" s="1"/>
  <c r="AM122" i="32"/>
  <c r="E124" i="32"/>
  <c r="AL124" i="11" a="1"/>
  <c r="AL124" i="11" s="1"/>
  <c r="AN121" i="32"/>
  <c r="N125" i="65" l="1"/>
  <c r="P125" i="65"/>
  <c r="D125" i="65"/>
  <c r="E125" i="65" s="1"/>
  <c r="F125" i="65" s="1"/>
  <c r="G125" i="65" s="1"/>
  <c r="H125" i="65" s="1"/>
  <c r="I125" i="65" s="1"/>
  <c r="J125" i="65" s="1"/>
  <c r="K125" i="65" s="1"/>
  <c r="AM125" i="65"/>
  <c r="AV124" i="65"/>
  <c r="Q124" i="65"/>
  <c r="AE124" i="65"/>
  <c r="AH124" i="65"/>
  <c r="U124" i="65"/>
  <c r="R124" i="65"/>
  <c r="S124" i="65" s="1"/>
  <c r="Y124" i="65" s="1"/>
  <c r="AB124" i="65" s="1"/>
  <c r="AC124" i="65" s="1"/>
  <c r="AD124" i="65" s="1"/>
  <c r="AF124" i="65"/>
  <c r="B127" i="65"/>
  <c r="AO126" i="63" a="1"/>
  <c r="AO126" i="63" s="1"/>
  <c r="L126" i="65"/>
  <c r="M126" i="65" s="1"/>
  <c r="C126" i="65"/>
  <c r="O126" i="65"/>
  <c r="AB123" i="53"/>
  <c r="AA123" i="53"/>
  <c r="AF123" i="53"/>
  <c r="AD124" i="53"/>
  <c r="AT124" i="53"/>
  <c r="AC124" i="53"/>
  <c r="Q124" i="53"/>
  <c r="AE124" i="53"/>
  <c r="AH124" i="53"/>
  <c r="R124" i="53"/>
  <c r="X124" i="53" s="1"/>
  <c r="B126" i="53"/>
  <c r="AK125" i="52" a="1"/>
  <c r="AK125" i="52" s="1"/>
  <c r="G125" i="53"/>
  <c r="K125" i="53"/>
  <c r="L125" i="53"/>
  <c r="J125" i="53"/>
  <c r="C125" i="53"/>
  <c r="P125" i="53"/>
  <c r="E125" i="53"/>
  <c r="N125" i="53"/>
  <c r="H125" i="53"/>
  <c r="D125" i="53"/>
  <c r="I125" i="53"/>
  <c r="F125" i="53"/>
  <c r="M125" i="53"/>
  <c r="O125" i="53"/>
  <c r="AG125" i="53" s="1"/>
  <c r="AN122" i="32"/>
  <c r="B124" i="32"/>
  <c r="R124" i="32" s="1"/>
  <c r="S124" i="32" s="1"/>
  <c r="H124" i="32"/>
  <c r="J124" i="32"/>
  <c r="M124" i="32"/>
  <c r="O124" i="32"/>
  <c r="L124" i="32"/>
  <c r="AK124" i="32"/>
  <c r="K124" i="32"/>
  <c r="F124" i="32"/>
  <c r="T124" i="32"/>
  <c r="N124" i="32"/>
  <c r="G124" i="32"/>
  <c r="A124" i="32"/>
  <c r="Q124" i="32" s="1"/>
  <c r="P124" i="32" s="1"/>
  <c r="I124" i="32"/>
  <c r="AL122" i="32"/>
  <c r="U123" i="32"/>
  <c r="AD123" i="32" s="1"/>
  <c r="AG123" i="32" s="1"/>
  <c r="AH123" i="32" s="1"/>
  <c r="AI123" i="32" s="1"/>
  <c r="AM123" i="32"/>
  <c r="V123" i="32"/>
  <c r="AJ123" i="32"/>
  <c r="W123" i="32"/>
  <c r="X123" i="32" s="1"/>
  <c r="Z123" i="32"/>
  <c r="C123" i="32"/>
  <c r="E125" i="32"/>
  <c r="AL125" i="11" a="1"/>
  <c r="AL125" i="11" s="1"/>
  <c r="R125" i="65" l="1"/>
  <c r="S125" i="65" s="1"/>
  <c r="AH125" i="65"/>
  <c r="Q125" i="65"/>
  <c r="AF125" i="65"/>
  <c r="AE125" i="65"/>
  <c r="U125" i="65"/>
  <c r="AV125" i="65"/>
  <c r="AM126" i="65"/>
  <c r="N126" i="65"/>
  <c r="D126" i="65"/>
  <c r="E126" i="65" s="1"/>
  <c r="F126" i="65" s="1"/>
  <c r="G126" i="65" s="1"/>
  <c r="H126" i="65" s="1"/>
  <c r="I126" i="65" s="1"/>
  <c r="J126" i="65" s="1"/>
  <c r="K126" i="65" s="1"/>
  <c r="P126" i="65"/>
  <c r="B128" i="65"/>
  <c r="AO127" i="63" a="1"/>
  <c r="AO127" i="63" s="1"/>
  <c r="C127" i="65"/>
  <c r="O127" i="65"/>
  <c r="L127" i="65"/>
  <c r="M127" i="65" s="1"/>
  <c r="AG124" i="65"/>
  <c r="Y125" i="65"/>
  <c r="AB125" i="65" s="1"/>
  <c r="AC125" i="65" s="1"/>
  <c r="AD125" i="65" s="1"/>
  <c r="AF124" i="53"/>
  <c r="B127" i="53"/>
  <c r="AK126" i="52" a="1"/>
  <c r="AK126" i="52" s="1"/>
  <c r="D126" i="53"/>
  <c r="M126" i="53"/>
  <c r="F126" i="53"/>
  <c r="C126" i="53"/>
  <c r="J126" i="53"/>
  <c r="K126" i="53"/>
  <c r="N126" i="53"/>
  <c r="H126" i="53"/>
  <c r="I126" i="53"/>
  <c r="G126" i="53"/>
  <c r="O126" i="53"/>
  <c r="L126" i="53"/>
  <c r="P126" i="53"/>
  <c r="E126" i="53"/>
  <c r="AB124" i="53"/>
  <c r="AA124" i="53"/>
  <c r="AH125" i="53"/>
  <c r="AE125" i="53"/>
  <c r="AT125" i="53"/>
  <c r="Q125" i="53"/>
  <c r="AC125" i="53"/>
  <c r="R125" i="53"/>
  <c r="X125" i="53" s="1"/>
  <c r="AD125" i="53"/>
  <c r="AN123" i="32"/>
  <c r="E126" i="32"/>
  <c r="AL126" i="11" a="1"/>
  <c r="AL126" i="11" s="1"/>
  <c r="Z124" i="32"/>
  <c r="C124" i="32"/>
  <c r="W124" i="32"/>
  <c r="X124" i="32" s="1"/>
  <c r="V124" i="32"/>
  <c r="AJ124" i="32"/>
  <c r="B125" i="32"/>
  <c r="R125" i="32" s="1"/>
  <c r="S125" i="32" s="1"/>
  <c r="N125" i="32"/>
  <c r="K125" i="32"/>
  <c r="T125" i="32"/>
  <c r="AK125" i="32"/>
  <c r="H125" i="32"/>
  <c r="J125" i="32"/>
  <c r="I125" i="32"/>
  <c r="O125" i="32"/>
  <c r="L125" i="32"/>
  <c r="F125" i="32"/>
  <c r="G125" i="32"/>
  <c r="A125" i="32"/>
  <c r="Q125" i="32" s="1"/>
  <c r="P125" i="32" s="1"/>
  <c r="M125" i="32"/>
  <c r="AL123" i="32"/>
  <c r="U124" i="32"/>
  <c r="AD124" i="32" s="1"/>
  <c r="AG124" i="32" s="1"/>
  <c r="AH124" i="32" s="1"/>
  <c r="AI124" i="32" s="1"/>
  <c r="AM124" i="32"/>
  <c r="N127" i="65" l="1"/>
  <c r="AM127" i="65"/>
  <c r="P127" i="65"/>
  <c r="D127" i="65"/>
  <c r="E127" i="65" s="1"/>
  <c r="F127" i="65" s="1"/>
  <c r="G127" i="65" s="1"/>
  <c r="H127" i="65" s="1"/>
  <c r="I127" i="65" s="1"/>
  <c r="J127" i="65" s="1"/>
  <c r="K127" i="65" s="1"/>
  <c r="AV126" i="65"/>
  <c r="AF126" i="65"/>
  <c r="AH126" i="65"/>
  <c r="AE126" i="65"/>
  <c r="U126" i="65"/>
  <c r="R126" i="65"/>
  <c r="S126" i="65" s="1"/>
  <c r="Q126" i="65"/>
  <c r="B129" i="65"/>
  <c r="AO128" i="63" a="1"/>
  <c r="AO128" i="63" s="1"/>
  <c r="O128" i="65"/>
  <c r="C128" i="65"/>
  <c r="L128" i="65"/>
  <c r="M128" i="65" s="1"/>
  <c r="AG125" i="65"/>
  <c r="Y126" i="65"/>
  <c r="AB126" i="65" s="1"/>
  <c r="AC126" i="65" s="1"/>
  <c r="AD126" i="65" s="1"/>
  <c r="AG126" i="53"/>
  <c r="AF125" i="53"/>
  <c r="R126" i="53"/>
  <c r="X126" i="53" s="1"/>
  <c r="AE126" i="53"/>
  <c r="AT126" i="53"/>
  <c r="AD126" i="53"/>
  <c r="AH126" i="53"/>
  <c r="AC126" i="53"/>
  <c r="Q126" i="53"/>
  <c r="B128" i="53"/>
  <c r="AK127" i="52" a="1"/>
  <c r="AK127" i="52" s="1"/>
  <c r="D127" i="53"/>
  <c r="N127" i="53"/>
  <c r="L127" i="53"/>
  <c r="M127" i="53"/>
  <c r="G127" i="53"/>
  <c r="E127" i="53"/>
  <c r="O127" i="53"/>
  <c r="AG127" i="53" s="1"/>
  <c r="P127" i="53"/>
  <c r="F127" i="53"/>
  <c r="H127" i="53"/>
  <c r="I127" i="53"/>
  <c r="K127" i="53"/>
  <c r="C127" i="53"/>
  <c r="J127" i="53"/>
  <c r="AB125" i="53"/>
  <c r="AA125" i="53"/>
  <c r="AL124" i="32"/>
  <c r="AM125" i="32"/>
  <c r="U125" i="32"/>
  <c r="AD125" i="32" s="1"/>
  <c r="AG125" i="32" s="1"/>
  <c r="AH125" i="32" s="1"/>
  <c r="AI125" i="32" s="1"/>
  <c r="AN124" i="32"/>
  <c r="Z125" i="32"/>
  <c r="C125" i="32"/>
  <c r="W125" i="32"/>
  <c r="X125" i="32" s="1"/>
  <c r="V125" i="32"/>
  <c r="AJ125" i="32"/>
  <c r="E127" i="32"/>
  <c r="AL127" i="11" a="1"/>
  <c r="AL127" i="11" s="1"/>
  <c r="AK126" i="32"/>
  <c r="G126" i="32"/>
  <c r="K126" i="32"/>
  <c r="J126" i="32"/>
  <c r="T126" i="32"/>
  <c r="I126" i="32"/>
  <c r="A126" i="32"/>
  <c r="Q126" i="32" s="1"/>
  <c r="P126" i="32" s="1"/>
  <c r="N126" i="32"/>
  <c r="B126" i="32"/>
  <c r="R126" i="32" s="1"/>
  <c r="S126" i="32" s="1"/>
  <c r="M126" i="32"/>
  <c r="O126" i="32"/>
  <c r="H126" i="32"/>
  <c r="L126" i="32"/>
  <c r="F126" i="32"/>
  <c r="Q127" i="65" l="1"/>
  <c r="U127" i="65"/>
  <c r="AH127" i="65"/>
  <c r="AV127" i="65"/>
  <c r="AE127" i="65"/>
  <c r="R127" i="65"/>
  <c r="S127" i="65" s="1"/>
  <c r="Y127" i="65" s="1"/>
  <c r="AB127" i="65" s="1"/>
  <c r="AC127" i="65" s="1"/>
  <c r="AD127" i="65" s="1"/>
  <c r="AF127" i="65"/>
  <c r="N128" i="65"/>
  <c r="P128" i="65"/>
  <c r="AM128" i="65"/>
  <c r="D128" i="65"/>
  <c r="E128" i="65" s="1"/>
  <c r="F128" i="65" s="1"/>
  <c r="G128" i="65" s="1"/>
  <c r="H128" i="65" s="1"/>
  <c r="I128" i="65" s="1"/>
  <c r="J128" i="65" s="1"/>
  <c r="K128" i="65" s="1"/>
  <c r="AG126" i="65"/>
  <c r="B130" i="65"/>
  <c r="AO129" i="63" a="1"/>
  <c r="AO129" i="63" s="1"/>
  <c r="O129" i="65"/>
  <c r="L129" i="65"/>
  <c r="M129" i="65" s="1"/>
  <c r="C129" i="65"/>
  <c r="AE127" i="53"/>
  <c r="R127" i="53"/>
  <c r="X127" i="53" s="1"/>
  <c r="Q127" i="53"/>
  <c r="AT127" i="53"/>
  <c r="AH127" i="53"/>
  <c r="AC127" i="53"/>
  <c r="AD127" i="53"/>
  <c r="B129" i="53"/>
  <c r="AK128" i="52" a="1"/>
  <c r="AK128" i="52" s="1"/>
  <c r="M128" i="53"/>
  <c r="J128" i="53"/>
  <c r="D128" i="53"/>
  <c r="O128" i="53"/>
  <c r="K128" i="53"/>
  <c r="I128" i="53"/>
  <c r="N128" i="53"/>
  <c r="F128" i="53"/>
  <c r="G128" i="53"/>
  <c r="E128" i="53"/>
  <c r="H128" i="53"/>
  <c r="P128" i="53"/>
  <c r="C128" i="53"/>
  <c r="L128" i="53"/>
  <c r="AF126" i="53"/>
  <c r="AA126" i="53"/>
  <c r="AB126" i="53"/>
  <c r="I127" i="32"/>
  <c r="B127" i="32"/>
  <c r="R127" i="32" s="1"/>
  <c r="S127" i="32" s="1"/>
  <c r="J127" i="32"/>
  <c r="F127" i="32"/>
  <c r="N127" i="32"/>
  <c r="H127" i="32"/>
  <c r="A127" i="32"/>
  <c r="Q127" i="32" s="1"/>
  <c r="P127" i="32" s="1"/>
  <c r="G127" i="32"/>
  <c r="AK127" i="32"/>
  <c r="L127" i="32"/>
  <c r="K127" i="32"/>
  <c r="T127" i="32"/>
  <c r="O127" i="32"/>
  <c r="M127" i="32"/>
  <c r="U126" i="32"/>
  <c r="AD126" i="32" s="1"/>
  <c r="AG126" i="32" s="1"/>
  <c r="AH126" i="32" s="1"/>
  <c r="AI126" i="32" s="1"/>
  <c r="AN126" i="32" s="1"/>
  <c r="AM126" i="32"/>
  <c r="AL125" i="32"/>
  <c r="AN125" i="32"/>
  <c r="V126" i="32"/>
  <c r="Z126" i="32"/>
  <c r="C126" i="32"/>
  <c r="W126" i="32"/>
  <c r="X126" i="32" s="1"/>
  <c r="AJ126" i="32"/>
  <c r="E128" i="32"/>
  <c r="AL128" i="11" a="1"/>
  <c r="AL128" i="11" s="1"/>
  <c r="P129" i="65" l="1"/>
  <c r="N129" i="65"/>
  <c r="D129" i="65"/>
  <c r="E129" i="65" s="1"/>
  <c r="F129" i="65" s="1"/>
  <c r="G129" i="65" s="1"/>
  <c r="H129" i="65" s="1"/>
  <c r="I129" i="65" s="1"/>
  <c r="J129" i="65" s="1"/>
  <c r="K129" i="65" s="1"/>
  <c r="AM129" i="65"/>
  <c r="AV128" i="65"/>
  <c r="AF128" i="65"/>
  <c r="U128" i="65"/>
  <c r="R128" i="65"/>
  <c r="S128" i="65" s="1"/>
  <c r="Y128" i="65" s="1"/>
  <c r="AB128" i="65" s="1"/>
  <c r="AC128" i="65" s="1"/>
  <c r="AD128" i="65" s="1"/>
  <c r="Q128" i="65"/>
  <c r="AE128" i="65"/>
  <c r="AH128" i="65"/>
  <c r="AG127" i="65"/>
  <c r="O130" i="65"/>
  <c r="C130" i="65"/>
  <c r="L130" i="65"/>
  <c r="M130" i="65" s="1"/>
  <c r="B131" i="65"/>
  <c r="AO130" i="63" a="1"/>
  <c r="AO130" i="63" s="1"/>
  <c r="Q128" i="53"/>
  <c r="AD128" i="53"/>
  <c r="AE128" i="53"/>
  <c r="AC128" i="53"/>
  <c r="R128" i="53"/>
  <c r="X128" i="53" s="1"/>
  <c r="AT128" i="53"/>
  <c r="AH128" i="53"/>
  <c r="H129" i="53"/>
  <c r="J129" i="53"/>
  <c r="E129" i="53"/>
  <c r="D129" i="53"/>
  <c r="F129" i="53"/>
  <c r="P129" i="53"/>
  <c r="I129" i="53"/>
  <c r="N129" i="53"/>
  <c r="L129" i="53"/>
  <c r="M129" i="53"/>
  <c r="O129" i="53"/>
  <c r="AG129" i="53" s="1"/>
  <c r="C129" i="53"/>
  <c r="K129" i="53"/>
  <c r="G129" i="53"/>
  <c r="AG128" i="53"/>
  <c r="AB127" i="53"/>
  <c r="AA127" i="53"/>
  <c r="B130" i="53"/>
  <c r="AK129" i="52" a="1"/>
  <c r="AK129" i="52" s="1"/>
  <c r="AF127" i="53"/>
  <c r="C127" i="32"/>
  <c r="Z127" i="32"/>
  <c r="W127" i="32"/>
  <c r="X127" i="32" s="1"/>
  <c r="V127" i="32"/>
  <c r="AJ127" i="32"/>
  <c r="J128" i="32"/>
  <c r="AK128" i="32"/>
  <c r="A128" i="32"/>
  <c r="Q128" i="32" s="1"/>
  <c r="P128" i="32" s="1"/>
  <c r="M128" i="32"/>
  <c r="I128" i="32"/>
  <c r="G128" i="32"/>
  <c r="K128" i="32"/>
  <c r="L128" i="32"/>
  <c r="T128" i="32"/>
  <c r="F128" i="32"/>
  <c r="O128" i="32"/>
  <c r="N128" i="32"/>
  <c r="B128" i="32"/>
  <c r="R128" i="32" s="1"/>
  <c r="S128" i="32" s="1"/>
  <c r="H128" i="32"/>
  <c r="AL126" i="32"/>
  <c r="U127" i="32"/>
  <c r="AD127" i="32" s="1"/>
  <c r="AG127" i="32" s="1"/>
  <c r="AH127" i="32" s="1"/>
  <c r="AI127" i="32" s="1"/>
  <c r="AM127" i="32"/>
  <c r="E129" i="32"/>
  <c r="AL129" i="11" a="1"/>
  <c r="AL129" i="11" s="1"/>
  <c r="B132" i="65" l="1"/>
  <c r="AO131" i="63" a="1"/>
  <c r="AO131" i="63" s="1"/>
  <c r="N130" i="65"/>
  <c r="AM130" i="65"/>
  <c r="D130" i="65"/>
  <c r="E130" i="65" s="1"/>
  <c r="F130" i="65" s="1"/>
  <c r="G130" i="65" s="1"/>
  <c r="H130" i="65" s="1"/>
  <c r="I130" i="65" s="1"/>
  <c r="J130" i="65" s="1"/>
  <c r="K130" i="65" s="1"/>
  <c r="P130" i="65"/>
  <c r="AG128" i="65"/>
  <c r="U129" i="65"/>
  <c r="R129" i="65"/>
  <c r="S129" i="65" s="1"/>
  <c r="Y129" i="65" s="1"/>
  <c r="AB129" i="65" s="1"/>
  <c r="AC129" i="65" s="1"/>
  <c r="AD129" i="65" s="1"/>
  <c r="Q129" i="65"/>
  <c r="AV129" i="65"/>
  <c r="AF129" i="65"/>
  <c r="AE129" i="65"/>
  <c r="AH129" i="65"/>
  <c r="L131" i="65"/>
  <c r="M131" i="65" s="1"/>
  <c r="O131" i="65"/>
  <c r="C131" i="65"/>
  <c r="AB128" i="53"/>
  <c r="AA128" i="53"/>
  <c r="E130" i="53"/>
  <c r="M130" i="53"/>
  <c r="L130" i="53"/>
  <c r="D130" i="53"/>
  <c r="G130" i="53"/>
  <c r="H130" i="53"/>
  <c r="N130" i="53"/>
  <c r="P130" i="53"/>
  <c r="I130" i="53"/>
  <c r="J130" i="53"/>
  <c r="K130" i="53"/>
  <c r="C130" i="53"/>
  <c r="F130" i="53"/>
  <c r="O130" i="53"/>
  <c r="B131" i="53"/>
  <c r="AK130" i="52" a="1"/>
  <c r="AK130" i="52" s="1"/>
  <c r="AF128" i="53"/>
  <c r="Q129" i="53"/>
  <c r="AT129" i="53"/>
  <c r="AC129" i="53"/>
  <c r="AH129" i="53"/>
  <c r="R129" i="53"/>
  <c r="X129" i="53" s="1"/>
  <c r="AE129" i="53"/>
  <c r="AD129" i="53"/>
  <c r="E130" i="32"/>
  <c r="AL130" i="11" a="1"/>
  <c r="AL130" i="11" s="1"/>
  <c r="AK129" i="32"/>
  <c r="I129" i="32"/>
  <c r="M129" i="32"/>
  <c r="J129" i="32"/>
  <c r="T129" i="32"/>
  <c r="L129" i="32"/>
  <c r="O129" i="32"/>
  <c r="A129" i="32"/>
  <c r="Q129" i="32" s="1"/>
  <c r="P129" i="32" s="1"/>
  <c r="F129" i="32"/>
  <c r="B129" i="32"/>
  <c r="R129" i="32" s="1"/>
  <c r="S129" i="32" s="1"/>
  <c r="N129" i="32"/>
  <c r="H129" i="32"/>
  <c r="K129" i="32"/>
  <c r="G129" i="32"/>
  <c r="AJ128" i="32"/>
  <c r="W128" i="32"/>
  <c r="X128" i="32" s="1"/>
  <c r="Z128" i="32"/>
  <c r="V128" i="32"/>
  <c r="C128" i="32"/>
  <c r="U128" i="32"/>
  <c r="AD128" i="32" s="1"/>
  <c r="AG128" i="32" s="1"/>
  <c r="AH128" i="32" s="1"/>
  <c r="AI128" i="32" s="1"/>
  <c r="AM128" i="32"/>
  <c r="AN127" i="32"/>
  <c r="AL127" i="32"/>
  <c r="C132" i="65" l="1"/>
  <c r="L132" i="65"/>
  <c r="M132" i="65" s="1"/>
  <c r="O132" i="65"/>
  <c r="B133" i="65"/>
  <c r="AO132" i="63" a="1"/>
  <c r="AO132" i="63" s="1"/>
  <c r="N131" i="65"/>
  <c r="D131" i="65"/>
  <c r="E131" i="65" s="1"/>
  <c r="F131" i="65" s="1"/>
  <c r="G131" i="65" s="1"/>
  <c r="H131" i="65" s="1"/>
  <c r="I131" i="65" s="1"/>
  <c r="J131" i="65" s="1"/>
  <c r="K131" i="65" s="1"/>
  <c r="AM131" i="65"/>
  <c r="P131" i="65"/>
  <c r="AG129" i="65"/>
  <c r="AE130" i="65"/>
  <c r="U130" i="65"/>
  <c r="R130" i="65"/>
  <c r="S130" i="65" s="1"/>
  <c r="Y130" i="65" s="1"/>
  <c r="AB130" i="65" s="1"/>
  <c r="AC130" i="65" s="1"/>
  <c r="AD130" i="65" s="1"/>
  <c r="Q130" i="65"/>
  <c r="AV130" i="65"/>
  <c r="AH130" i="65"/>
  <c r="AF130" i="65"/>
  <c r="AB129" i="53"/>
  <c r="AA129" i="53"/>
  <c r="AG130" i="53"/>
  <c r="B132" i="53"/>
  <c r="AK131" i="52" a="1"/>
  <c r="AK131" i="52" s="1"/>
  <c r="AE130" i="53"/>
  <c r="AD130" i="53"/>
  <c r="AT130" i="53"/>
  <c r="AC130" i="53"/>
  <c r="AH130" i="53"/>
  <c r="Q130" i="53"/>
  <c r="R130" i="53"/>
  <c r="X130" i="53" s="1"/>
  <c r="AF129" i="53"/>
  <c r="M131" i="53"/>
  <c r="C131" i="53"/>
  <c r="E131" i="53"/>
  <c r="K131" i="53"/>
  <c r="H131" i="53"/>
  <c r="P131" i="53"/>
  <c r="N131" i="53"/>
  <c r="D131" i="53"/>
  <c r="J131" i="53"/>
  <c r="L131" i="53"/>
  <c r="G131" i="53"/>
  <c r="O131" i="53"/>
  <c r="AG131" i="53" s="1"/>
  <c r="I131" i="53"/>
  <c r="F131" i="53"/>
  <c r="E131" i="32"/>
  <c r="AL131" i="11" a="1"/>
  <c r="AL131" i="11" s="1"/>
  <c r="T130" i="32"/>
  <c r="K130" i="32"/>
  <c r="O130" i="32"/>
  <c r="G130" i="32"/>
  <c r="M130" i="32"/>
  <c r="H130" i="32"/>
  <c r="J130" i="32"/>
  <c r="AK130" i="32"/>
  <c r="A130" i="32"/>
  <c r="Q130" i="32" s="1"/>
  <c r="P130" i="32" s="1"/>
  <c r="L130" i="32"/>
  <c r="B130" i="32"/>
  <c r="R130" i="32" s="1"/>
  <c r="S130" i="32" s="1"/>
  <c r="I130" i="32"/>
  <c r="N130" i="32"/>
  <c r="F130" i="32"/>
  <c r="AL128" i="32"/>
  <c r="AN128" i="32"/>
  <c r="C129" i="32"/>
  <c r="AJ129" i="32"/>
  <c r="Z129" i="32"/>
  <c r="V129" i="32"/>
  <c r="W129" i="32"/>
  <c r="X129" i="32" s="1"/>
  <c r="U129" i="32"/>
  <c r="AD129" i="32" s="1"/>
  <c r="AG129" i="32" s="1"/>
  <c r="AH129" i="32" s="1"/>
  <c r="AI129" i="32" s="1"/>
  <c r="AM129" i="32"/>
  <c r="AG130" i="65" l="1"/>
  <c r="Y131" i="65"/>
  <c r="AB131" i="65" s="1"/>
  <c r="AC131" i="65" s="1"/>
  <c r="AD131" i="65" s="1"/>
  <c r="AM132" i="65"/>
  <c r="P132" i="65"/>
  <c r="D132" i="65"/>
  <c r="E132" i="65" s="1"/>
  <c r="F132" i="65" s="1"/>
  <c r="G132" i="65" s="1"/>
  <c r="H132" i="65" s="1"/>
  <c r="I132" i="65" s="1"/>
  <c r="J132" i="65" s="1"/>
  <c r="K132" i="65" s="1"/>
  <c r="N132" i="65"/>
  <c r="R131" i="65"/>
  <c r="S131" i="65" s="1"/>
  <c r="U131" i="65"/>
  <c r="AH131" i="65"/>
  <c r="Q131" i="65"/>
  <c r="AV131" i="65"/>
  <c r="AE131" i="65"/>
  <c r="AF131" i="65"/>
  <c r="B134" i="65"/>
  <c r="AO133" i="63" a="1"/>
  <c r="AO133" i="63" s="1"/>
  <c r="O133" i="65"/>
  <c r="C133" i="65"/>
  <c r="L133" i="65"/>
  <c r="M133" i="65" s="1"/>
  <c r="AA130" i="53"/>
  <c r="AB130" i="53"/>
  <c r="AC131" i="53"/>
  <c r="AT131" i="53"/>
  <c r="AH131" i="53"/>
  <c r="R131" i="53"/>
  <c r="X131" i="53" s="1"/>
  <c r="AD131" i="53"/>
  <c r="AE131" i="53"/>
  <c r="Q131" i="53"/>
  <c r="AF130" i="53"/>
  <c r="B133" i="53"/>
  <c r="AK132" i="52" a="1"/>
  <c r="AK132" i="52" s="1"/>
  <c r="I132" i="53"/>
  <c r="O132" i="53"/>
  <c r="AG132" i="53" s="1"/>
  <c r="G132" i="53"/>
  <c r="J132" i="53"/>
  <c r="F132" i="53"/>
  <c r="E132" i="53"/>
  <c r="L132" i="53"/>
  <c r="H132" i="53"/>
  <c r="K132" i="53"/>
  <c r="M132" i="53"/>
  <c r="D132" i="53"/>
  <c r="P132" i="53"/>
  <c r="C132" i="53"/>
  <c r="N132" i="53"/>
  <c r="AL129" i="32"/>
  <c r="E132" i="32"/>
  <c r="AL132" i="11" a="1"/>
  <c r="AL132" i="11" s="1"/>
  <c r="U130" i="32"/>
  <c r="AD130" i="32" s="1"/>
  <c r="AG130" i="32" s="1"/>
  <c r="AH130" i="32" s="1"/>
  <c r="AI130" i="32" s="1"/>
  <c r="AM130" i="32"/>
  <c r="AN129" i="32"/>
  <c r="V130" i="32"/>
  <c r="Z130" i="32"/>
  <c r="W130" i="32"/>
  <c r="X130" i="32" s="1"/>
  <c r="C130" i="32"/>
  <c r="AJ130" i="32"/>
  <c r="O131" i="32"/>
  <c r="M131" i="32"/>
  <c r="A131" i="32"/>
  <c r="Q131" i="32" s="1"/>
  <c r="P131" i="32" s="1"/>
  <c r="N131" i="32"/>
  <c r="B131" i="32"/>
  <c r="R131" i="32" s="1"/>
  <c r="S131" i="32" s="1"/>
  <c r="I131" i="32"/>
  <c r="H131" i="32"/>
  <c r="K131" i="32"/>
  <c r="AK131" i="32"/>
  <c r="G131" i="32"/>
  <c r="F131" i="32"/>
  <c r="L131" i="32"/>
  <c r="T131" i="32"/>
  <c r="J131" i="32"/>
  <c r="N133" i="65" l="1"/>
  <c r="AM133" i="65"/>
  <c r="D133" i="65"/>
  <c r="E133" i="65" s="1"/>
  <c r="F133" i="65" s="1"/>
  <c r="G133" i="65" s="1"/>
  <c r="H133" i="65" s="1"/>
  <c r="I133" i="65" s="1"/>
  <c r="J133" i="65" s="1"/>
  <c r="K133" i="65" s="1"/>
  <c r="P133" i="65"/>
  <c r="B135" i="65"/>
  <c r="AO134" i="63" a="1"/>
  <c r="AO134" i="63" s="1"/>
  <c r="C134" i="65"/>
  <c r="L134" i="65"/>
  <c r="M134" i="65" s="1"/>
  <c r="O134" i="65"/>
  <c r="Q132" i="65"/>
  <c r="AE132" i="65"/>
  <c r="U132" i="65"/>
  <c r="AV132" i="65"/>
  <c r="AF132" i="65"/>
  <c r="AG132" i="65" s="1"/>
  <c r="AH132" i="65"/>
  <c r="R132" i="65"/>
  <c r="S132" i="65" s="1"/>
  <c r="Y132" i="65" s="1"/>
  <c r="AB132" i="65" s="1"/>
  <c r="AC132" i="65" s="1"/>
  <c r="AD132" i="65" s="1"/>
  <c r="AG131" i="65"/>
  <c r="AF131" i="53"/>
  <c r="AC132" i="53"/>
  <c r="R132" i="53"/>
  <c r="X132" i="53" s="1"/>
  <c r="Q132" i="53"/>
  <c r="AH132" i="53"/>
  <c r="AE132" i="53"/>
  <c r="AT132" i="53"/>
  <c r="AD132" i="53"/>
  <c r="AB131" i="53"/>
  <c r="AA131" i="53"/>
  <c r="B134" i="53"/>
  <c r="AK133" i="52" a="1"/>
  <c r="AK133" i="52" s="1"/>
  <c r="N133" i="53"/>
  <c r="P133" i="53"/>
  <c r="K133" i="53"/>
  <c r="M133" i="53"/>
  <c r="C133" i="53"/>
  <c r="O133" i="53"/>
  <c r="AG133" i="53" s="1"/>
  <c r="D133" i="53"/>
  <c r="L133" i="53"/>
  <c r="G133" i="53"/>
  <c r="J133" i="53"/>
  <c r="I133" i="53"/>
  <c r="H133" i="53"/>
  <c r="F133" i="53"/>
  <c r="E133" i="53"/>
  <c r="W131" i="32"/>
  <c r="X131" i="32" s="1"/>
  <c r="V131" i="32"/>
  <c r="C131" i="32"/>
  <c r="AJ131" i="32"/>
  <c r="Z131" i="32"/>
  <c r="E133" i="32"/>
  <c r="AL133" i="11" a="1"/>
  <c r="AL133" i="11" s="1"/>
  <c r="AN130" i="32"/>
  <c r="AM131" i="32"/>
  <c r="U131" i="32"/>
  <c r="AD131" i="32" s="1"/>
  <c r="AG131" i="32" s="1"/>
  <c r="AH131" i="32" s="1"/>
  <c r="AI131" i="32" s="1"/>
  <c r="AL130" i="32"/>
  <c r="N132" i="32"/>
  <c r="F132" i="32"/>
  <c r="J132" i="32"/>
  <c r="AK132" i="32"/>
  <c r="H132" i="32"/>
  <c r="M132" i="32"/>
  <c r="K132" i="32"/>
  <c r="O132" i="32"/>
  <c r="A132" i="32"/>
  <c r="Q132" i="32" s="1"/>
  <c r="P132" i="32" s="1"/>
  <c r="G132" i="32"/>
  <c r="B132" i="32"/>
  <c r="R132" i="32" s="1"/>
  <c r="S132" i="32" s="1"/>
  <c r="I132" i="32"/>
  <c r="T132" i="32"/>
  <c r="L132" i="32"/>
  <c r="AE133" i="65" l="1"/>
  <c r="Q133" i="65"/>
  <c r="AH133" i="65"/>
  <c r="R133" i="65"/>
  <c r="S133" i="65" s="1"/>
  <c r="U133" i="65"/>
  <c r="AF133" i="65"/>
  <c r="AV133" i="65"/>
  <c r="B136" i="65"/>
  <c r="AO135" i="63" a="1"/>
  <c r="AO135" i="63" s="1"/>
  <c r="N134" i="65"/>
  <c r="AM134" i="65"/>
  <c r="P134" i="65"/>
  <c r="D134" i="65"/>
  <c r="E134" i="65" s="1"/>
  <c r="F134" i="65" s="1"/>
  <c r="G134" i="65" s="1"/>
  <c r="H134" i="65" s="1"/>
  <c r="I134" i="65" s="1"/>
  <c r="J134" i="65" s="1"/>
  <c r="K134" i="65" s="1"/>
  <c r="L135" i="65"/>
  <c r="M135" i="65" s="1"/>
  <c r="O135" i="65"/>
  <c r="C135" i="65"/>
  <c r="Y133" i="65"/>
  <c r="AB133" i="65" s="1"/>
  <c r="AC133" i="65" s="1"/>
  <c r="AD133" i="65" s="1"/>
  <c r="B135" i="53"/>
  <c r="AK134" i="52" a="1"/>
  <c r="AK134" i="52" s="1"/>
  <c r="AC133" i="53"/>
  <c r="AT133" i="53"/>
  <c r="AD133" i="53"/>
  <c r="Q133" i="53"/>
  <c r="AH133" i="53"/>
  <c r="R133" i="53"/>
  <c r="X133" i="53" s="1"/>
  <c r="AE133" i="53"/>
  <c r="AF132" i="53"/>
  <c r="H134" i="53"/>
  <c r="G134" i="53"/>
  <c r="N134" i="53"/>
  <c r="C134" i="53"/>
  <c r="L134" i="53"/>
  <c r="F134" i="53"/>
  <c r="M134" i="53"/>
  <c r="I134" i="53"/>
  <c r="D134" i="53"/>
  <c r="P134" i="53"/>
  <c r="E134" i="53"/>
  <c r="O134" i="53"/>
  <c r="AG134" i="53" s="1"/>
  <c r="J134" i="53"/>
  <c r="K134" i="53"/>
  <c r="AA132" i="53"/>
  <c r="AB132" i="53"/>
  <c r="AN131" i="32"/>
  <c r="C132" i="32"/>
  <c r="W132" i="32"/>
  <c r="X132" i="32" s="1"/>
  <c r="Z132" i="32"/>
  <c r="AJ132" i="32"/>
  <c r="V132" i="32"/>
  <c r="E134" i="32"/>
  <c r="AL134" i="11" a="1"/>
  <c r="AL134" i="11" s="1"/>
  <c r="U132" i="32"/>
  <c r="AD132" i="32" s="1"/>
  <c r="AG132" i="32" s="1"/>
  <c r="AH132" i="32" s="1"/>
  <c r="AI132" i="32" s="1"/>
  <c r="AM132" i="32"/>
  <c r="L133" i="32"/>
  <c r="H133" i="32"/>
  <c r="AK133" i="32"/>
  <c r="F133" i="32"/>
  <c r="K133" i="32"/>
  <c r="T133" i="32"/>
  <c r="N133" i="32"/>
  <c r="O133" i="32"/>
  <c r="I133" i="32"/>
  <c r="B133" i="32"/>
  <c r="R133" i="32" s="1"/>
  <c r="S133" i="32" s="1"/>
  <c r="M133" i="32"/>
  <c r="G133" i="32"/>
  <c r="A133" i="32"/>
  <c r="Q133" i="32" s="1"/>
  <c r="P133" i="32" s="1"/>
  <c r="J133" i="32"/>
  <c r="AL131" i="32"/>
  <c r="B137" i="65" l="1"/>
  <c r="AO136" i="63" a="1"/>
  <c r="AO136" i="63" s="1"/>
  <c r="D135" i="65"/>
  <c r="E135" i="65" s="1"/>
  <c r="F135" i="65" s="1"/>
  <c r="G135" i="65" s="1"/>
  <c r="H135" i="65" s="1"/>
  <c r="I135" i="65" s="1"/>
  <c r="J135" i="65" s="1"/>
  <c r="K135" i="65" s="1"/>
  <c r="AM135" i="65"/>
  <c r="N135" i="65"/>
  <c r="P135" i="65"/>
  <c r="O136" i="65"/>
  <c r="C136" i="65"/>
  <c r="L136" i="65"/>
  <c r="M136" i="65" s="1"/>
  <c r="AV134" i="65"/>
  <c r="R134" i="65"/>
  <c r="S134" i="65" s="1"/>
  <c r="Y134" i="65" s="1"/>
  <c r="AB134" i="65" s="1"/>
  <c r="AC134" i="65" s="1"/>
  <c r="AD134" i="65" s="1"/>
  <c r="Q134" i="65"/>
  <c r="AE134" i="65"/>
  <c r="U134" i="65"/>
  <c r="AH134" i="65"/>
  <c r="AF134" i="65"/>
  <c r="AG133" i="65"/>
  <c r="B136" i="53"/>
  <c r="AK135" i="52" a="1"/>
  <c r="AK135" i="52" s="1"/>
  <c r="AD134" i="53"/>
  <c r="AH134" i="53"/>
  <c r="R134" i="53"/>
  <c r="X134" i="53" s="1"/>
  <c r="AE134" i="53"/>
  <c r="AC134" i="53"/>
  <c r="AT134" i="53"/>
  <c r="Q134" i="53"/>
  <c r="AF133" i="53"/>
  <c r="M135" i="53"/>
  <c r="F135" i="53"/>
  <c r="E135" i="53"/>
  <c r="H135" i="53"/>
  <c r="N135" i="53"/>
  <c r="P135" i="53"/>
  <c r="D135" i="53"/>
  <c r="C135" i="53"/>
  <c r="K135" i="53"/>
  <c r="L135" i="53"/>
  <c r="O135" i="53"/>
  <c r="J135" i="53"/>
  <c r="G135" i="53"/>
  <c r="I135" i="53"/>
  <c r="AB133" i="53"/>
  <c r="AA133" i="53"/>
  <c r="I134" i="32"/>
  <c r="AK134" i="32"/>
  <c r="L134" i="32"/>
  <c r="N134" i="32"/>
  <c r="T134" i="32"/>
  <c r="G134" i="32"/>
  <c r="O134" i="32"/>
  <c r="H134" i="32"/>
  <c r="A134" i="32"/>
  <c r="Q134" i="32" s="1"/>
  <c r="P134" i="32" s="1"/>
  <c r="K134" i="32"/>
  <c r="M134" i="32"/>
  <c r="F134" i="32"/>
  <c r="B134" i="32"/>
  <c r="R134" i="32" s="1"/>
  <c r="S134" i="32" s="1"/>
  <c r="J134" i="32"/>
  <c r="AM133" i="32"/>
  <c r="U133" i="32"/>
  <c r="AD133" i="32" s="1"/>
  <c r="AG133" i="32" s="1"/>
  <c r="AH133" i="32" s="1"/>
  <c r="AI133" i="32" s="1"/>
  <c r="AN132" i="32"/>
  <c r="AJ133" i="32"/>
  <c r="W133" i="32"/>
  <c r="X133" i="32" s="1"/>
  <c r="Z133" i="32"/>
  <c r="C133" i="32"/>
  <c r="V133" i="32"/>
  <c r="AL132" i="32"/>
  <c r="E135" i="32"/>
  <c r="AL135" i="11" a="1"/>
  <c r="AL135" i="11" s="1"/>
  <c r="B138" i="65" l="1"/>
  <c r="AO137" i="63" a="1"/>
  <c r="AO137" i="63" s="1"/>
  <c r="O137" i="65"/>
  <c r="C137" i="65"/>
  <c r="L137" i="65"/>
  <c r="M137" i="65" s="1"/>
  <c r="AG134" i="65"/>
  <c r="AM136" i="65"/>
  <c r="D136" i="65"/>
  <c r="E136" i="65" s="1"/>
  <c r="F136" i="65" s="1"/>
  <c r="G136" i="65" s="1"/>
  <c r="H136" i="65" s="1"/>
  <c r="I136" i="65" s="1"/>
  <c r="J136" i="65" s="1"/>
  <c r="K136" i="65" s="1"/>
  <c r="N136" i="65"/>
  <c r="P136" i="65"/>
  <c r="U135" i="65"/>
  <c r="AF135" i="65"/>
  <c r="Q135" i="65"/>
  <c r="AE135" i="65"/>
  <c r="AV135" i="65"/>
  <c r="AH135" i="65"/>
  <c r="R135" i="65"/>
  <c r="S135" i="65" s="1"/>
  <c r="Y135" i="65" s="1"/>
  <c r="AB135" i="65" s="1"/>
  <c r="AC135" i="65" s="1"/>
  <c r="AD135" i="65" s="1"/>
  <c r="B137" i="53"/>
  <c r="AK136" i="52" a="1"/>
  <c r="AK136" i="52" s="1"/>
  <c r="J136" i="53"/>
  <c r="G136" i="53"/>
  <c r="K136" i="53"/>
  <c r="P136" i="53"/>
  <c r="I136" i="53"/>
  <c r="D136" i="53"/>
  <c r="H136" i="53"/>
  <c r="E136" i="53"/>
  <c r="L136" i="53"/>
  <c r="C136" i="53"/>
  <c r="N136" i="53"/>
  <c r="M136" i="53"/>
  <c r="O136" i="53"/>
  <c r="AG136" i="53" s="1"/>
  <c r="F136" i="53"/>
  <c r="AF134" i="53"/>
  <c r="AG135" i="53"/>
  <c r="AB134" i="53"/>
  <c r="AA134" i="53"/>
  <c r="AC135" i="53"/>
  <c r="R135" i="53"/>
  <c r="X135" i="53" s="1"/>
  <c r="AH135" i="53"/>
  <c r="AE135" i="53"/>
  <c r="AT135" i="53"/>
  <c r="AD135" i="53"/>
  <c r="Q135" i="53"/>
  <c r="AL133" i="32"/>
  <c r="E136" i="32"/>
  <c r="AL136" i="11" a="1"/>
  <c r="AL136" i="11" s="1"/>
  <c r="AN133" i="32"/>
  <c r="C134" i="32"/>
  <c r="W134" i="32"/>
  <c r="X134" i="32" s="1"/>
  <c r="AJ134" i="32"/>
  <c r="V134" i="32"/>
  <c r="Z134" i="32"/>
  <c r="U134" i="32"/>
  <c r="AD134" i="32" s="1"/>
  <c r="AG134" i="32" s="1"/>
  <c r="AH134" i="32" s="1"/>
  <c r="AI134" i="32" s="1"/>
  <c r="AM134" i="32"/>
  <c r="H135" i="32"/>
  <c r="L135" i="32"/>
  <c r="AK135" i="32"/>
  <c r="J135" i="32"/>
  <c r="G135" i="32"/>
  <c r="M135" i="32"/>
  <c r="T135" i="32"/>
  <c r="F135" i="32"/>
  <c r="B135" i="32"/>
  <c r="R135" i="32" s="1"/>
  <c r="S135" i="32" s="1"/>
  <c r="I135" i="32"/>
  <c r="K135" i="32"/>
  <c r="A135" i="32"/>
  <c r="Q135" i="32" s="1"/>
  <c r="P135" i="32" s="1"/>
  <c r="O135" i="32"/>
  <c r="N135" i="32"/>
  <c r="AE136" i="65" l="1"/>
  <c r="AF136" i="65"/>
  <c r="U136" i="65"/>
  <c r="AH136" i="65"/>
  <c r="R136" i="65"/>
  <c r="S136" i="65" s="1"/>
  <c r="Y136" i="65" s="1"/>
  <c r="AB136" i="65" s="1"/>
  <c r="AC136" i="65" s="1"/>
  <c r="AD136" i="65" s="1"/>
  <c r="Q136" i="65"/>
  <c r="AV136" i="65"/>
  <c r="C138" i="65"/>
  <c r="O138" i="65"/>
  <c r="L138" i="65"/>
  <c r="M138" i="65" s="1"/>
  <c r="B139" i="65"/>
  <c r="AO138" i="63" a="1"/>
  <c r="AO138" i="63" s="1"/>
  <c r="AG135" i="65"/>
  <c r="D137" i="65"/>
  <c r="E137" i="65" s="1"/>
  <c r="F137" i="65" s="1"/>
  <c r="G137" i="65" s="1"/>
  <c r="H137" i="65" s="1"/>
  <c r="I137" i="65" s="1"/>
  <c r="J137" i="65" s="1"/>
  <c r="K137" i="65" s="1"/>
  <c r="AM137" i="65"/>
  <c r="N137" i="65"/>
  <c r="P137" i="65"/>
  <c r="AB135" i="53"/>
  <c r="AA135" i="53"/>
  <c r="AF135" i="53"/>
  <c r="O137" i="53"/>
  <c r="D137" i="53"/>
  <c r="H137" i="53"/>
  <c r="N137" i="53"/>
  <c r="G137" i="53"/>
  <c r="C137" i="53"/>
  <c r="F137" i="53"/>
  <c r="I137" i="53"/>
  <c r="E137" i="53"/>
  <c r="M137" i="53"/>
  <c r="L137" i="53"/>
  <c r="K137" i="53"/>
  <c r="P137" i="53"/>
  <c r="J137" i="53"/>
  <c r="B138" i="53"/>
  <c r="AK137" i="52" a="1"/>
  <c r="AK137" i="52" s="1"/>
  <c r="AH136" i="53"/>
  <c r="R136" i="53"/>
  <c r="X136" i="53" s="1"/>
  <c r="AC136" i="53"/>
  <c r="Q136" i="53"/>
  <c r="AE136" i="53"/>
  <c r="AT136" i="53"/>
  <c r="AD136" i="53"/>
  <c r="AL134" i="32"/>
  <c r="AK136" i="32"/>
  <c r="H136" i="32"/>
  <c r="M136" i="32"/>
  <c r="K136" i="32"/>
  <c r="L136" i="32"/>
  <c r="A136" i="32"/>
  <c r="Q136" i="32" s="1"/>
  <c r="P136" i="32" s="1"/>
  <c r="G136" i="32"/>
  <c r="B136" i="32"/>
  <c r="R136" i="32" s="1"/>
  <c r="S136" i="32" s="1"/>
  <c r="F136" i="32"/>
  <c r="O136" i="32"/>
  <c r="N136" i="32"/>
  <c r="J136" i="32"/>
  <c r="I136" i="32"/>
  <c r="T136" i="32"/>
  <c r="U135" i="32"/>
  <c r="AD135" i="32" s="1"/>
  <c r="AG135" i="32" s="1"/>
  <c r="AH135" i="32" s="1"/>
  <c r="AI135" i="32" s="1"/>
  <c r="AM135" i="32"/>
  <c r="AN134" i="32"/>
  <c r="Z135" i="32"/>
  <c r="C135" i="32"/>
  <c r="V135" i="32"/>
  <c r="W135" i="32"/>
  <c r="X135" i="32" s="1"/>
  <c r="AJ135" i="32"/>
  <c r="E137" i="32"/>
  <c r="AL137" i="11" a="1"/>
  <c r="AL137" i="11" s="1"/>
  <c r="AG136" i="65" l="1"/>
  <c r="Q137" i="65"/>
  <c r="AV137" i="65"/>
  <c r="R137" i="65"/>
  <c r="S137" i="65" s="1"/>
  <c r="AF137" i="65"/>
  <c r="AH137" i="65"/>
  <c r="U137" i="65"/>
  <c r="AE137" i="65"/>
  <c r="N138" i="65"/>
  <c r="P138" i="65"/>
  <c r="AM138" i="65"/>
  <c r="D138" i="65"/>
  <c r="E138" i="65" s="1"/>
  <c r="F138" i="65" s="1"/>
  <c r="G138" i="65" s="1"/>
  <c r="H138" i="65" s="1"/>
  <c r="I138" i="65" s="1"/>
  <c r="J138" i="65" s="1"/>
  <c r="K138" i="65" s="1"/>
  <c r="B140" i="65"/>
  <c r="AO139" i="63" a="1"/>
  <c r="AO139" i="63" s="1"/>
  <c r="C139" i="65"/>
  <c r="L139" i="65"/>
  <c r="M139" i="65" s="1"/>
  <c r="O139" i="65"/>
  <c r="Y137" i="65"/>
  <c r="AB137" i="65" s="1"/>
  <c r="AC137" i="65" s="1"/>
  <c r="AD137" i="65" s="1"/>
  <c r="AG137" i="53"/>
  <c r="N138" i="53"/>
  <c r="F138" i="53"/>
  <c r="O138" i="53"/>
  <c r="AG138" i="53" s="1"/>
  <c r="J138" i="53"/>
  <c r="E138" i="53"/>
  <c r="P138" i="53"/>
  <c r="I138" i="53"/>
  <c r="K138" i="53"/>
  <c r="G138" i="53"/>
  <c r="H138" i="53"/>
  <c r="C138" i="53"/>
  <c r="M138" i="53"/>
  <c r="D138" i="53"/>
  <c r="L138" i="53"/>
  <c r="AF136" i="53"/>
  <c r="AB136" i="53"/>
  <c r="AA136" i="53"/>
  <c r="B139" i="53"/>
  <c r="AK138" i="52" a="1"/>
  <c r="AK138" i="52" s="1"/>
  <c r="R137" i="53"/>
  <c r="X137" i="53" s="1"/>
  <c r="AH137" i="53"/>
  <c r="Q137" i="53"/>
  <c r="AT137" i="53"/>
  <c r="AE137" i="53"/>
  <c r="AC137" i="53"/>
  <c r="AD137" i="53"/>
  <c r="AN135" i="32"/>
  <c r="E138" i="32"/>
  <c r="AL138" i="11" a="1"/>
  <c r="AL138" i="11" s="1"/>
  <c r="AL135" i="32"/>
  <c r="AM136" i="32"/>
  <c r="U136" i="32"/>
  <c r="AD136" i="32" s="1"/>
  <c r="AG136" i="32" s="1"/>
  <c r="AH136" i="32" s="1"/>
  <c r="AI136" i="32" s="1"/>
  <c r="A137" i="32"/>
  <c r="Q137" i="32" s="1"/>
  <c r="P137" i="32" s="1"/>
  <c r="I137" i="32"/>
  <c r="B137" i="32"/>
  <c r="R137" i="32" s="1"/>
  <c r="S137" i="32" s="1"/>
  <c r="J137" i="32"/>
  <c r="AK137" i="32"/>
  <c r="M137" i="32"/>
  <c r="G137" i="32"/>
  <c r="L137" i="32"/>
  <c r="O137" i="32"/>
  <c r="F137" i="32"/>
  <c r="K137" i="32"/>
  <c r="N137" i="32"/>
  <c r="T137" i="32"/>
  <c r="H137" i="32"/>
  <c r="Z136" i="32"/>
  <c r="W136" i="32"/>
  <c r="X136" i="32" s="1"/>
  <c r="C136" i="32"/>
  <c r="V136" i="32"/>
  <c r="AJ136" i="32"/>
  <c r="N139" i="65" l="1"/>
  <c r="D139" i="65"/>
  <c r="E139" i="65" s="1"/>
  <c r="F139" i="65" s="1"/>
  <c r="G139" i="65" s="1"/>
  <c r="H139" i="65" s="1"/>
  <c r="I139" i="65" s="1"/>
  <c r="J139" i="65" s="1"/>
  <c r="K139" i="65" s="1"/>
  <c r="P139" i="65"/>
  <c r="AM139" i="65"/>
  <c r="Q138" i="65"/>
  <c r="U138" i="65"/>
  <c r="AV138" i="65"/>
  <c r="R138" i="65"/>
  <c r="S138" i="65" s="1"/>
  <c r="Y138" i="65" s="1"/>
  <c r="AB138" i="65" s="1"/>
  <c r="AC138" i="65" s="1"/>
  <c r="AD138" i="65" s="1"/>
  <c r="AH138" i="65"/>
  <c r="AF138" i="65"/>
  <c r="AE138" i="65"/>
  <c r="B141" i="65"/>
  <c r="AO140" i="63" a="1"/>
  <c r="AO140" i="63" s="1"/>
  <c r="O140" i="65"/>
  <c r="C140" i="65"/>
  <c r="L140" i="65"/>
  <c r="M140" i="65" s="1"/>
  <c r="AG137" i="65"/>
  <c r="AA137" i="53"/>
  <c r="AB137" i="53"/>
  <c r="AT138" i="53"/>
  <c r="AD138" i="53"/>
  <c r="AE138" i="53"/>
  <c r="AH138" i="53"/>
  <c r="R138" i="53"/>
  <c r="X138" i="53" s="1"/>
  <c r="Q138" i="53"/>
  <c r="AC138" i="53"/>
  <c r="B140" i="53"/>
  <c r="AK139" i="52" a="1"/>
  <c r="AK139" i="52" s="1"/>
  <c r="C139" i="53"/>
  <c r="I139" i="53"/>
  <c r="P139" i="53"/>
  <c r="L139" i="53"/>
  <c r="E139" i="53"/>
  <c r="D139" i="53"/>
  <c r="N139" i="53"/>
  <c r="J139" i="53"/>
  <c r="O139" i="53"/>
  <c r="G139" i="53"/>
  <c r="H139" i="53"/>
  <c r="F139" i="53"/>
  <c r="M139" i="53"/>
  <c r="K139" i="53"/>
  <c r="AF137" i="53"/>
  <c r="E139" i="32"/>
  <c r="AL139" i="11" a="1"/>
  <c r="AL139" i="11" s="1"/>
  <c r="AL136" i="32"/>
  <c r="Z137" i="32"/>
  <c r="C137" i="32"/>
  <c r="W137" i="32"/>
  <c r="X137" i="32" s="1"/>
  <c r="AJ137" i="32"/>
  <c r="V137" i="32"/>
  <c r="AN136" i="32"/>
  <c r="U137" i="32"/>
  <c r="AD137" i="32" s="1"/>
  <c r="AG137" i="32" s="1"/>
  <c r="AH137" i="32" s="1"/>
  <c r="AI137" i="32" s="1"/>
  <c r="AM137" i="32"/>
  <c r="K138" i="32"/>
  <c r="M138" i="32"/>
  <c r="J138" i="32"/>
  <c r="T138" i="32"/>
  <c r="AK138" i="32"/>
  <c r="N138" i="32"/>
  <c r="O138" i="32"/>
  <c r="F138" i="32"/>
  <c r="A138" i="32"/>
  <c r="Q138" i="32" s="1"/>
  <c r="P138" i="32" s="1"/>
  <c r="G138" i="32"/>
  <c r="B138" i="32"/>
  <c r="R138" i="32" s="1"/>
  <c r="S138" i="32" s="1"/>
  <c r="H138" i="32"/>
  <c r="L138" i="32"/>
  <c r="I138" i="32"/>
  <c r="Q139" i="65" l="1"/>
  <c r="AV139" i="65"/>
  <c r="AH139" i="65"/>
  <c r="AF139" i="65"/>
  <c r="R139" i="65"/>
  <c r="S139" i="65" s="1"/>
  <c r="Y139" i="65" s="1"/>
  <c r="AB139" i="65" s="1"/>
  <c r="AC139" i="65" s="1"/>
  <c r="AD139" i="65" s="1"/>
  <c r="AE139" i="65"/>
  <c r="U139" i="65"/>
  <c r="AM140" i="65"/>
  <c r="P140" i="65"/>
  <c r="D140" i="65"/>
  <c r="E140" i="65" s="1"/>
  <c r="F140" i="65" s="1"/>
  <c r="G140" i="65" s="1"/>
  <c r="H140" i="65" s="1"/>
  <c r="I140" i="65" s="1"/>
  <c r="J140" i="65" s="1"/>
  <c r="K140" i="65" s="1"/>
  <c r="N140" i="65"/>
  <c r="B142" i="65"/>
  <c r="AO141" i="63" a="1"/>
  <c r="AO141" i="63" s="1"/>
  <c r="L141" i="65"/>
  <c r="M141" i="65" s="1"/>
  <c r="C141" i="65"/>
  <c r="O141" i="65"/>
  <c r="AG138" i="65"/>
  <c r="AF138" i="53"/>
  <c r="AG139" i="53"/>
  <c r="AB138" i="53"/>
  <c r="AA138" i="53"/>
  <c r="P140" i="53"/>
  <c r="H140" i="53"/>
  <c r="C140" i="53"/>
  <c r="G140" i="53"/>
  <c r="L140" i="53"/>
  <c r="I140" i="53"/>
  <c r="J140" i="53"/>
  <c r="F140" i="53"/>
  <c r="K140" i="53"/>
  <c r="E140" i="53"/>
  <c r="N140" i="53"/>
  <c r="D140" i="53"/>
  <c r="M140" i="53"/>
  <c r="O140" i="53"/>
  <c r="AG140" i="53" s="1"/>
  <c r="AT139" i="53"/>
  <c r="R139" i="53"/>
  <c r="X139" i="53" s="1"/>
  <c r="AE139" i="53"/>
  <c r="AD139" i="53"/>
  <c r="Q139" i="53"/>
  <c r="AH139" i="53"/>
  <c r="AC139" i="53"/>
  <c r="B141" i="53"/>
  <c r="AK140" i="52" a="1"/>
  <c r="AK140" i="52" s="1"/>
  <c r="E140" i="32"/>
  <c r="AL140" i="11" a="1"/>
  <c r="AL140" i="11" s="1"/>
  <c r="O139" i="32"/>
  <c r="A139" i="32"/>
  <c r="Q139" i="32" s="1"/>
  <c r="P139" i="32" s="1"/>
  <c r="N139" i="32"/>
  <c r="B139" i="32"/>
  <c r="R139" i="32" s="1"/>
  <c r="S139" i="32" s="1"/>
  <c r="I139" i="32"/>
  <c r="H139" i="32"/>
  <c r="K139" i="32"/>
  <c r="G139" i="32"/>
  <c r="M139" i="32"/>
  <c r="T139" i="32"/>
  <c r="F139" i="32"/>
  <c r="J139" i="32"/>
  <c r="L139" i="32"/>
  <c r="AK139" i="32"/>
  <c r="AN137" i="32"/>
  <c r="U138" i="32"/>
  <c r="AD138" i="32" s="1"/>
  <c r="AG138" i="32" s="1"/>
  <c r="AH138" i="32" s="1"/>
  <c r="AI138" i="32" s="1"/>
  <c r="AM138" i="32"/>
  <c r="AL137" i="32"/>
  <c r="C138" i="32"/>
  <c r="AJ138" i="32"/>
  <c r="W138" i="32"/>
  <c r="X138" i="32" s="1"/>
  <c r="Z138" i="32"/>
  <c r="V138" i="32"/>
  <c r="Y140" i="65" l="1"/>
  <c r="AB140" i="65" s="1"/>
  <c r="AC140" i="65" s="1"/>
  <c r="AD140" i="65" s="1"/>
  <c r="D141" i="65"/>
  <c r="E141" i="65" s="1"/>
  <c r="F141" i="65" s="1"/>
  <c r="G141" i="65" s="1"/>
  <c r="H141" i="65" s="1"/>
  <c r="I141" i="65" s="1"/>
  <c r="J141" i="65" s="1"/>
  <c r="K141" i="65" s="1"/>
  <c r="AM141" i="65"/>
  <c r="N141" i="65"/>
  <c r="P141" i="65"/>
  <c r="L142" i="65"/>
  <c r="M142" i="65" s="1"/>
  <c r="C142" i="65"/>
  <c r="O142" i="65"/>
  <c r="AG139" i="65"/>
  <c r="B143" i="65"/>
  <c r="AO142" i="63" a="1"/>
  <c r="AO142" i="63" s="1"/>
  <c r="AE140" i="65"/>
  <c r="AF140" i="65"/>
  <c r="Q140" i="65"/>
  <c r="AH140" i="65"/>
  <c r="R140" i="65"/>
  <c r="S140" i="65" s="1"/>
  <c r="U140" i="65"/>
  <c r="AV140" i="65"/>
  <c r="AA139" i="53"/>
  <c r="AB139" i="53"/>
  <c r="AH140" i="53"/>
  <c r="AC140" i="53"/>
  <c r="AE140" i="53"/>
  <c r="R140" i="53"/>
  <c r="X140" i="53" s="1"/>
  <c r="AD140" i="53"/>
  <c r="Q140" i="53"/>
  <c r="AT140" i="53"/>
  <c r="AF139" i="53"/>
  <c r="B142" i="53"/>
  <c r="AK141" i="52" a="1"/>
  <c r="AK141" i="52" s="1"/>
  <c r="K141" i="53"/>
  <c r="P141" i="53"/>
  <c r="M141" i="53"/>
  <c r="D141" i="53"/>
  <c r="O141" i="53"/>
  <c r="AG141" i="53" s="1"/>
  <c r="G141" i="53"/>
  <c r="C141" i="53"/>
  <c r="F141" i="53"/>
  <c r="I141" i="53"/>
  <c r="L141" i="53"/>
  <c r="E141" i="53"/>
  <c r="J141" i="53"/>
  <c r="H141" i="53"/>
  <c r="N141" i="53"/>
  <c r="AN138" i="32"/>
  <c r="AL138" i="32"/>
  <c r="A140" i="32"/>
  <c r="Q140" i="32" s="1"/>
  <c r="P140" i="32" s="1"/>
  <c r="G140" i="32"/>
  <c r="B140" i="32"/>
  <c r="R140" i="32" s="1"/>
  <c r="S140" i="32" s="1"/>
  <c r="I140" i="32"/>
  <c r="N140" i="32"/>
  <c r="F140" i="32"/>
  <c r="J140" i="32"/>
  <c r="T140" i="32"/>
  <c r="K140" i="32"/>
  <c r="O140" i="32"/>
  <c r="L140" i="32"/>
  <c r="M140" i="32"/>
  <c r="AK140" i="32"/>
  <c r="H140" i="32"/>
  <c r="Z139" i="32"/>
  <c r="W139" i="32"/>
  <c r="X139" i="32" s="1"/>
  <c r="AJ139" i="32"/>
  <c r="V139" i="32"/>
  <c r="C139" i="32"/>
  <c r="U139" i="32"/>
  <c r="AD139" i="32" s="1"/>
  <c r="AG139" i="32" s="1"/>
  <c r="AH139" i="32" s="1"/>
  <c r="AI139" i="32" s="1"/>
  <c r="AM139" i="32"/>
  <c r="E141" i="32"/>
  <c r="AL141" i="11" a="1"/>
  <c r="AL141" i="11" s="1"/>
  <c r="B144" i="65" l="1"/>
  <c r="AO143" i="63" a="1"/>
  <c r="AO143" i="63" s="1"/>
  <c r="L143" i="65"/>
  <c r="M143" i="65" s="1"/>
  <c r="O143" i="65"/>
  <c r="C143" i="65"/>
  <c r="D142" i="65"/>
  <c r="E142" i="65" s="1"/>
  <c r="F142" i="65" s="1"/>
  <c r="G142" i="65" s="1"/>
  <c r="H142" i="65" s="1"/>
  <c r="I142" i="65" s="1"/>
  <c r="J142" i="65" s="1"/>
  <c r="K142" i="65" s="1"/>
  <c r="AM142" i="65"/>
  <c r="N142" i="65"/>
  <c r="P142" i="65"/>
  <c r="AG140" i="65"/>
  <c r="AH141" i="65"/>
  <c r="Q141" i="65"/>
  <c r="AV141" i="65"/>
  <c r="AF141" i="65"/>
  <c r="AE141" i="65"/>
  <c r="U141" i="65"/>
  <c r="R141" i="65"/>
  <c r="S141" i="65" s="1"/>
  <c r="Y141" i="65" s="1"/>
  <c r="AB141" i="65" s="1"/>
  <c r="AC141" i="65" s="1"/>
  <c r="AD141" i="65" s="1"/>
  <c r="AF140" i="53"/>
  <c r="AT141" i="53"/>
  <c r="AD141" i="53"/>
  <c r="AC141" i="53"/>
  <c r="AH141" i="53"/>
  <c r="AE141" i="53"/>
  <c r="Q141" i="53"/>
  <c r="R141" i="53"/>
  <c r="X141" i="53" s="1"/>
  <c r="AA140" i="53"/>
  <c r="AB140" i="53"/>
  <c r="B143" i="53"/>
  <c r="AK142" i="52" a="1"/>
  <c r="AK142" i="52" s="1"/>
  <c r="H142" i="53"/>
  <c r="D142" i="53"/>
  <c r="J142" i="53"/>
  <c r="P142" i="53"/>
  <c r="N142" i="53"/>
  <c r="F142" i="53"/>
  <c r="G142" i="53"/>
  <c r="L142" i="53"/>
  <c r="O142" i="53"/>
  <c r="AG142" i="53" s="1"/>
  <c r="K142" i="53"/>
  <c r="C142" i="53"/>
  <c r="E142" i="53"/>
  <c r="M142" i="53"/>
  <c r="I142" i="53"/>
  <c r="E142" i="32"/>
  <c r="AL142" i="11" a="1"/>
  <c r="AL142" i="11" s="1"/>
  <c r="B141" i="32"/>
  <c r="R141" i="32" s="1"/>
  <c r="S141" i="32" s="1"/>
  <c r="M141" i="32"/>
  <c r="G141" i="32"/>
  <c r="L141" i="32"/>
  <c r="H141" i="32"/>
  <c r="AK141" i="32"/>
  <c r="F141" i="32"/>
  <c r="K141" i="32"/>
  <c r="O141" i="32"/>
  <c r="I141" i="32"/>
  <c r="A141" i="32"/>
  <c r="Q141" i="32" s="1"/>
  <c r="P141" i="32" s="1"/>
  <c r="J141" i="32"/>
  <c r="N141" i="32"/>
  <c r="T141" i="32"/>
  <c r="AL139" i="32"/>
  <c r="U140" i="32"/>
  <c r="AD140" i="32" s="1"/>
  <c r="AG140" i="32" s="1"/>
  <c r="AH140" i="32" s="1"/>
  <c r="AI140" i="32" s="1"/>
  <c r="AM140" i="32"/>
  <c r="AN139" i="32"/>
  <c r="C140" i="32"/>
  <c r="Z140" i="32"/>
  <c r="V140" i="32"/>
  <c r="AJ140" i="32"/>
  <c r="W140" i="32"/>
  <c r="X140" i="32" s="1"/>
  <c r="C144" i="65" l="1"/>
  <c r="O144" i="65"/>
  <c r="L144" i="65"/>
  <c r="M144" i="65" s="1"/>
  <c r="AE142" i="65"/>
  <c r="AF142" i="65"/>
  <c r="R142" i="65"/>
  <c r="S142" i="65" s="1"/>
  <c r="Y142" i="65" s="1"/>
  <c r="AB142" i="65" s="1"/>
  <c r="AC142" i="65" s="1"/>
  <c r="AD142" i="65" s="1"/>
  <c r="Q142" i="65"/>
  <c r="U142" i="65"/>
  <c r="AH142" i="65"/>
  <c r="AV142" i="65"/>
  <c r="AG141" i="65"/>
  <c r="AM143" i="65"/>
  <c r="N143" i="65"/>
  <c r="P143" i="65"/>
  <c r="D143" i="65"/>
  <c r="E143" i="65" s="1"/>
  <c r="F143" i="65" s="1"/>
  <c r="G143" i="65" s="1"/>
  <c r="H143" i="65" s="1"/>
  <c r="I143" i="65" s="1"/>
  <c r="J143" i="65" s="1"/>
  <c r="K143" i="65" s="1"/>
  <c r="B145" i="65"/>
  <c r="AO144" i="63" a="1"/>
  <c r="AO144" i="63" s="1"/>
  <c r="AN140" i="32"/>
  <c r="AF141" i="53"/>
  <c r="E143" i="53"/>
  <c r="C143" i="53"/>
  <c r="G143" i="53"/>
  <c r="L143" i="53"/>
  <c r="K143" i="53"/>
  <c r="P143" i="53"/>
  <c r="N143" i="53"/>
  <c r="F143" i="53"/>
  <c r="D143" i="53"/>
  <c r="M143" i="53"/>
  <c r="J143" i="53"/>
  <c r="O143" i="53"/>
  <c r="AG143" i="53" s="1"/>
  <c r="I143" i="53"/>
  <c r="H143" i="53"/>
  <c r="AA141" i="53"/>
  <c r="AB141" i="53"/>
  <c r="AD142" i="53"/>
  <c r="R142" i="53"/>
  <c r="X142" i="53" s="1"/>
  <c r="AC142" i="53"/>
  <c r="AH142" i="53"/>
  <c r="AT142" i="53"/>
  <c r="Q142" i="53"/>
  <c r="AE142" i="53"/>
  <c r="B144" i="53"/>
  <c r="AK143" i="52" a="1"/>
  <c r="AK143" i="52" s="1"/>
  <c r="E143" i="32"/>
  <c r="AL143" i="11" a="1"/>
  <c r="AL143" i="11" s="1"/>
  <c r="U141" i="32"/>
  <c r="AD141" i="32" s="1"/>
  <c r="AG141" i="32" s="1"/>
  <c r="AH141" i="32" s="1"/>
  <c r="AI141" i="32" s="1"/>
  <c r="AM141" i="32"/>
  <c r="B142" i="32"/>
  <c r="R142" i="32" s="1"/>
  <c r="S142" i="32" s="1"/>
  <c r="J142" i="32"/>
  <c r="M142" i="32"/>
  <c r="F142" i="32"/>
  <c r="I142" i="32"/>
  <c r="AK142" i="32"/>
  <c r="L142" i="32"/>
  <c r="N142" i="32"/>
  <c r="O142" i="32"/>
  <c r="H142" i="32"/>
  <c r="A142" i="32"/>
  <c r="Q142" i="32" s="1"/>
  <c r="P142" i="32" s="1"/>
  <c r="K142" i="32"/>
  <c r="T142" i="32"/>
  <c r="G142" i="32"/>
  <c r="AJ141" i="32"/>
  <c r="W141" i="32"/>
  <c r="X141" i="32" s="1"/>
  <c r="V141" i="32"/>
  <c r="C141" i="32"/>
  <c r="Z141" i="32"/>
  <c r="AL140" i="32"/>
  <c r="B146" i="65" l="1"/>
  <c r="AO145" i="63" a="1"/>
  <c r="AO145" i="63" s="1"/>
  <c r="P144" i="65"/>
  <c r="AM144" i="65"/>
  <c r="D144" i="65"/>
  <c r="E144" i="65" s="1"/>
  <c r="F144" i="65" s="1"/>
  <c r="G144" i="65" s="1"/>
  <c r="H144" i="65" s="1"/>
  <c r="I144" i="65" s="1"/>
  <c r="J144" i="65" s="1"/>
  <c r="K144" i="65" s="1"/>
  <c r="N144" i="65"/>
  <c r="L145" i="65"/>
  <c r="M145" i="65" s="1"/>
  <c r="C145" i="65"/>
  <c r="O145" i="65"/>
  <c r="Y143" i="65"/>
  <c r="AB143" i="65" s="1"/>
  <c r="AC143" i="65" s="1"/>
  <c r="AD143" i="65" s="1"/>
  <c r="AF143" i="65"/>
  <c r="U143" i="65"/>
  <c r="AE143" i="65"/>
  <c r="AH143" i="65"/>
  <c r="R143" i="65"/>
  <c r="S143" i="65" s="1"/>
  <c r="AV143" i="65"/>
  <c r="Q143" i="65"/>
  <c r="AG142" i="65"/>
  <c r="AF142" i="53"/>
  <c r="B145" i="53"/>
  <c r="AK144" i="52" a="1"/>
  <c r="AK144" i="52" s="1"/>
  <c r="D144" i="53"/>
  <c r="E144" i="53"/>
  <c r="L144" i="53"/>
  <c r="F144" i="53"/>
  <c r="I144" i="53"/>
  <c r="H144" i="53"/>
  <c r="K144" i="53"/>
  <c r="M144" i="53"/>
  <c r="O144" i="53"/>
  <c r="AG144" i="53" s="1"/>
  <c r="P144" i="53"/>
  <c r="G144" i="53"/>
  <c r="J144" i="53"/>
  <c r="N144" i="53"/>
  <c r="C144" i="53"/>
  <c r="AA142" i="53"/>
  <c r="AB142" i="53"/>
  <c r="AD143" i="53"/>
  <c r="R143" i="53"/>
  <c r="X143" i="53" s="1"/>
  <c r="AH143" i="53"/>
  <c r="AT143" i="53"/>
  <c r="AE143" i="53"/>
  <c r="AC143" i="53"/>
  <c r="Q143" i="53"/>
  <c r="E144" i="32"/>
  <c r="AL144" i="11" a="1"/>
  <c r="AL144" i="11" s="1"/>
  <c r="B143" i="32"/>
  <c r="R143" i="32" s="1"/>
  <c r="S143" i="32" s="1"/>
  <c r="I143" i="32"/>
  <c r="K143" i="32"/>
  <c r="H143" i="32"/>
  <c r="AK143" i="32"/>
  <c r="G143" i="32"/>
  <c r="T143" i="32"/>
  <c r="J143" i="32"/>
  <c r="L143" i="32"/>
  <c r="F143" i="32"/>
  <c r="A143" i="32"/>
  <c r="Q143" i="32" s="1"/>
  <c r="P143" i="32" s="1"/>
  <c r="N143" i="32"/>
  <c r="O143" i="32"/>
  <c r="M143" i="32"/>
  <c r="U142" i="32"/>
  <c r="AD142" i="32" s="1"/>
  <c r="AG142" i="32" s="1"/>
  <c r="AH142" i="32" s="1"/>
  <c r="AI142" i="32" s="1"/>
  <c r="AM142" i="32"/>
  <c r="AL141" i="32"/>
  <c r="AN141" i="32"/>
  <c r="AJ142" i="32"/>
  <c r="W142" i="32"/>
  <c r="X142" i="32" s="1"/>
  <c r="V142" i="32"/>
  <c r="C142" i="32"/>
  <c r="Z142" i="32"/>
  <c r="B147" i="65" l="1"/>
  <c r="AO146" i="63" a="1"/>
  <c r="AO146" i="63" s="1"/>
  <c r="L146" i="65"/>
  <c r="M146" i="65" s="1"/>
  <c r="O146" i="65"/>
  <c r="C146" i="65"/>
  <c r="P145" i="65"/>
  <c r="AM145" i="65"/>
  <c r="N145" i="65"/>
  <c r="D145" i="65"/>
  <c r="E145" i="65" s="1"/>
  <c r="F145" i="65" s="1"/>
  <c r="G145" i="65" s="1"/>
  <c r="H145" i="65" s="1"/>
  <c r="I145" i="65" s="1"/>
  <c r="J145" i="65" s="1"/>
  <c r="K145" i="65" s="1"/>
  <c r="R144" i="65"/>
  <c r="S144" i="65" s="1"/>
  <c r="Y144" i="65" s="1"/>
  <c r="AB144" i="65" s="1"/>
  <c r="AC144" i="65" s="1"/>
  <c r="AD144" i="65" s="1"/>
  <c r="Q144" i="65"/>
  <c r="AV144" i="65"/>
  <c r="AH144" i="65"/>
  <c r="U144" i="65"/>
  <c r="AF144" i="65"/>
  <c r="AE144" i="65"/>
  <c r="AG143" i="65"/>
  <c r="AT144" i="53"/>
  <c r="AE144" i="53"/>
  <c r="Q144" i="53"/>
  <c r="AC144" i="53"/>
  <c r="AD144" i="53"/>
  <c r="R144" i="53"/>
  <c r="X144" i="53" s="1"/>
  <c r="AH144" i="53"/>
  <c r="O145" i="53"/>
  <c r="H145" i="53"/>
  <c r="D145" i="53"/>
  <c r="N145" i="53"/>
  <c r="E145" i="53"/>
  <c r="G145" i="53"/>
  <c r="P145" i="53"/>
  <c r="J145" i="53"/>
  <c r="F145" i="53"/>
  <c r="M145" i="53"/>
  <c r="I145" i="53"/>
  <c r="C145" i="53"/>
  <c r="K145" i="53"/>
  <c r="L145" i="53"/>
  <c r="AF143" i="53"/>
  <c r="AB143" i="53"/>
  <c r="AA143" i="53"/>
  <c r="B146" i="53"/>
  <c r="AK145" i="52" a="1"/>
  <c r="AK145" i="52" s="1"/>
  <c r="B144" i="32"/>
  <c r="R144" i="32" s="1"/>
  <c r="S144" i="32" s="1"/>
  <c r="F144" i="32"/>
  <c r="I144" i="32"/>
  <c r="N144" i="32"/>
  <c r="J144" i="32"/>
  <c r="AK144" i="32"/>
  <c r="H144" i="32"/>
  <c r="M144" i="32"/>
  <c r="O144" i="32"/>
  <c r="L144" i="32"/>
  <c r="A144" i="32"/>
  <c r="Q144" i="32" s="1"/>
  <c r="P144" i="32" s="1"/>
  <c r="G144" i="32"/>
  <c r="T144" i="32"/>
  <c r="K144" i="32"/>
  <c r="AL142" i="32"/>
  <c r="AN142" i="32"/>
  <c r="AM143" i="32"/>
  <c r="U143" i="32"/>
  <c r="AD143" i="32" s="1"/>
  <c r="AG143" i="32" s="1"/>
  <c r="AH143" i="32" s="1"/>
  <c r="AI143" i="32" s="1"/>
  <c r="AN143" i="32" s="1"/>
  <c r="V143" i="32"/>
  <c r="C143" i="32"/>
  <c r="Z143" i="32"/>
  <c r="AJ143" i="32"/>
  <c r="W143" i="32"/>
  <c r="X143" i="32" s="1"/>
  <c r="E145" i="32"/>
  <c r="AL145" i="11" a="1"/>
  <c r="AL145" i="11" s="1"/>
  <c r="O147" i="65" l="1"/>
  <c r="C147" i="65"/>
  <c r="L147" i="65"/>
  <c r="M147" i="65" s="1"/>
  <c r="Q145" i="65"/>
  <c r="AE145" i="65"/>
  <c r="AV145" i="65"/>
  <c r="R145" i="65"/>
  <c r="S145" i="65" s="1"/>
  <c r="AH145" i="65"/>
  <c r="AF145" i="65"/>
  <c r="U145" i="65"/>
  <c r="Y145" i="65"/>
  <c r="AB145" i="65" s="1"/>
  <c r="AC145" i="65" s="1"/>
  <c r="AD145" i="65" s="1"/>
  <c r="AG144" i="65"/>
  <c r="AM146" i="65"/>
  <c r="D146" i="65"/>
  <c r="E146" i="65" s="1"/>
  <c r="F146" i="65" s="1"/>
  <c r="G146" i="65" s="1"/>
  <c r="H146" i="65" s="1"/>
  <c r="I146" i="65" s="1"/>
  <c r="J146" i="65" s="1"/>
  <c r="K146" i="65" s="1"/>
  <c r="N146" i="65"/>
  <c r="P146" i="65"/>
  <c r="B148" i="65"/>
  <c r="AO147" i="63" a="1"/>
  <c r="AO147" i="63" s="1"/>
  <c r="AF144" i="53"/>
  <c r="AG145" i="53"/>
  <c r="B147" i="53"/>
  <c r="AK146" i="52" a="1"/>
  <c r="AK146" i="52" s="1"/>
  <c r="M146" i="53"/>
  <c r="G146" i="53"/>
  <c r="L146" i="53"/>
  <c r="E146" i="53"/>
  <c r="N146" i="53"/>
  <c r="F146" i="53"/>
  <c r="H146" i="53"/>
  <c r="P146" i="53"/>
  <c r="J146" i="53"/>
  <c r="O146" i="53"/>
  <c r="I146" i="53"/>
  <c r="D146" i="53"/>
  <c r="K146" i="53"/>
  <c r="C146" i="53"/>
  <c r="AB144" i="53"/>
  <c r="AA144" i="53"/>
  <c r="AE145" i="53"/>
  <c r="R145" i="53"/>
  <c r="X145" i="53" s="1"/>
  <c r="AT145" i="53"/>
  <c r="AD145" i="53"/>
  <c r="Q145" i="53"/>
  <c r="AC145" i="53"/>
  <c r="AH145" i="53"/>
  <c r="E146" i="32"/>
  <c r="AL146" i="11" a="1"/>
  <c r="AL146" i="11" s="1"/>
  <c r="AM144" i="32"/>
  <c r="U144" i="32"/>
  <c r="AD144" i="32" s="1"/>
  <c r="AG144" i="32" s="1"/>
  <c r="AH144" i="32" s="1"/>
  <c r="AI144" i="32" s="1"/>
  <c r="AL143" i="32"/>
  <c r="V144" i="32"/>
  <c r="C144" i="32"/>
  <c r="AJ144" i="32"/>
  <c r="Z144" i="32"/>
  <c r="W144" i="32"/>
  <c r="X144" i="32" s="1"/>
  <c r="AK145" i="32"/>
  <c r="G145" i="32"/>
  <c r="L145" i="32"/>
  <c r="T145" i="32"/>
  <c r="H145" i="32"/>
  <c r="O145" i="32"/>
  <c r="F145" i="32"/>
  <c r="K145" i="32"/>
  <c r="B145" i="32"/>
  <c r="R145" i="32" s="1"/>
  <c r="S145" i="32" s="1"/>
  <c r="J145" i="32"/>
  <c r="M145" i="32"/>
  <c r="N145" i="32"/>
  <c r="I145" i="32"/>
  <c r="A145" i="32"/>
  <c r="Q145" i="32" s="1"/>
  <c r="P145" i="32" s="1"/>
  <c r="B149" i="65" l="1"/>
  <c r="AO148" i="63" a="1"/>
  <c r="AO148" i="63" s="1"/>
  <c r="D147" i="65"/>
  <c r="E147" i="65" s="1"/>
  <c r="F147" i="65" s="1"/>
  <c r="G147" i="65" s="1"/>
  <c r="H147" i="65" s="1"/>
  <c r="I147" i="65" s="1"/>
  <c r="J147" i="65" s="1"/>
  <c r="K147" i="65" s="1"/>
  <c r="P147" i="65"/>
  <c r="AM147" i="65"/>
  <c r="N147" i="65"/>
  <c r="O148" i="65"/>
  <c r="L148" i="65"/>
  <c r="M148" i="65" s="1"/>
  <c r="C148" i="65"/>
  <c r="AG145" i="65"/>
  <c r="Y146" i="65"/>
  <c r="AB146" i="65" s="1"/>
  <c r="AC146" i="65" s="1"/>
  <c r="AD146" i="65" s="1"/>
  <c r="AF146" i="65"/>
  <c r="AH146" i="65"/>
  <c r="AV146" i="65"/>
  <c r="Q146" i="65"/>
  <c r="AE146" i="65"/>
  <c r="R146" i="65"/>
  <c r="S146" i="65" s="1"/>
  <c r="U146" i="65"/>
  <c r="AB145" i="53"/>
  <c r="AA145" i="53"/>
  <c r="AG146" i="53"/>
  <c r="AF145" i="53"/>
  <c r="AE146" i="53"/>
  <c r="AH146" i="53"/>
  <c r="Q146" i="53"/>
  <c r="AD146" i="53"/>
  <c r="AC146" i="53"/>
  <c r="AT146" i="53"/>
  <c r="R146" i="53"/>
  <c r="X146" i="53" s="1"/>
  <c r="B148" i="53"/>
  <c r="AK147" i="52" a="1"/>
  <c r="AK147" i="52" s="1"/>
  <c r="E147" i="53"/>
  <c r="I147" i="53"/>
  <c r="G147" i="53"/>
  <c r="F147" i="53"/>
  <c r="J147" i="53"/>
  <c r="D147" i="53"/>
  <c r="N147" i="53"/>
  <c r="L147" i="53"/>
  <c r="M147" i="53"/>
  <c r="C147" i="53"/>
  <c r="O147" i="53"/>
  <c r="AG147" i="53" s="1"/>
  <c r="P147" i="53"/>
  <c r="H147" i="53"/>
  <c r="K147" i="53"/>
  <c r="AL144" i="32"/>
  <c r="E147" i="32"/>
  <c r="AL147" i="11" a="1"/>
  <c r="AL147" i="11" s="1"/>
  <c r="T146" i="32"/>
  <c r="F146" i="32"/>
  <c r="O146" i="32"/>
  <c r="I146" i="32"/>
  <c r="L146" i="32"/>
  <c r="N146" i="32"/>
  <c r="A146" i="32"/>
  <c r="Q146" i="32" s="1"/>
  <c r="P146" i="32" s="1"/>
  <c r="G146" i="32"/>
  <c r="M146" i="32"/>
  <c r="AK146" i="32"/>
  <c r="J146" i="32"/>
  <c r="H146" i="32"/>
  <c r="K146" i="32"/>
  <c r="B146" i="32"/>
  <c r="R146" i="32" s="1"/>
  <c r="S146" i="32" s="1"/>
  <c r="W145" i="32"/>
  <c r="X145" i="32" s="1"/>
  <c r="Z145" i="32"/>
  <c r="C145" i="32"/>
  <c r="V145" i="32"/>
  <c r="AJ145" i="32"/>
  <c r="AN144" i="32"/>
  <c r="U145" i="32"/>
  <c r="AD145" i="32" s="1"/>
  <c r="AG145" i="32" s="1"/>
  <c r="AH145" i="32" s="1"/>
  <c r="AI145" i="32" s="1"/>
  <c r="AM145" i="32"/>
  <c r="D148" i="65" l="1"/>
  <c r="E148" i="65" s="1"/>
  <c r="F148" i="65" s="1"/>
  <c r="G148" i="65" s="1"/>
  <c r="H148" i="65" s="1"/>
  <c r="I148" i="65" s="1"/>
  <c r="J148" i="65" s="1"/>
  <c r="K148" i="65" s="1"/>
  <c r="AM148" i="65"/>
  <c r="N148" i="65"/>
  <c r="P148" i="65"/>
  <c r="L149" i="65"/>
  <c r="M149" i="65" s="1"/>
  <c r="O149" i="65"/>
  <c r="C149" i="65"/>
  <c r="Q147" i="65"/>
  <c r="AF147" i="65"/>
  <c r="R147" i="65"/>
  <c r="S147" i="65" s="1"/>
  <c r="Y147" i="65" s="1"/>
  <c r="AB147" i="65" s="1"/>
  <c r="AC147" i="65" s="1"/>
  <c r="AD147" i="65" s="1"/>
  <c r="AE147" i="65"/>
  <c r="AH147" i="65"/>
  <c r="U147" i="65"/>
  <c r="AV147" i="65"/>
  <c r="AG146" i="65"/>
  <c r="B150" i="65"/>
  <c r="AO149" i="63" a="1"/>
  <c r="AO149" i="63" s="1"/>
  <c r="R147" i="53"/>
  <c r="X147" i="53" s="1"/>
  <c r="AT147" i="53"/>
  <c r="Q147" i="53"/>
  <c r="AC147" i="53"/>
  <c r="AD147" i="53"/>
  <c r="AE147" i="53"/>
  <c r="AH147" i="53"/>
  <c r="B149" i="53"/>
  <c r="AK148" i="52" a="1"/>
  <c r="AK148" i="52" s="1"/>
  <c r="AF146" i="53"/>
  <c r="E148" i="53"/>
  <c r="K148" i="53"/>
  <c r="H148" i="53"/>
  <c r="N148" i="53"/>
  <c r="F148" i="53"/>
  <c r="J148" i="53"/>
  <c r="C148" i="53"/>
  <c r="M148" i="53"/>
  <c r="D148" i="53"/>
  <c r="L148" i="53"/>
  <c r="G148" i="53"/>
  <c r="P148" i="53"/>
  <c r="I148" i="53"/>
  <c r="O148" i="53"/>
  <c r="AB146" i="53"/>
  <c r="AA146" i="53"/>
  <c r="E148" i="32"/>
  <c r="AL148" i="11" a="1"/>
  <c r="AL148" i="11" s="1"/>
  <c r="V146" i="32"/>
  <c r="Z146" i="32"/>
  <c r="C146" i="32"/>
  <c r="AJ146" i="32"/>
  <c r="W146" i="32"/>
  <c r="X146" i="32" s="1"/>
  <c r="H147" i="32"/>
  <c r="K147" i="32"/>
  <c r="G147" i="32"/>
  <c r="O147" i="32"/>
  <c r="A147" i="32"/>
  <c r="Q147" i="32" s="1"/>
  <c r="P147" i="32" s="1"/>
  <c r="N147" i="32"/>
  <c r="B147" i="32"/>
  <c r="R147" i="32" s="1"/>
  <c r="S147" i="32" s="1"/>
  <c r="I147" i="32"/>
  <c r="J147" i="32"/>
  <c r="M147" i="32"/>
  <c r="AK147" i="32"/>
  <c r="F147" i="32"/>
  <c r="L147" i="32"/>
  <c r="T147" i="32"/>
  <c r="AL145" i="32"/>
  <c r="AN145" i="32"/>
  <c r="U146" i="32"/>
  <c r="AD146" i="32" s="1"/>
  <c r="AG146" i="32" s="1"/>
  <c r="AH146" i="32" s="1"/>
  <c r="AI146" i="32" s="1"/>
  <c r="AM146" i="32"/>
  <c r="B151" i="65" l="1"/>
  <c r="AO150" i="63" a="1"/>
  <c r="AO150" i="63" s="1"/>
  <c r="AG147" i="65"/>
  <c r="O150" i="65"/>
  <c r="C150" i="65"/>
  <c r="L150" i="65"/>
  <c r="M150" i="65" s="1"/>
  <c r="AH148" i="65"/>
  <c r="R148" i="65"/>
  <c r="S148" i="65" s="1"/>
  <c r="Y148" i="65" s="1"/>
  <c r="AB148" i="65" s="1"/>
  <c r="AC148" i="65" s="1"/>
  <c r="AD148" i="65" s="1"/>
  <c r="AF148" i="65"/>
  <c r="AG148" i="65" s="1"/>
  <c r="AE148" i="65"/>
  <c r="Q148" i="65"/>
  <c r="U148" i="65"/>
  <c r="AV148" i="65"/>
  <c r="D149" i="65"/>
  <c r="E149" i="65" s="1"/>
  <c r="F149" i="65" s="1"/>
  <c r="G149" i="65" s="1"/>
  <c r="H149" i="65" s="1"/>
  <c r="I149" i="65" s="1"/>
  <c r="J149" i="65" s="1"/>
  <c r="K149" i="65" s="1"/>
  <c r="AM149" i="65"/>
  <c r="P149" i="65"/>
  <c r="N149" i="65"/>
  <c r="AG148" i="53"/>
  <c r="M149" i="53"/>
  <c r="P149" i="53"/>
  <c r="I149" i="53"/>
  <c r="J149" i="53"/>
  <c r="G149" i="53"/>
  <c r="O149" i="53"/>
  <c r="AG149" i="53" s="1"/>
  <c r="L149" i="53"/>
  <c r="K149" i="53"/>
  <c r="F149" i="53"/>
  <c r="N149" i="53"/>
  <c r="E149" i="53"/>
  <c r="D149" i="53"/>
  <c r="H149" i="53"/>
  <c r="C149" i="53"/>
  <c r="AF147" i="53"/>
  <c r="AB147" i="53"/>
  <c r="AA147" i="53"/>
  <c r="B150" i="53"/>
  <c r="AK149" i="52" a="1"/>
  <c r="AK149" i="52" s="1"/>
  <c r="AH148" i="53"/>
  <c r="AC148" i="53"/>
  <c r="AD148" i="53"/>
  <c r="AT148" i="53"/>
  <c r="AE148" i="53"/>
  <c r="Q148" i="53"/>
  <c r="R148" i="53"/>
  <c r="X148" i="53" s="1"/>
  <c r="AM147" i="32"/>
  <c r="U147" i="32"/>
  <c r="AD147" i="32" s="1"/>
  <c r="AG147" i="32" s="1"/>
  <c r="AH147" i="32" s="1"/>
  <c r="AI147" i="32" s="1"/>
  <c r="AN146" i="32"/>
  <c r="F148" i="32"/>
  <c r="J148" i="32"/>
  <c r="AK148" i="32"/>
  <c r="H148" i="32"/>
  <c r="M148" i="32"/>
  <c r="B148" i="32"/>
  <c r="R148" i="32" s="1"/>
  <c r="S148" i="32" s="1"/>
  <c r="I148" i="32"/>
  <c r="N148" i="32"/>
  <c r="K148" i="32"/>
  <c r="L148" i="32"/>
  <c r="G148" i="32"/>
  <c r="T148" i="32"/>
  <c r="O148" i="32"/>
  <c r="A148" i="32"/>
  <c r="Q148" i="32" s="1"/>
  <c r="P148" i="32" s="1"/>
  <c r="AL146" i="32"/>
  <c r="AJ147" i="32"/>
  <c r="C147" i="32"/>
  <c r="V147" i="32"/>
  <c r="W147" i="32"/>
  <c r="X147" i="32" s="1"/>
  <c r="Z147" i="32"/>
  <c r="E149" i="32"/>
  <c r="AL149" i="11" a="1"/>
  <c r="AL149" i="11" s="1"/>
  <c r="R149" i="65" l="1"/>
  <c r="S149" i="65" s="1"/>
  <c r="Y149" i="65" s="1"/>
  <c r="AB149" i="65" s="1"/>
  <c r="AC149" i="65" s="1"/>
  <c r="AD149" i="65" s="1"/>
  <c r="AH149" i="65"/>
  <c r="U149" i="65"/>
  <c r="AE149" i="65"/>
  <c r="AV149" i="65"/>
  <c r="AF149" i="65"/>
  <c r="Q149" i="65"/>
  <c r="L151" i="65"/>
  <c r="M151" i="65" s="1"/>
  <c r="O151" i="65"/>
  <c r="C151" i="65"/>
  <c r="D150" i="65"/>
  <c r="E150" i="65" s="1"/>
  <c r="F150" i="65" s="1"/>
  <c r="G150" i="65" s="1"/>
  <c r="H150" i="65" s="1"/>
  <c r="I150" i="65" s="1"/>
  <c r="J150" i="65" s="1"/>
  <c r="K150" i="65" s="1"/>
  <c r="N150" i="65"/>
  <c r="P150" i="65"/>
  <c r="AM150" i="65"/>
  <c r="B152" i="65"/>
  <c r="AO151" i="63" a="1"/>
  <c r="AO151" i="63" s="1"/>
  <c r="AA148" i="53"/>
  <c r="AB148" i="53"/>
  <c r="B151" i="53"/>
  <c r="AK150" i="52" a="1"/>
  <c r="AK150" i="52" s="1"/>
  <c r="H150" i="53"/>
  <c r="C150" i="53"/>
  <c r="N150" i="53"/>
  <c r="F150" i="53"/>
  <c r="L150" i="53"/>
  <c r="M150" i="53"/>
  <c r="J150" i="53"/>
  <c r="O150" i="53"/>
  <c r="AG150" i="53" s="1"/>
  <c r="G150" i="53"/>
  <c r="D150" i="53"/>
  <c r="K150" i="53"/>
  <c r="E150" i="53"/>
  <c r="P150" i="53"/>
  <c r="I150" i="53"/>
  <c r="AF148" i="53"/>
  <c r="R149" i="53"/>
  <c r="X149" i="53" s="1"/>
  <c r="AH149" i="53"/>
  <c r="AT149" i="53"/>
  <c r="AE149" i="53"/>
  <c r="Q149" i="53"/>
  <c r="AD149" i="53"/>
  <c r="AC149" i="53"/>
  <c r="AN147" i="32"/>
  <c r="H149" i="32"/>
  <c r="AK149" i="32"/>
  <c r="F149" i="32"/>
  <c r="K149" i="32"/>
  <c r="T149" i="32"/>
  <c r="N149" i="32"/>
  <c r="G149" i="32"/>
  <c r="L149" i="32"/>
  <c r="M149" i="32"/>
  <c r="O149" i="32"/>
  <c r="A149" i="32"/>
  <c r="Q149" i="32" s="1"/>
  <c r="P149" i="32" s="1"/>
  <c r="B149" i="32"/>
  <c r="R149" i="32" s="1"/>
  <c r="S149" i="32" s="1"/>
  <c r="I149" i="32"/>
  <c r="J149" i="32"/>
  <c r="W148" i="32"/>
  <c r="X148" i="32" s="1"/>
  <c r="C148" i="32"/>
  <c r="AJ148" i="32"/>
  <c r="V148" i="32"/>
  <c r="Z148" i="32"/>
  <c r="AM148" i="32"/>
  <c r="U148" i="32"/>
  <c r="AD148" i="32" s="1"/>
  <c r="AG148" i="32" s="1"/>
  <c r="AH148" i="32" s="1"/>
  <c r="AI148" i="32" s="1"/>
  <c r="AL147" i="32"/>
  <c r="E150" i="32"/>
  <c r="AL150" i="11" a="1"/>
  <c r="AL150" i="11" s="1"/>
  <c r="B153" i="65" l="1"/>
  <c r="AO152" i="63" a="1"/>
  <c r="AO152" i="63" s="1"/>
  <c r="N151" i="65"/>
  <c r="AM151" i="65"/>
  <c r="P151" i="65"/>
  <c r="D151" i="65"/>
  <c r="E151" i="65" s="1"/>
  <c r="F151" i="65" s="1"/>
  <c r="G151" i="65" s="1"/>
  <c r="H151" i="65" s="1"/>
  <c r="I151" i="65" s="1"/>
  <c r="J151" i="65" s="1"/>
  <c r="K151" i="65" s="1"/>
  <c r="O152" i="65"/>
  <c r="L152" i="65"/>
  <c r="M152" i="65" s="1"/>
  <c r="C152" i="65"/>
  <c r="AG149" i="65"/>
  <c r="Y150" i="65"/>
  <c r="AB150" i="65" s="1"/>
  <c r="AC150" i="65" s="1"/>
  <c r="AD150" i="65" s="1"/>
  <c r="R150" i="65"/>
  <c r="S150" i="65" s="1"/>
  <c r="AF150" i="65"/>
  <c r="AH150" i="65"/>
  <c r="Q150" i="65"/>
  <c r="AE150" i="65"/>
  <c r="AV150" i="65"/>
  <c r="U150" i="65"/>
  <c r="AE150" i="53"/>
  <c r="R150" i="53"/>
  <c r="X150" i="53" s="1"/>
  <c r="Q150" i="53"/>
  <c r="AT150" i="53"/>
  <c r="AD150" i="53"/>
  <c r="AC150" i="53"/>
  <c r="AH150" i="53"/>
  <c r="AF149" i="53"/>
  <c r="AA149" i="53"/>
  <c r="AB149" i="53"/>
  <c r="B152" i="53"/>
  <c r="AK151" i="52" a="1"/>
  <c r="AK151" i="52" s="1"/>
  <c r="I151" i="53"/>
  <c r="D151" i="53"/>
  <c r="P151" i="53"/>
  <c r="F151" i="53"/>
  <c r="E151" i="53"/>
  <c r="J151" i="53"/>
  <c r="H151" i="53"/>
  <c r="N151" i="53"/>
  <c r="G151" i="53"/>
  <c r="M151" i="53"/>
  <c r="L151" i="53"/>
  <c r="O151" i="53"/>
  <c r="C151" i="53"/>
  <c r="K151" i="53"/>
  <c r="E151" i="32"/>
  <c r="AL151" i="11" a="1"/>
  <c r="AL151" i="11" s="1"/>
  <c r="AK150" i="32"/>
  <c r="L150" i="32"/>
  <c r="N150" i="32"/>
  <c r="O150" i="32"/>
  <c r="H150" i="32"/>
  <c r="F150" i="32"/>
  <c r="I150" i="32"/>
  <c r="G150" i="32"/>
  <c r="K150" i="32"/>
  <c r="J150" i="32"/>
  <c r="T150" i="32"/>
  <c r="A150" i="32"/>
  <c r="Q150" i="32" s="1"/>
  <c r="P150" i="32" s="1"/>
  <c r="M150" i="32"/>
  <c r="B150" i="32"/>
  <c r="R150" i="32" s="1"/>
  <c r="S150" i="32" s="1"/>
  <c r="C149" i="32"/>
  <c r="Z149" i="32"/>
  <c r="AJ149" i="32"/>
  <c r="V149" i="32"/>
  <c r="W149" i="32"/>
  <c r="X149" i="32" s="1"/>
  <c r="AM149" i="32"/>
  <c r="U149" i="32"/>
  <c r="AD149" i="32" s="1"/>
  <c r="AG149" i="32" s="1"/>
  <c r="AH149" i="32" s="1"/>
  <c r="AI149" i="32" s="1"/>
  <c r="AN148" i="32"/>
  <c r="AL148" i="32"/>
  <c r="N152" i="65" l="1"/>
  <c r="AM152" i="65"/>
  <c r="D152" i="65"/>
  <c r="E152" i="65" s="1"/>
  <c r="F152" i="65" s="1"/>
  <c r="G152" i="65" s="1"/>
  <c r="H152" i="65" s="1"/>
  <c r="I152" i="65" s="1"/>
  <c r="J152" i="65" s="1"/>
  <c r="K152" i="65" s="1"/>
  <c r="P152" i="65"/>
  <c r="C153" i="65"/>
  <c r="L153" i="65"/>
  <c r="M153" i="65" s="1"/>
  <c r="O153" i="65"/>
  <c r="AV151" i="65"/>
  <c r="R151" i="65"/>
  <c r="S151" i="65" s="1"/>
  <c r="Y151" i="65" s="1"/>
  <c r="AB151" i="65" s="1"/>
  <c r="AC151" i="65" s="1"/>
  <c r="AD151" i="65" s="1"/>
  <c r="U151" i="65"/>
  <c r="Q151" i="65"/>
  <c r="AF151" i="65"/>
  <c r="AH151" i="65"/>
  <c r="AE151" i="65"/>
  <c r="AG150" i="65"/>
  <c r="B154" i="65"/>
  <c r="AO153" i="63" a="1"/>
  <c r="AO153" i="63" s="1"/>
  <c r="AA150" i="53"/>
  <c r="AB150" i="53"/>
  <c r="AF150" i="53"/>
  <c r="AG151" i="53"/>
  <c r="AH151" i="53"/>
  <c r="AT151" i="53"/>
  <c r="AD151" i="53"/>
  <c r="AC151" i="53"/>
  <c r="Q151" i="53"/>
  <c r="R151" i="53"/>
  <c r="X151" i="53" s="1"/>
  <c r="AE151" i="53"/>
  <c r="B153" i="53"/>
  <c r="AK152" i="52" a="1"/>
  <c r="AK152" i="52" s="1"/>
  <c r="F152" i="53"/>
  <c r="O152" i="53"/>
  <c r="AG152" i="53" s="1"/>
  <c r="G152" i="53"/>
  <c r="I152" i="53"/>
  <c r="C152" i="53"/>
  <c r="N152" i="53"/>
  <c r="L152" i="53"/>
  <c r="D152" i="53"/>
  <c r="P152" i="53"/>
  <c r="E152" i="53"/>
  <c r="M152" i="53"/>
  <c r="J152" i="53"/>
  <c r="H152" i="53"/>
  <c r="K152" i="53"/>
  <c r="T151" i="32"/>
  <c r="M151" i="32"/>
  <c r="A151" i="32"/>
  <c r="Q151" i="32" s="1"/>
  <c r="P151" i="32" s="1"/>
  <c r="N151" i="32"/>
  <c r="L151" i="32"/>
  <c r="AK151" i="32"/>
  <c r="J151" i="32"/>
  <c r="G151" i="32"/>
  <c r="F151" i="32"/>
  <c r="I151" i="32"/>
  <c r="K151" i="32"/>
  <c r="H151" i="32"/>
  <c r="O151" i="32"/>
  <c r="B151" i="32"/>
  <c r="R151" i="32" s="1"/>
  <c r="S151" i="32" s="1"/>
  <c r="AJ150" i="32"/>
  <c r="V150" i="32"/>
  <c r="W150" i="32"/>
  <c r="X150" i="32" s="1"/>
  <c r="Z150" i="32"/>
  <c r="C150" i="32"/>
  <c r="AM150" i="32"/>
  <c r="U150" i="32"/>
  <c r="AD150" i="32" s="1"/>
  <c r="AG150" i="32" s="1"/>
  <c r="AH150" i="32" s="1"/>
  <c r="AI150" i="32" s="1"/>
  <c r="AN150" i="32" s="1"/>
  <c r="AL149" i="32"/>
  <c r="AN149" i="32"/>
  <c r="E152" i="32"/>
  <c r="AL152" i="11" a="1"/>
  <c r="AL152" i="11" s="1"/>
  <c r="C154" i="65" l="1"/>
  <c r="O154" i="65"/>
  <c r="L154" i="65"/>
  <c r="M154" i="65" s="1"/>
  <c r="Q152" i="65"/>
  <c r="R152" i="65"/>
  <c r="S152" i="65" s="1"/>
  <c r="AF152" i="65"/>
  <c r="U152" i="65"/>
  <c r="AE152" i="65"/>
  <c r="AH152" i="65"/>
  <c r="AV152" i="65"/>
  <c r="B155" i="65"/>
  <c r="AO154" i="63" a="1"/>
  <c r="AO154" i="63" s="1"/>
  <c r="AM153" i="65"/>
  <c r="N153" i="65"/>
  <c r="P153" i="65"/>
  <c r="D153" i="65"/>
  <c r="E153" i="65" s="1"/>
  <c r="F153" i="65" s="1"/>
  <c r="G153" i="65" s="1"/>
  <c r="H153" i="65" s="1"/>
  <c r="I153" i="65" s="1"/>
  <c r="J153" i="65" s="1"/>
  <c r="K153" i="65" s="1"/>
  <c r="AG151" i="65"/>
  <c r="Y152" i="65"/>
  <c r="AB152" i="65" s="1"/>
  <c r="AC152" i="65" s="1"/>
  <c r="AD152" i="65" s="1"/>
  <c r="AA151" i="53"/>
  <c r="AB151" i="53"/>
  <c r="B154" i="53"/>
  <c r="AK153" i="52" a="1"/>
  <c r="AK153" i="52" s="1"/>
  <c r="R152" i="53"/>
  <c r="X152" i="53" s="1"/>
  <c r="AT152" i="53"/>
  <c r="AE152" i="53"/>
  <c r="AC152" i="53"/>
  <c r="AD152" i="53"/>
  <c r="Q152" i="53"/>
  <c r="AH152" i="53"/>
  <c r="E153" i="53"/>
  <c r="N153" i="53"/>
  <c r="H153" i="53"/>
  <c r="P153" i="53"/>
  <c r="F153" i="53"/>
  <c r="L153" i="53"/>
  <c r="G153" i="53"/>
  <c r="I153" i="53"/>
  <c r="C153" i="53"/>
  <c r="O153" i="53"/>
  <c r="AG153" i="53" s="1"/>
  <c r="J153" i="53"/>
  <c r="D153" i="53"/>
  <c r="M153" i="53"/>
  <c r="K153" i="53"/>
  <c r="AF151" i="53"/>
  <c r="AL150" i="32"/>
  <c r="O152" i="32"/>
  <c r="L152" i="32"/>
  <c r="B152" i="32"/>
  <c r="R152" i="32" s="1"/>
  <c r="S152" i="32" s="1"/>
  <c r="F152" i="32"/>
  <c r="AK152" i="32"/>
  <c r="H152" i="32"/>
  <c r="M152" i="32"/>
  <c r="T152" i="32"/>
  <c r="K152" i="32"/>
  <c r="A152" i="32"/>
  <c r="Q152" i="32" s="1"/>
  <c r="P152" i="32" s="1"/>
  <c r="G152" i="32"/>
  <c r="I152" i="32"/>
  <c r="N152" i="32"/>
  <c r="J152" i="32"/>
  <c r="AM151" i="32"/>
  <c r="U151" i="32"/>
  <c r="AD151" i="32" s="1"/>
  <c r="AG151" i="32" s="1"/>
  <c r="AH151" i="32" s="1"/>
  <c r="AI151" i="32" s="1"/>
  <c r="W151" i="32"/>
  <c r="X151" i="32" s="1"/>
  <c r="V151" i="32"/>
  <c r="Z151" i="32"/>
  <c r="AJ151" i="32"/>
  <c r="C151" i="32"/>
  <c r="E153" i="32"/>
  <c r="AL153" i="11" a="1"/>
  <c r="AL153" i="11" s="1"/>
  <c r="R153" i="65" l="1"/>
  <c r="S153" i="65" s="1"/>
  <c r="Y153" i="65" s="1"/>
  <c r="AB153" i="65" s="1"/>
  <c r="AC153" i="65" s="1"/>
  <c r="AD153" i="65" s="1"/>
  <c r="AE153" i="65"/>
  <c r="Q153" i="65"/>
  <c r="AH153" i="65"/>
  <c r="AF153" i="65"/>
  <c r="AV153" i="65"/>
  <c r="U153" i="65"/>
  <c r="AM154" i="65"/>
  <c r="D154" i="65"/>
  <c r="E154" i="65" s="1"/>
  <c r="F154" i="65" s="1"/>
  <c r="G154" i="65" s="1"/>
  <c r="H154" i="65" s="1"/>
  <c r="I154" i="65" s="1"/>
  <c r="J154" i="65" s="1"/>
  <c r="K154" i="65" s="1"/>
  <c r="N154" i="65"/>
  <c r="P154" i="65"/>
  <c r="B156" i="65"/>
  <c r="AO155" i="63" a="1"/>
  <c r="AO155" i="63" s="1"/>
  <c r="AG152" i="65"/>
  <c r="L155" i="65"/>
  <c r="M155" i="65" s="1"/>
  <c r="O155" i="65"/>
  <c r="C155" i="65"/>
  <c r="AF152" i="53"/>
  <c r="AA152" i="53"/>
  <c r="AB152" i="53"/>
  <c r="AE153" i="53"/>
  <c r="Q153" i="53"/>
  <c r="AT153" i="53"/>
  <c r="AD153" i="53"/>
  <c r="AC153" i="53"/>
  <c r="R153" i="53"/>
  <c r="X153" i="53" s="1"/>
  <c r="AH153" i="53"/>
  <c r="B155" i="53"/>
  <c r="AK154" i="52" a="1"/>
  <c r="AK154" i="52" s="1"/>
  <c r="P154" i="53"/>
  <c r="F154" i="53"/>
  <c r="O154" i="53"/>
  <c r="AG154" i="53" s="1"/>
  <c r="E154" i="53"/>
  <c r="L154" i="53"/>
  <c r="C154" i="53"/>
  <c r="G154" i="53"/>
  <c r="I154" i="53"/>
  <c r="M154" i="53"/>
  <c r="H154" i="53"/>
  <c r="N154" i="53"/>
  <c r="D154" i="53"/>
  <c r="J154" i="53"/>
  <c r="K154" i="53"/>
  <c r="AL151" i="32"/>
  <c r="E154" i="32"/>
  <c r="AL154" i="11" a="1"/>
  <c r="AL154" i="11" s="1"/>
  <c r="N153" i="32"/>
  <c r="O153" i="32"/>
  <c r="B153" i="32"/>
  <c r="R153" i="32" s="1"/>
  <c r="S153" i="32" s="1"/>
  <c r="J153" i="32"/>
  <c r="AK153" i="32"/>
  <c r="H153" i="32"/>
  <c r="F153" i="32"/>
  <c r="K153" i="32"/>
  <c r="T153" i="32"/>
  <c r="I153" i="32"/>
  <c r="M153" i="32"/>
  <c r="G153" i="32"/>
  <c r="A153" i="32"/>
  <c r="Q153" i="32" s="1"/>
  <c r="P153" i="32" s="1"/>
  <c r="L153" i="32"/>
  <c r="U152" i="32"/>
  <c r="AD152" i="32" s="1"/>
  <c r="AG152" i="32" s="1"/>
  <c r="AH152" i="32" s="1"/>
  <c r="AI152" i="32" s="1"/>
  <c r="AM152" i="32"/>
  <c r="W152" i="32"/>
  <c r="X152" i="32" s="1"/>
  <c r="V152" i="32"/>
  <c r="C152" i="32"/>
  <c r="Z152" i="32"/>
  <c r="AJ152" i="32"/>
  <c r="AN151" i="32"/>
  <c r="B157" i="65" l="1"/>
  <c r="AO156" i="63" a="1"/>
  <c r="AO156" i="63" s="1"/>
  <c r="L156" i="65"/>
  <c r="M156" i="65" s="1"/>
  <c r="C156" i="65"/>
  <c r="O156" i="65"/>
  <c r="AG153" i="65"/>
  <c r="Y154" i="65"/>
  <c r="AB154" i="65" s="1"/>
  <c r="AC154" i="65" s="1"/>
  <c r="AD154" i="65" s="1"/>
  <c r="D155" i="65"/>
  <c r="E155" i="65" s="1"/>
  <c r="F155" i="65" s="1"/>
  <c r="G155" i="65" s="1"/>
  <c r="H155" i="65" s="1"/>
  <c r="I155" i="65" s="1"/>
  <c r="J155" i="65" s="1"/>
  <c r="K155" i="65" s="1"/>
  <c r="AM155" i="65"/>
  <c r="N155" i="65"/>
  <c r="P155" i="65"/>
  <c r="AE154" i="65"/>
  <c r="AF154" i="65"/>
  <c r="AV154" i="65"/>
  <c r="AH154" i="65"/>
  <c r="Q154" i="65"/>
  <c r="R154" i="65"/>
  <c r="S154" i="65" s="1"/>
  <c r="U154" i="65"/>
  <c r="AF153" i="53"/>
  <c r="AB153" i="53"/>
  <c r="AA153" i="53"/>
  <c r="Q154" i="53"/>
  <c r="AD154" i="53"/>
  <c r="AE154" i="53"/>
  <c r="R154" i="53"/>
  <c r="X154" i="53" s="1"/>
  <c r="AH154" i="53"/>
  <c r="AC154" i="53"/>
  <c r="AT154" i="53"/>
  <c r="B156" i="53"/>
  <c r="AK155" i="52" a="1"/>
  <c r="AK155" i="52" s="1"/>
  <c r="O155" i="53"/>
  <c r="C155" i="53"/>
  <c r="J155" i="53"/>
  <c r="I155" i="53"/>
  <c r="K155" i="53"/>
  <c r="P155" i="53"/>
  <c r="E155" i="53"/>
  <c r="N155" i="53"/>
  <c r="D155" i="53"/>
  <c r="F155" i="53"/>
  <c r="M155" i="53"/>
  <c r="H155" i="53"/>
  <c r="L155" i="53"/>
  <c r="G155" i="53"/>
  <c r="E155" i="32"/>
  <c r="AL155" i="11" a="1"/>
  <c r="AL155" i="11" s="1"/>
  <c r="AL152" i="32"/>
  <c r="AM153" i="32"/>
  <c r="U153" i="32"/>
  <c r="AD153" i="32" s="1"/>
  <c r="AG153" i="32" s="1"/>
  <c r="AH153" i="32" s="1"/>
  <c r="AI153" i="32" s="1"/>
  <c r="T154" i="32"/>
  <c r="A154" i="32"/>
  <c r="Q154" i="32" s="1"/>
  <c r="P154" i="32" s="1"/>
  <c r="K154" i="32"/>
  <c r="J154" i="32"/>
  <c r="G154" i="32"/>
  <c r="L154" i="32"/>
  <c r="AK154" i="32"/>
  <c r="H154" i="32"/>
  <c r="M154" i="32"/>
  <c r="N154" i="32"/>
  <c r="B154" i="32"/>
  <c r="R154" i="32" s="1"/>
  <c r="S154" i="32" s="1"/>
  <c r="F154" i="32"/>
  <c r="O154" i="32"/>
  <c r="I154" i="32"/>
  <c r="AN152" i="32"/>
  <c r="C153" i="32"/>
  <c r="W153" i="32"/>
  <c r="X153" i="32" s="1"/>
  <c r="Z153" i="32"/>
  <c r="AJ153" i="32"/>
  <c r="V153" i="32"/>
  <c r="B158" i="65" l="1"/>
  <c r="AO157" i="63" a="1"/>
  <c r="AO157" i="63" s="1"/>
  <c r="L157" i="65"/>
  <c r="M157" i="65" s="1"/>
  <c r="O157" i="65"/>
  <c r="C157" i="65"/>
  <c r="Q155" i="65"/>
  <c r="AF155" i="65"/>
  <c r="R155" i="65"/>
  <c r="S155" i="65" s="1"/>
  <c r="Y155" i="65" s="1"/>
  <c r="AB155" i="65" s="1"/>
  <c r="AC155" i="65" s="1"/>
  <c r="AD155" i="65" s="1"/>
  <c r="AE155" i="65"/>
  <c r="AV155" i="65"/>
  <c r="AH155" i="65"/>
  <c r="U155" i="65"/>
  <c r="AG154" i="65"/>
  <c r="D156" i="65"/>
  <c r="E156" i="65" s="1"/>
  <c r="F156" i="65" s="1"/>
  <c r="G156" i="65" s="1"/>
  <c r="H156" i="65" s="1"/>
  <c r="I156" i="65" s="1"/>
  <c r="J156" i="65" s="1"/>
  <c r="K156" i="65" s="1"/>
  <c r="N156" i="65"/>
  <c r="AM156" i="65"/>
  <c r="P156" i="65"/>
  <c r="AF154" i="53"/>
  <c r="AD155" i="53"/>
  <c r="AC155" i="53"/>
  <c r="AH155" i="53"/>
  <c r="Q155" i="53"/>
  <c r="AT155" i="53"/>
  <c r="AE155" i="53"/>
  <c r="R155" i="53"/>
  <c r="X155" i="53" s="1"/>
  <c r="AB154" i="53"/>
  <c r="AA154" i="53"/>
  <c r="B157" i="53"/>
  <c r="AK156" i="52" a="1"/>
  <c r="AK156" i="52" s="1"/>
  <c r="AG155" i="53"/>
  <c r="M156" i="53"/>
  <c r="E156" i="53"/>
  <c r="K156" i="53"/>
  <c r="N156" i="53"/>
  <c r="L156" i="53"/>
  <c r="P156" i="53"/>
  <c r="C156" i="53"/>
  <c r="J156" i="53"/>
  <c r="O156" i="53"/>
  <c r="AG156" i="53" s="1"/>
  <c r="H156" i="53"/>
  <c r="I156" i="53"/>
  <c r="G156" i="53"/>
  <c r="D156" i="53"/>
  <c r="F156" i="53"/>
  <c r="W154" i="32"/>
  <c r="X154" i="32" s="1"/>
  <c r="V154" i="32"/>
  <c r="AJ154" i="32"/>
  <c r="Z154" i="32"/>
  <c r="C154" i="32"/>
  <c r="AN153" i="32"/>
  <c r="AL153" i="32"/>
  <c r="E156" i="32"/>
  <c r="AL156" i="11" a="1"/>
  <c r="AL156" i="11" s="1"/>
  <c r="AM154" i="32"/>
  <c r="U154" i="32"/>
  <c r="AD154" i="32" s="1"/>
  <c r="AG154" i="32" s="1"/>
  <c r="AH154" i="32" s="1"/>
  <c r="AI154" i="32" s="1"/>
  <c r="T155" i="32"/>
  <c r="F155" i="32"/>
  <c r="B155" i="32"/>
  <c r="R155" i="32" s="1"/>
  <c r="S155" i="32" s="1"/>
  <c r="I155" i="32"/>
  <c r="AK155" i="32"/>
  <c r="J155" i="32"/>
  <c r="L155" i="32"/>
  <c r="M155" i="32"/>
  <c r="N155" i="32"/>
  <c r="H155" i="32"/>
  <c r="K155" i="32"/>
  <c r="A155" i="32"/>
  <c r="Q155" i="32" s="1"/>
  <c r="P155" i="32" s="1"/>
  <c r="G155" i="32"/>
  <c r="O155" i="32"/>
  <c r="L158" i="65" l="1"/>
  <c r="M158" i="65" s="1"/>
  <c r="C158" i="65"/>
  <c r="O158" i="65"/>
  <c r="AG155" i="65"/>
  <c r="U156" i="65"/>
  <c r="AH156" i="65"/>
  <c r="AE156" i="65"/>
  <c r="R156" i="65"/>
  <c r="S156" i="65" s="1"/>
  <c r="Y156" i="65" s="1"/>
  <c r="AB156" i="65" s="1"/>
  <c r="AC156" i="65" s="1"/>
  <c r="AD156" i="65" s="1"/>
  <c r="AV156" i="65"/>
  <c r="Q156" i="65"/>
  <c r="AF156" i="65"/>
  <c r="P157" i="65"/>
  <c r="AM157" i="65"/>
  <c r="N157" i="65"/>
  <c r="D157" i="65"/>
  <c r="E157" i="65" s="1"/>
  <c r="F157" i="65" s="1"/>
  <c r="G157" i="65" s="1"/>
  <c r="H157" i="65" s="1"/>
  <c r="I157" i="65" s="1"/>
  <c r="J157" i="65" s="1"/>
  <c r="K157" i="65" s="1"/>
  <c r="B159" i="65"/>
  <c r="AO158" i="63" a="1"/>
  <c r="AO158" i="63" s="1"/>
  <c r="AF155" i="53"/>
  <c r="AH156" i="53"/>
  <c r="AC156" i="53"/>
  <c r="AD156" i="53"/>
  <c r="AT156" i="53"/>
  <c r="AE156" i="53"/>
  <c r="R156" i="53"/>
  <c r="X156" i="53" s="1"/>
  <c r="Q156" i="53"/>
  <c r="N157" i="53"/>
  <c r="H157" i="53"/>
  <c r="I157" i="53"/>
  <c r="C157" i="53"/>
  <c r="K157" i="53"/>
  <c r="P157" i="53"/>
  <c r="M157" i="53"/>
  <c r="F157" i="53"/>
  <c r="L157" i="53"/>
  <c r="E157" i="53"/>
  <c r="J157" i="53"/>
  <c r="D157" i="53"/>
  <c r="G157" i="53"/>
  <c r="O157" i="53"/>
  <c r="AB155" i="53"/>
  <c r="AA155" i="53"/>
  <c r="B158" i="53"/>
  <c r="AK157" i="52" a="1"/>
  <c r="AK157" i="52" s="1"/>
  <c r="E157" i="32"/>
  <c r="AL157" i="11" a="1"/>
  <c r="AL157" i="11" s="1"/>
  <c r="O156" i="32"/>
  <c r="B156" i="32"/>
  <c r="R156" i="32" s="1"/>
  <c r="S156" i="32" s="1"/>
  <c r="I156" i="32"/>
  <c r="F156" i="32"/>
  <c r="H156" i="32"/>
  <c r="AK156" i="32"/>
  <c r="K156" i="32"/>
  <c r="L156" i="32"/>
  <c r="G156" i="32"/>
  <c r="A156" i="32"/>
  <c r="Q156" i="32" s="1"/>
  <c r="P156" i="32" s="1"/>
  <c r="N156" i="32"/>
  <c r="T156" i="32"/>
  <c r="J156" i="32"/>
  <c r="M156" i="32"/>
  <c r="AM155" i="32"/>
  <c r="U155" i="32"/>
  <c r="AD155" i="32" s="1"/>
  <c r="AG155" i="32" s="1"/>
  <c r="AH155" i="32" s="1"/>
  <c r="AI155" i="32" s="1"/>
  <c r="W155" i="32"/>
  <c r="X155" i="32" s="1"/>
  <c r="V155" i="32"/>
  <c r="AJ155" i="32"/>
  <c r="Z155" i="32"/>
  <c r="C155" i="32"/>
  <c r="AN154" i="32"/>
  <c r="AL154" i="32"/>
  <c r="D158" i="65" l="1"/>
  <c r="E158" i="65" s="1"/>
  <c r="F158" i="65" s="1"/>
  <c r="G158" i="65" s="1"/>
  <c r="H158" i="65" s="1"/>
  <c r="I158" i="65" s="1"/>
  <c r="J158" i="65" s="1"/>
  <c r="K158" i="65" s="1"/>
  <c r="N158" i="65"/>
  <c r="P158" i="65"/>
  <c r="AM158" i="65"/>
  <c r="C159" i="65"/>
  <c r="L159" i="65"/>
  <c r="M159" i="65" s="1"/>
  <c r="O159" i="65"/>
  <c r="B160" i="65"/>
  <c r="AO159" i="63" a="1"/>
  <c r="AO159" i="63" s="1"/>
  <c r="AE157" i="65"/>
  <c r="U157" i="65"/>
  <c r="R157" i="65"/>
  <c r="S157" i="65" s="1"/>
  <c r="Y157" i="65" s="1"/>
  <c r="AB157" i="65" s="1"/>
  <c r="AC157" i="65" s="1"/>
  <c r="AD157" i="65" s="1"/>
  <c r="Q157" i="65"/>
  <c r="AF157" i="65"/>
  <c r="AG157" i="65" s="1"/>
  <c r="AH157" i="65"/>
  <c r="AV157" i="65"/>
  <c r="AG156" i="65"/>
  <c r="G158" i="53"/>
  <c r="K158" i="53"/>
  <c r="F158" i="53"/>
  <c r="N158" i="53"/>
  <c r="I158" i="53"/>
  <c r="C158" i="53"/>
  <c r="D158" i="53"/>
  <c r="P158" i="53"/>
  <c r="M158" i="53"/>
  <c r="J158" i="53"/>
  <c r="L158" i="53"/>
  <c r="E158" i="53"/>
  <c r="O158" i="53"/>
  <c r="AG158" i="53" s="1"/>
  <c r="H158" i="53"/>
  <c r="B159" i="53"/>
  <c r="AK158" i="52" a="1"/>
  <c r="AK158" i="52" s="1"/>
  <c r="R157" i="53"/>
  <c r="X157" i="53" s="1"/>
  <c r="AT157" i="53"/>
  <c r="AE157" i="53"/>
  <c r="AH157" i="53"/>
  <c r="AC157" i="53"/>
  <c r="Q157" i="53"/>
  <c r="AD157" i="53"/>
  <c r="AF156" i="53"/>
  <c r="AB156" i="53"/>
  <c r="AA156" i="53"/>
  <c r="AG157" i="53"/>
  <c r="E158" i="32"/>
  <c r="AL158" i="11" a="1"/>
  <c r="AL158" i="11" s="1"/>
  <c r="G157" i="32"/>
  <c r="A157" i="32"/>
  <c r="Q157" i="32" s="1"/>
  <c r="P157" i="32" s="1"/>
  <c r="J157" i="32"/>
  <c r="B157" i="32"/>
  <c r="R157" i="32" s="1"/>
  <c r="S157" i="32" s="1"/>
  <c r="M157" i="32"/>
  <c r="L157" i="32"/>
  <c r="K157" i="32"/>
  <c r="H157" i="32"/>
  <c r="AK157" i="32"/>
  <c r="F157" i="32"/>
  <c r="T157" i="32"/>
  <c r="N157" i="32"/>
  <c r="O157" i="32"/>
  <c r="I157" i="32"/>
  <c r="U156" i="32"/>
  <c r="AD156" i="32" s="1"/>
  <c r="AG156" i="32" s="1"/>
  <c r="AH156" i="32" s="1"/>
  <c r="AI156" i="32" s="1"/>
  <c r="AM156" i="32"/>
  <c r="AL155" i="32"/>
  <c r="AN155" i="32"/>
  <c r="W156" i="32"/>
  <c r="X156" i="32" s="1"/>
  <c r="V156" i="32"/>
  <c r="C156" i="32"/>
  <c r="Z156" i="32"/>
  <c r="AJ156" i="32"/>
  <c r="AF158" i="65" l="1"/>
  <c r="Q158" i="65"/>
  <c r="AH158" i="65"/>
  <c r="AE158" i="65"/>
  <c r="AV158" i="65"/>
  <c r="R158" i="65"/>
  <c r="S158" i="65" s="1"/>
  <c r="Y158" i="65" s="1"/>
  <c r="AB158" i="65" s="1"/>
  <c r="AC158" i="65" s="1"/>
  <c r="AD158" i="65" s="1"/>
  <c r="U158" i="65"/>
  <c r="L160" i="65"/>
  <c r="M160" i="65" s="1"/>
  <c r="C160" i="65"/>
  <c r="O160" i="65"/>
  <c r="B161" i="65"/>
  <c r="AO160" i="63" a="1"/>
  <c r="AO160" i="63" s="1"/>
  <c r="N159" i="65"/>
  <c r="P159" i="65"/>
  <c r="AM159" i="65"/>
  <c r="D159" i="65"/>
  <c r="E159" i="65" s="1"/>
  <c r="F159" i="65" s="1"/>
  <c r="G159" i="65" s="1"/>
  <c r="H159" i="65" s="1"/>
  <c r="I159" i="65" s="1"/>
  <c r="J159" i="65" s="1"/>
  <c r="K159" i="65" s="1"/>
  <c r="AA157" i="53"/>
  <c r="AB157" i="53"/>
  <c r="B160" i="53"/>
  <c r="AK159" i="52" a="1"/>
  <c r="AK159" i="52" s="1"/>
  <c r="K159" i="53"/>
  <c r="I159" i="53"/>
  <c r="H159" i="53"/>
  <c r="N159" i="53"/>
  <c r="L159" i="53"/>
  <c r="D159" i="53"/>
  <c r="G159" i="53"/>
  <c r="M159" i="53"/>
  <c r="F159" i="53"/>
  <c r="C159" i="53"/>
  <c r="J159" i="53"/>
  <c r="O159" i="53"/>
  <c r="AG159" i="53" s="1"/>
  <c r="E159" i="53"/>
  <c r="P159" i="53"/>
  <c r="AT158" i="53"/>
  <c r="Q158" i="53"/>
  <c r="AE158" i="53"/>
  <c r="AH158" i="53"/>
  <c r="AC158" i="53"/>
  <c r="AD158" i="53"/>
  <c r="R158" i="53"/>
  <c r="X158" i="53" s="1"/>
  <c r="AF157" i="53"/>
  <c r="O158" i="32"/>
  <c r="B158" i="32"/>
  <c r="R158" i="32" s="1"/>
  <c r="S158" i="32" s="1"/>
  <c r="J158" i="32"/>
  <c r="M158" i="32"/>
  <c r="F158" i="32"/>
  <c r="I158" i="32"/>
  <c r="AK158" i="32"/>
  <c r="L158" i="32"/>
  <c r="N158" i="32"/>
  <c r="G158" i="32"/>
  <c r="H158" i="32"/>
  <c r="T158" i="32"/>
  <c r="A158" i="32"/>
  <c r="Q158" i="32" s="1"/>
  <c r="P158" i="32" s="1"/>
  <c r="K158" i="32"/>
  <c r="AN156" i="32"/>
  <c r="C157" i="32"/>
  <c r="AJ157" i="32"/>
  <c r="W157" i="32"/>
  <c r="X157" i="32" s="1"/>
  <c r="V157" i="32"/>
  <c r="Z157" i="32"/>
  <c r="U157" i="32"/>
  <c r="AD157" i="32" s="1"/>
  <c r="AG157" i="32" s="1"/>
  <c r="AH157" i="32" s="1"/>
  <c r="AI157" i="32" s="1"/>
  <c r="AM157" i="32"/>
  <c r="E159" i="32"/>
  <c r="AL159" i="11" a="1"/>
  <c r="AL159" i="11" s="1"/>
  <c r="AL156" i="32"/>
  <c r="AV159" i="65" l="1"/>
  <c r="U159" i="65"/>
  <c r="R159" i="65"/>
  <c r="S159" i="65" s="1"/>
  <c r="Y159" i="65" s="1"/>
  <c r="AB159" i="65" s="1"/>
  <c r="AC159" i="65" s="1"/>
  <c r="AD159" i="65" s="1"/>
  <c r="AF159" i="65"/>
  <c r="AH159" i="65"/>
  <c r="AE159" i="65"/>
  <c r="Q159" i="65"/>
  <c r="C161" i="65"/>
  <c r="O161" i="65"/>
  <c r="L161" i="65"/>
  <c r="M161" i="65" s="1"/>
  <c r="N160" i="65"/>
  <c r="AM160" i="65"/>
  <c r="D160" i="65"/>
  <c r="E160" i="65" s="1"/>
  <c r="F160" i="65" s="1"/>
  <c r="G160" i="65" s="1"/>
  <c r="H160" i="65" s="1"/>
  <c r="I160" i="65" s="1"/>
  <c r="J160" i="65" s="1"/>
  <c r="K160" i="65" s="1"/>
  <c r="P160" i="65"/>
  <c r="AG158" i="65"/>
  <c r="B162" i="65"/>
  <c r="AO161" i="63" a="1"/>
  <c r="AO161" i="63" s="1"/>
  <c r="AA158" i="53"/>
  <c r="AB158" i="53"/>
  <c r="B161" i="53"/>
  <c r="AK160" i="52" a="1"/>
  <c r="AK160" i="52" s="1"/>
  <c r="AF158" i="53"/>
  <c r="AT159" i="53"/>
  <c r="AD159" i="53"/>
  <c r="AC159" i="53"/>
  <c r="R159" i="53"/>
  <c r="X159" i="53" s="1"/>
  <c r="AE159" i="53"/>
  <c r="AH159" i="53"/>
  <c r="Q159" i="53"/>
  <c r="N160" i="53"/>
  <c r="G160" i="53"/>
  <c r="M160" i="53"/>
  <c r="D160" i="53"/>
  <c r="H160" i="53"/>
  <c r="O160" i="53"/>
  <c r="E160" i="53"/>
  <c r="F160" i="53"/>
  <c r="L160" i="53"/>
  <c r="J160" i="53"/>
  <c r="P160" i="53"/>
  <c r="I160" i="53"/>
  <c r="K160" i="53"/>
  <c r="C160" i="53"/>
  <c r="Z158" i="32"/>
  <c r="C158" i="32"/>
  <c r="AJ158" i="32"/>
  <c r="W158" i="32"/>
  <c r="X158" i="32" s="1"/>
  <c r="V158" i="32"/>
  <c r="H159" i="32"/>
  <c r="G159" i="32"/>
  <c r="AK159" i="32"/>
  <c r="J159" i="32"/>
  <c r="L159" i="32"/>
  <c r="M159" i="32"/>
  <c r="F159" i="32"/>
  <c r="T159" i="32"/>
  <c r="A159" i="32"/>
  <c r="Q159" i="32" s="1"/>
  <c r="P159" i="32" s="1"/>
  <c r="N159" i="32"/>
  <c r="O159" i="32"/>
  <c r="B159" i="32"/>
  <c r="R159" i="32" s="1"/>
  <c r="S159" i="32" s="1"/>
  <c r="I159" i="32"/>
  <c r="K159" i="32"/>
  <c r="AL157" i="32"/>
  <c r="AM158" i="32"/>
  <c r="U158" i="32"/>
  <c r="AD158" i="32" s="1"/>
  <c r="AG158" i="32" s="1"/>
  <c r="AH158" i="32" s="1"/>
  <c r="AI158" i="32" s="1"/>
  <c r="AN157" i="32"/>
  <c r="E160" i="32"/>
  <c r="AL160" i="11" a="1"/>
  <c r="AL160" i="11" s="1"/>
  <c r="B163" i="65" l="1"/>
  <c r="AO162" i="63" a="1"/>
  <c r="AO162" i="63" s="1"/>
  <c r="L162" i="65"/>
  <c r="M162" i="65" s="1"/>
  <c r="O162" i="65"/>
  <c r="C162" i="65"/>
  <c r="P161" i="65"/>
  <c r="N161" i="65"/>
  <c r="AM161" i="65"/>
  <c r="D161" i="65"/>
  <c r="E161" i="65" s="1"/>
  <c r="F161" i="65" s="1"/>
  <c r="G161" i="65" s="1"/>
  <c r="H161" i="65" s="1"/>
  <c r="I161" i="65" s="1"/>
  <c r="J161" i="65" s="1"/>
  <c r="K161" i="65" s="1"/>
  <c r="AV160" i="65"/>
  <c r="AE160" i="65"/>
  <c r="U160" i="65"/>
  <c r="R160" i="65"/>
  <c r="S160" i="65" s="1"/>
  <c r="Y160" i="65" s="1"/>
  <c r="AB160" i="65" s="1"/>
  <c r="AC160" i="65" s="1"/>
  <c r="AD160" i="65" s="1"/>
  <c r="Q160" i="65"/>
  <c r="AF160" i="65"/>
  <c r="AH160" i="65"/>
  <c r="AG159" i="65"/>
  <c r="AF159" i="53"/>
  <c r="AB159" i="53"/>
  <c r="AA159" i="53"/>
  <c r="AD160" i="53"/>
  <c r="R160" i="53"/>
  <c r="X160" i="53" s="1"/>
  <c r="AC160" i="53"/>
  <c r="AE160" i="53"/>
  <c r="AT160" i="53"/>
  <c r="Q160" i="53"/>
  <c r="AH160" i="53"/>
  <c r="B162" i="53"/>
  <c r="AK161" i="52" a="1"/>
  <c r="AK161" i="52" s="1"/>
  <c r="AG160" i="53"/>
  <c r="O161" i="53"/>
  <c r="H161" i="53"/>
  <c r="I161" i="53"/>
  <c r="L161" i="53"/>
  <c r="G161" i="53"/>
  <c r="M161" i="53"/>
  <c r="D161" i="53"/>
  <c r="F161" i="53"/>
  <c r="J161" i="53"/>
  <c r="K161" i="53"/>
  <c r="C161" i="53"/>
  <c r="N161" i="53"/>
  <c r="E161" i="53"/>
  <c r="P161" i="53"/>
  <c r="AJ159" i="32"/>
  <c r="W159" i="32"/>
  <c r="X159" i="32" s="1"/>
  <c r="Z159" i="32"/>
  <c r="C159" i="32"/>
  <c r="V159" i="32"/>
  <c r="E161" i="32"/>
  <c r="AL161" i="11" a="1"/>
  <c r="AL161" i="11" s="1"/>
  <c r="AL158" i="32"/>
  <c r="AN158" i="32"/>
  <c r="U159" i="32"/>
  <c r="AD159" i="32" s="1"/>
  <c r="AG159" i="32" s="1"/>
  <c r="AH159" i="32" s="1"/>
  <c r="AI159" i="32" s="1"/>
  <c r="AM159" i="32"/>
  <c r="N160" i="32"/>
  <c r="M160" i="32"/>
  <c r="AK160" i="32"/>
  <c r="H160" i="32"/>
  <c r="J160" i="32"/>
  <c r="K160" i="32"/>
  <c r="L160" i="32"/>
  <c r="T160" i="32"/>
  <c r="A160" i="32"/>
  <c r="Q160" i="32" s="1"/>
  <c r="P160" i="32" s="1"/>
  <c r="G160" i="32"/>
  <c r="O160" i="32"/>
  <c r="B160" i="32"/>
  <c r="R160" i="32" s="1"/>
  <c r="S160" i="32" s="1"/>
  <c r="F160" i="32"/>
  <c r="I160" i="32"/>
  <c r="L163" i="65" l="1"/>
  <c r="M163" i="65" s="1"/>
  <c r="O163" i="65"/>
  <c r="C163" i="65"/>
  <c r="B164" i="65"/>
  <c r="AO163" i="63" a="1"/>
  <c r="AO163" i="63" s="1"/>
  <c r="AG160" i="65"/>
  <c r="U161" i="65"/>
  <c r="AH161" i="65"/>
  <c r="AE161" i="65"/>
  <c r="AV161" i="65"/>
  <c r="AF161" i="65"/>
  <c r="AG161" i="65" s="1"/>
  <c r="R161" i="65"/>
  <c r="S161" i="65" s="1"/>
  <c r="Y161" i="65" s="1"/>
  <c r="AB161" i="65" s="1"/>
  <c r="AC161" i="65" s="1"/>
  <c r="AD161" i="65" s="1"/>
  <c r="Q161" i="65"/>
  <c r="N162" i="65"/>
  <c r="D162" i="65"/>
  <c r="E162" i="65" s="1"/>
  <c r="F162" i="65" s="1"/>
  <c r="G162" i="65" s="1"/>
  <c r="H162" i="65" s="1"/>
  <c r="I162" i="65" s="1"/>
  <c r="J162" i="65" s="1"/>
  <c r="K162" i="65" s="1"/>
  <c r="AM162" i="65"/>
  <c r="P162" i="65"/>
  <c r="AF160" i="53"/>
  <c r="R161" i="53"/>
  <c r="X161" i="53" s="1"/>
  <c r="AC161" i="53"/>
  <c r="AT161" i="53"/>
  <c r="AE161" i="53"/>
  <c r="Q161" i="53"/>
  <c r="AD161" i="53"/>
  <c r="AH161" i="53"/>
  <c r="O162" i="53"/>
  <c r="G162" i="53"/>
  <c r="M162" i="53"/>
  <c r="F162" i="53"/>
  <c r="K162" i="53"/>
  <c r="L162" i="53"/>
  <c r="C162" i="53"/>
  <c r="D162" i="53"/>
  <c r="P162" i="53"/>
  <c r="E162" i="53"/>
  <c r="N162" i="53"/>
  <c r="H162" i="53"/>
  <c r="I162" i="53"/>
  <c r="J162" i="53"/>
  <c r="AG161" i="53"/>
  <c r="AA160" i="53"/>
  <c r="AB160" i="53"/>
  <c r="B163" i="53"/>
  <c r="AK162" i="52" a="1"/>
  <c r="AK162" i="52" s="1"/>
  <c r="AL159" i="32"/>
  <c r="AM160" i="32"/>
  <c r="U160" i="32"/>
  <c r="AD160" i="32" s="1"/>
  <c r="AG160" i="32" s="1"/>
  <c r="AH160" i="32" s="1"/>
  <c r="AI160" i="32" s="1"/>
  <c r="W160" i="32"/>
  <c r="X160" i="32" s="1"/>
  <c r="Z160" i="32"/>
  <c r="V160" i="32"/>
  <c r="AJ160" i="32"/>
  <c r="C160" i="32"/>
  <c r="E162" i="32"/>
  <c r="AL162" i="11" a="1"/>
  <c r="AL162" i="11" s="1"/>
  <c r="F161" i="32"/>
  <c r="K161" i="32"/>
  <c r="T161" i="32"/>
  <c r="N161" i="32"/>
  <c r="O161" i="32"/>
  <c r="I161" i="32"/>
  <c r="A161" i="32"/>
  <c r="Q161" i="32" s="1"/>
  <c r="P161" i="32" s="1"/>
  <c r="J161" i="32"/>
  <c r="B161" i="32"/>
  <c r="R161" i="32" s="1"/>
  <c r="S161" i="32" s="1"/>
  <c r="M161" i="32"/>
  <c r="AK161" i="32"/>
  <c r="G161" i="32"/>
  <c r="L161" i="32"/>
  <c r="H161" i="32"/>
  <c r="AN159" i="32"/>
  <c r="Q162" i="65" l="1"/>
  <c r="AV162" i="65"/>
  <c r="U162" i="65"/>
  <c r="AF162" i="65"/>
  <c r="AH162" i="65"/>
  <c r="R162" i="65"/>
  <c r="S162" i="65" s="1"/>
  <c r="Y162" i="65" s="1"/>
  <c r="AB162" i="65" s="1"/>
  <c r="AC162" i="65" s="1"/>
  <c r="AD162" i="65" s="1"/>
  <c r="AE162" i="65"/>
  <c r="N163" i="65"/>
  <c r="AM163" i="65"/>
  <c r="P163" i="65"/>
  <c r="D163" i="65"/>
  <c r="E163" i="65" s="1"/>
  <c r="F163" i="65" s="1"/>
  <c r="G163" i="65" s="1"/>
  <c r="H163" i="65" s="1"/>
  <c r="I163" i="65" s="1"/>
  <c r="J163" i="65" s="1"/>
  <c r="K163" i="65" s="1"/>
  <c r="B165" i="65"/>
  <c r="AO164" i="63" a="1"/>
  <c r="AO164" i="63" s="1"/>
  <c r="L164" i="65"/>
  <c r="M164" i="65" s="1"/>
  <c r="C164" i="65"/>
  <c r="O164" i="65"/>
  <c r="AA161" i="53"/>
  <c r="AB161" i="53"/>
  <c r="AG162" i="53"/>
  <c r="B164" i="53"/>
  <c r="AK163" i="52" a="1"/>
  <c r="AK163" i="52" s="1"/>
  <c r="AF161" i="53"/>
  <c r="M163" i="53"/>
  <c r="E163" i="53"/>
  <c r="I163" i="53"/>
  <c r="J163" i="53"/>
  <c r="N163" i="53"/>
  <c r="L163" i="53"/>
  <c r="F163" i="53"/>
  <c r="G163" i="53"/>
  <c r="P163" i="53"/>
  <c r="D163" i="53"/>
  <c r="K163" i="53"/>
  <c r="C163" i="53"/>
  <c r="O163" i="53"/>
  <c r="AG163" i="53" s="1"/>
  <c r="H163" i="53"/>
  <c r="R162" i="53"/>
  <c r="X162" i="53" s="1"/>
  <c r="AD162" i="53"/>
  <c r="AH162" i="53"/>
  <c r="AT162" i="53"/>
  <c r="Q162" i="53"/>
  <c r="AC162" i="53"/>
  <c r="AE162" i="53"/>
  <c r="E163" i="32"/>
  <c r="AL163" i="11" a="1"/>
  <c r="AL163" i="11" s="1"/>
  <c r="O162" i="32"/>
  <c r="I162" i="32"/>
  <c r="A162" i="32"/>
  <c r="Q162" i="32" s="1"/>
  <c r="P162" i="32" s="1"/>
  <c r="L162" i="32"/>
  <c r="N162" i="32"/>
  <c r="B162" i="32"/>
  <c r="R162" i="32" s="1"/>
  <c r="S162" i="32" s="1"/>
  <c r="G162" i="32"/>
  <c r="H162" i="32"/>
  <c r="K162" i="32"/>
  <c r="M162" i="32"/>
  <c r="AK162" i="32"/>
  <c r="J162" i="32"/>
  <c r="T162" i="32"/>
  <c r="F162" i="32"/>
  <c r="AN160" i="32"/>
  <c r="AL160" i="32"/>
  <c r="AJ161" i="32"/>
  <c r="V161" i="32"/>
  <c r="W161" i="32"/>
  <c r="X161" i="32" s="1"/>
  <c r="Z161" i="32"/>
  <c r="C161" i="32"/>
  <c r="U161" i="32"/>
  <c r="AD161" i="32" s="1"/>
  <c r="AG161" i="32" s="1"/>
  <c r="AH161" i="32" s="1"/>
  <c r="AI161" i="32" s="1"/>
  <c r="AM161" i="32"/>
  <c r="P164" i="65" l="1"/>
  <c r="N164" i="65"/>
  <c r="AM164" i="65"/>
  <c r="D164" i="65"/>
  <c r="E164" i="65" s="1"/>
  <c r="F164" i="65" s="1"/>
  <c r="G164" i="65" s="1"/>
  <c r="H164" i="65" s="1"/>
  <c r="I164" i="65" s="1"/>
  <c r="J164" i="65" s="1"/>
  <c r="K164" i="65" s="1"/>
  <c r="AH163" i="65"/>
  <c r="R163" i="65"/>
  <c r="S163" i="65" s="1"/>
  <c r="Y163" i="65" s="1"/>
  <c r="AB163" i="65" s="1"/>
  <c r="AC163" i="65" s="1"/>
  <c r="AD163" i="65" s="1"/>
  <c r="U163" i="65"/>
  <c r="AE163" i="65"/>
  <c r="AF163" i="65"/>
  <c r="AV163" i="65"/>
  <c r="Q163" i="65"/>
  <c r="B166" i="65"/>
  <c r="AO165" i="63" a="1"/>
  <c r="AO165" i="63" s="1"/>
  <c r="C165" i="65"/>
  <c r="L165" i="65"/>
  <c r="M165" i="65" s="1"/>
  <c r="O165" i="65"/>
  <c r="AG162" i="65"/>
  <c r="AA162" i="53"/>
  <c r="AB162" i="53"/>
  <c r="AC163" i="53"/>
  <c r="AH163" i="53"/>
  <c r="AD163" i="53"/>
  <c r="AT163" i="53"/>
  <c r="R163" i="53"/>
  <c r="X163" i="53" s="1"/>
  <c r="Q163" i="53"/>
  <c r="AE163" i="53"/>
  <c r="AF162" i="53"/>
  <c r="B165" i="53"/>
  <c r="AK164" i="52" a="1"/>
  <c r="AK164" i="52" s="1"/>
  <c r="K164" i="53"/>
  <c r="N164" i="53"/>
  <c r="H164" i="53"/>
  <c r="L164" i="53"/>
  <c r="M164" i="53"/>
  <c r="J164" i="53"/>
  <c r="G164" i="53"/>
  <c r="C164" i="53"/>
  <c r="I164" i="53"/>
  <c r="P164" i="53"/>
  <c r="D164" i="53"/>
  <c r="E164" i="53"/>
  <c r="O164" i="53"/>
  <c r="AG164" i="53" s="1"/>
  <c r="F164" i="53"/>
  <c r="U162" i="32"/>
  <c r="AD162" i="32" s="1"/>
  <c r="AG162" i="32" s="1"/>
  <c r="AH162" i="32" s="1"/>
  <c r="AI162" i="32" s="1"/>
  <c r="AM162" i="32"/>
  <c r="W162" i="32"/>
  <c r="X162" i="32" s="1"/>
  <c r="V162" i="32"/>
  <c r="Z162" i="32"/>
  <c r="C162" i="32"/>
  <c r="AJ162" i="32"/>
  <c r="AN161" i="32"/>
  <c r="E164" i="32"/>
  <c r="AL164" i="11" a="1"/>
  <c r="AL164" i="11" s="1"/>
  <c r="AL161" i="32"/>
  <c r="G163" i="32"/>
  <c r="AK163" i="32"/>
  <c r="J163" i="32"/>
  <c r="L163" i="32"/>
  <c r="M163" i="32"/>
  <c r="F163" i="32"/>
  <c r="A163" i="32"/>
  <c r="Q163" i="32" s="1"/>
  <c r="P163" i="32" s="1"/>
  <c r="N163" i="32"/>
  <c r="T163" i="32"/>
  <c r="B163" i="32"/>
  <c r="R163" i="32" s="1"/>
  <c r="S163" i="32" s="1"/>
  <c r="I163" i="32"/>
  <c r="O163" i="32"/>
  <c r="H163" i="32"/>
  <c r="K163" i="32"/>
  <c r="P165" i="65" l="1"/>
  <c r="N165" i="65"/>
  <c r="D165" i="65"/>
  <c r="E165" i="65" s="1"/>
  <c r="F165" i="65" s="1"/>
  <c r="G165" i="65" s="1"/>
  <c r="H165" i="65" s="1"/>
  <c r="I165" i="65" s="1"/>
  <c r="J165" i="65" s="1"/>
  <c r="K165" i="65" s="1"/>
  <c r="AM165" i="65"/>
  <c r="R164" i="65"/>
  <c r="S164" i="65" s="1"/>
  <c r="AE164" i="65"/>
  <c r="AV164" i="65"/>
  <c r="AH164" i="65"/>
  <c r="AF164" i="65"/>
  <c r="U164" i="65"/>
  <c r="Q164" i="65"/>
  <c r="AG163" i="65"/>
  <c r="Y164" i="65"/>
  <c r="AB164" i="65" s="1"/>
  <c r="AC164" i="65" s="1"/>
  <c r="AD164" i="65" s="1"/>
  <c r="B167" i="65"/>
  <c r="AO166" i="63" a="1"/>
  <c r="AO166" i="63" s="1"/>
  <c r="O166" i="65"/>
  <c r="C166" i="65"/>
  <c r="L166" i="65"/>
  <c r="M166" i="65" s="1"/>
  <c r="AF163" i="53"/>
  <c r="AB163" i="53"/>
  <c r="AA163" i="53"/>
  <c r="B166" i="53"/>
  <c r="AK165" i="52" a="1"/>
  <c r="AK165" i="52" s="1"/>
  <c r="AC164" i="53"/>
  <c r="AE164" i="53"/>
  <c r="R164" i="53"/>
  <c r="X164" i="53" s="1"/>
  <c r="Q164" i="53"/>
  <c r="AH164" i="53"/>
  <c r="AT164" i="53"/>
  <c r="AD164" i="53"/>
  <c r="P165" i="53"/>
  <c r="D165" i="53"/>
  <c r="C165" i="53"/>
  <c r="N165" i="53"/>
  <c r="L165" i="53"/>
  <c r="K165" i="53"/>
  <c r="I165" i="53"/>
  <c r="M165" i="53"/>
  <c r="E165" i="53"/>
  <c r="F165" i="53"/>
  <c r="J165" i="53"/>
  <c r="G165" i="53"/>
  <c r="O165" i="53"/>
  <c r="H165" i="53"/>
  <c r="AL162" i="32"/>
  <c r="U163" i="32"/>
  <c r="AD163" i="32" s="1"/>
  <c r="AG163" i="32" s="1"/>
  <c r="AH163" i="32" s="1"/>
  <c r="AI163" i="32" s="1"/>
  <c r="AM163" i="32"/>
  <c r="C163" i="32"/>
  <c r="AJ163" i="32"/>
  <c r="W163" i="32"/>
  <c r="X163" i="32" s="1"/>
  <c r="Z163" i="32"/>
  <c r="V163" i="32"/>
  <c r="AN162" i="32"/>
  <c r="E165" i="32"/>
  <c r="AL165" i="11" a="1"/>
  <c r="AL165" i="11" s="1"/>
  <c r="L164" i="32"/>
  <c r="T164" i="32"/>
  <c r="A164" i="32"/>
  <c r="Q164" i="32" s="1"/>
  <c r="P164" i="32" s="1"/>
  <c r="G164" i="32"/>
  <c r="O164" i="32"/>
  <c r="B164" i="32"/>
  <c r="R164" i="32" s="1"/>
  <c r="S164" i="32" s="1"/>
  <c r="I164" i="32"/>
  <c r="N164" i="32"/>
  <c r="F164" i="32"/>
  <c r="J164" i="32"/>
  <c r="AK164" i="32"/>
  <c r="H164" i="32"/>
  <c r="M164" i="32"/>
  <c r="K164" i="32"/>
  <c r="AE165" i="65" l="1"/>
  <c r="AV165" i="65"/>
  <c r="Q165" i="65"/>
  <c r="U165" i="65"/>
  <c r="AF165" i="65"/>
  <c r="R165" i="65"/>
  <c r="S165" i="65" s="1"/>
  <c r="Y165" i="65" s="1"/>
  <c r="AB165" i="65" s="1"/>
  <c r="AC165" i="65" s="1"/>
  <c r="AD165" i="65" s="1"/>
  <c r="AH165" i="65"/>
  <c r="P166" i="65"/>
  <c r="N166" i="65"/>
  <c r="AM166" i="65"/>
  <c r="D166" i="65"/>
  <c r="E166" i="65" s="1"/>
  <c r="F166" i="65" s="1"/>
  <c r="G166" i="65" s="1"/>
  <c r="H166" i="65" s="1"/>
  <c r="I166" i="65" s="1"/>
  <c r="J166" i="65" s="1"/>
  <c r="K166" i="65" s="1"/>
  <c r="AG164" i="65"/>
  <c r="B168" i="65"/>
  <c r="AO167" i="63" a="1"/>
  <c r="AO167" i="63" s="1"/>
  <c r="L167" i="65"/>
  <c r="M167" i="65" s="1"/>
  <c r="O167" i="65"/>
  <c r="C167" i="65"/>
  <c r="AF164" i="53"/>
  <c r="AG165" i="53"/>
  <c r="AB164" i="53"/>
  <c r="AA164" i="53"/>
  <c r="B167" i="53"/>
  <c r="AK166" i="52" a="1"/>
  <c r="AK166" i="52" s="1"/>
  <c r="R165" i="53"/>
  <c r="X165" i="53" s="1"/>
  <c r="AT165" i="53"/>
  <c r="AD165" i="53"/>
  <c r="AH165" i="53"/>
  <c r="Q165" i="53"/>
  <c r="AC165" i="53"/>
  <c r="AE165" i="53"/>
  <c r="G166" i="53"/>
  <c r="E166" i="53"/>
  <c r="J166" i="53"/>
  <c r="N166" i="53"/>
  <c r="D166" i="53"/>
  <c r="P166" i="53"/>
  <c r="C166" i="53"/>
  <c r="M166" i="53"/>
  <c r="F166" i="53"/>
  <c r="K166" i="53"/>
  <c r="L166" i="53"/>
  <c r="H166" i="53"/>
  <c r="I166" i="53"/>
  <c r="O166" i="53"/>
  <c r="AG166" i="53" s="1"/>
  <c r="AJ164" i="32"/>
  <c r="Z164" i="32"/>
  <c r="C164" i="32"/>
  <c r="V164" i="32"/>
  <c r="W164" i="32"/>
  <c r="X164" i="32" s="1"/>
  <c r="AL163" i="32"/>
  <c r="E166" i="32"/>
  <c r="AL166" i="11" a="1"/>
  <c r="AL166" i="11" s="1"/>
  <c r="AN163" i="32"/>
  <c r="AM164" i="32"/>
  <c r="U164" i="32"/>
  <c r="AD164" i="32" s="1"/>
  <c r="AG164" i="32" s="1"/>
  <c r="AH164" i="32" s="1"/>
  <c r="AI164" i="32" s="1"/>
  <c r="N165" i="32"/>
  <c r="A165" i="32"/>
  <c r="Q165" i="32" s="1"/>
  <c r="P165" i="32" s="1"/>
  <c r="G165" i="32"/>
  <c r="B165" i="32"/>
  <c r="R165" i="32" s="1"/>
  <c r="S165" i="32" s="1"/>
  <c r="J165" i="32"/>
  <c r="H165" i="32"/>
  <c r="I165" i="32"/>
  <c r="L165" i="32"/>
  <c r="T165" i="32"/>
  <c r="AK165" i="32"/>
  <c r="F165" i="32"/>
  <c r="M165" i="32"/>
  <c r="O165" i="32"/>
  <c r="K165" i="32"/>
  <c r="B169" i="65" l="1"/>
  <c r="AO168" i="63" a="1"/>
  <c r="AO168" i="63" s="1"/>
  <c r="C168" i="65"/>
  <c r="L168" i="65"/>
  <c r="M168" i="65" s="1"/>
  <c r="O168" i="65"/>
  <c r="P167" i="65"/>
  <c r="AM167" i="65"/>
  <c r="D167" i="65"/>
  <c r="E167" i="65" s="1"/>
  <c r="F167" i="65" s="1"/>
  <c r="G167" i="65" s="1"/>
  <c r="H167" i="65" s="1"/>
  <c r="I167" i="65" s="1"/>
  <c r="J167" i="65" s="1"/>
  <c r="K167" i="65" s="1"/>
  <c r="N167" i="65"/>
  <c r="AV166" i="65"/>
  <c r="R166" i="65"/>
  <c r="S166" i="65" s="1"/>
  <c r="Y166" i="65" s="1"/>
  <c r="AB166" i="65" s="1"/>
  <c r="AC166" i="65" s="1"/>
  <c r="AD166" i="65" s="1"/>
  <c r="AF166" i="65"/>
  <c r="AH166" i="65"/>
  <c r="AE166" i="65"/>
  <c r="Q166" i="65"/>
  <c r="U166" i="65"/>
  <c r="AG165" i="65"/>
  <c r="AA165" i="53"/>
  <c r="AB165" i="53"/>
  <c r="AF165" i="53"/>
  <c r="B168" i="53"/>
  <c r="AK167" i="52" a="1"/>
  <c r="AK167" i="52" s="1"/>
  <c r="AC166" i="53"/>
  <c r="AT166" i="53"/>
  <c r="Q166" i="53"/>
  <c r="AD166" i="53"/>
  <c r="AH166" i="53"/>
  <c r="R166" i="53"/>
  <c r="X166" i="53" s="1"/>
  <c r="AE166" i="53"/>
  <c r="K167" i="53"/>
  <c r="I167" i="53"/>
  <c r="F167" i="53"/>
  <c r="D167" i="53"/>
  <c r="M167" i="53"/>
  <c r="C167" i="53"/>
  <c r="O167" i="53"/>
  <c r="AG167" i="53" s="1"/>
  <c r="L167" i="53"/>
  <c r="E167" i="53"/>
  <c r="N167" i="53"/>
  <c r="H167" i="53"/>
  <c r="P167" i="53"/>
  <c r="J167" i="53"/>
  <c r="G167" i="53"/>
  <c r="AL164" i="32"/>
  <c r="E167" i="32"/>
  <c r="AL167" i="11" a="1"/>
  <c r="AL167" i="11" s="1"/>
  <c r="U165" i="32"/>
  <c r="AD165" i="32" s="1"/>
  <c r="AG165" i="32" s="1"/>
  <c r="AH165" i="32" s="1"/>
  <c r="AI165" i="32" s="1"/>
  <c r="AM165" i="32"/>
  <c r="AJ165" i="32"/>
  <c r="C165" i="32"/>
  <c r="W165" i="32"/>
  <c r="X165" i="32" s="1"/>
  <c r="V165" i="32"/>
  <c r="Z165" i="32"/>
  <c r="A166" i="32"/>
  <c r="Q166" i="32" s="1"/>
  <c r="P166" i="32" s="1"/>
  <c r="H166" i="32"/>
  <c r="B166" i="32"/>
  <c r="R166" i="32" s="1"/>
  <c r="S166" i="32" s="1"/>
  <c r="J166" i="32"/>
  <c r="K166" i="32"/>
  <c r="N166" i="32"/>
  <c r="F166" i="32"/>
  <c r="AK166" i="32"/>
  <c r="I166" i="32"/>
  <c r="G166" i="32"/>
  <c r="T166" i="32"/>
  <c r="L166" i="32"/>
  <c r="O166" i="32"/>
  <c r="M166" i="32"/>
  <c r="AN164" i="32"/>
  <c r="B170" i="65" l="1"/>
  <c r="AO169" i="63" a="1"/>
  <c r="AO169" i="63" s="1"/>
  <c r="AF167" i="65"/>
  <c r="AG167" i="65" s="1"/>
  <c r="U167" i="65"/>
  <c r="AV167" i="65"/>
  <c r="AE167" i="65"/>
  <c r="Q167" i="65"/>
  <c r="R167" i="65"/>
  <c r="S167" i="65" s="1"/>
  <c r="Y167" i="65" s="1"/>
  <c r="AB167" i="65" s="1"/>
  <c r="AC167" i="65" s="1"/>
  <c r="AD167" i="65" s="1"/>
  <c r="AH167" i="65"/>
  <c r="C169" i="65"/>
  <c r="O169" i="65"/>
  <c r="L169" i="65"/>
  <c r="M169" i="65" s="1"/>
  <c r="AG166" i="65"/>
  <c r="N168" i="65"/>
  <c r="AM168" i="65"/>
  <c r="P168" i="65"/>
  <c r="D168" i="65"/>
  <c r="E168" i="65" s="1"/>
  <c r="F168" i="65" s="1"/>
  <c r="G168" i="65" s="1"/>
  <c r="H168" i="65" s="1"/>
  <c r="I168" i="65" s="1"/>
  <c r="J168" i="65" s="1"/>
  <c r="K168" i="65" s="1"/>
  <c r="AC167" i="53"/>
  <c r="AT167" i="53"/>
  <c r="Q167" i="53"/>
  <c r="AD167" i="53"/>
  <c r="AH167" i="53"/>
  <c r="AE167" i="53"/>
  <c r="R167" i="53"/>
  <c r="X167" i="53" s="1"/>
  <c r="B169" i="53"/>
  <c r="AK168" i="52" a="1"/>
  <c r="AK168" i="52" s="1"/>
  <c r="AF166" i="53"/>
  <c r="D168" i="53"/>
  <c r="F168" i="53"/>
  <c r="N168" i="53"/>
  <c r="L168" i="53"/>
  <c r="E168" i="53"/>
  <c r="I168" i="53"/>
  <c r="H168" i="53"/>
  <c r="O168" i="53"/>
  <c r="AG168" i="53" s="1"/>
  <c r="G168" i="53"/>
  <c r="J168" i="53"/>
  <c r="K168" i="53"/>
  <c r="C168" i="53"/>
  <c r="P168" i="53"/>
  <c r="M168" i="53"/>
  <c r="AA166" i="53"/>
  <c r="AB166" i="53"/>
  <c r="A167" i="32"/>
  <c r="Q167" i="32" s="1"/>
  <c r="P167" i="32" s="1"/>
  <c r="F167" i="32"/>
  <c r="B167" i="32"/>
  <c r="R167" i="32" s="1"/>
  <c r="S167" i="32" s="1"/>
  <c r="N167" i="32"/>
  <c r="H167" i="32"/>
  <c r="I167" i="32"/>
  <c r="L167" i="32"/>
  <c r="T167" i="32"/>
  <c r="AK167" i="32"/>
  <c r="G167" i="32"/>
  <c r="M167" i="32"/>
  <c r="O167" i="32"/>
  <c r="J167" i="32"/>
  <c r="K167" i="32"/>
  <c r="AL165" i="32"/>
  <c r="AM166" i="32"/>
  <c r="U166" i="32"/>
  <c r="AD166" i="32" s="1"/>
  <c r="AG166" i="32" s="1"/>
  <c r="AH166" i="32" s="1"/>
  <c r="AI166" i="32" s="1"/>
  <c r="AN165" i="32"/>
  <c r="Z166" i="32"/>
  <c r="W166" i="32"/>
  <c r="X166" i="32" s="1"/>
  <c r="AJ166" i="32"/>
  <c r="V166" i="32"/>
  <c r="C166" i="32"/>
  <c r="E168" i="32"/>
  <c r="AL168" i="11" a="1"/>
  <c r="AL168" i="11" s="1"/>
  <c r="Y168" i="65" l="1"/>
  <c r="AB168" i="65" s="1"/>
  <c r="AC168" i="65" s="1"/>
  <c r="AD168" i="65" s="1"/>
  <c r="AH168" i="65"/>
  <c r="AF168" i="65"/>
  <c r="R168" i="65"/>
  <c r="S168" i="65" s="1"/>
  <c r="U168" i="65"/>
  <c r="Q168" i="65"/>
  <c r="AV168" i="65"/>
  <c r="AE168" i="65"/>
  <c r="N169" i="65"/>
  <c r="AM169" i="65"/>
  <c r="D169" i="65"/>
  <c r="E169" i="65" s="1"/>
  <c r="F169" i="65" s="1"/>
  <c r="G169" i="65" s="1"/>
  <c r="H169" i="65" s="1"/>
  <c r="I169" i="65" s="1"/>
  <c r="J169" i="65" s="1"/>
  <c r="K169" i="65" s="1"/>
  <c r="P169" i="65"/>
  <c r="C170" i="65"/>
  <c r="O170" i="65"/>
  <c r="L170" i="65"/>
  <c r="M170" i="65" s="1"/>
  <c r="B171" i="65"/>
  <c r="AO170" i="63" a="1"/>
  <c r="AO170" i="63" s="1"/>
  <c r="AA167" i="53"/>
  <c r="AB167" i="53"/>
  <c r="N169" i="53"/>
  <c r="D169" i="53"/>
  <c r="P169" i="53"/>
  <c r="G169" i="53"/>
  <c r="K169" i="53"/>
  <c r="J169" i="53"/>
  <c r="H169" i="53"/>
  <c r="M169" i="53"/>
  <c r="L169" i="53"/>
  <c r="I169" i="53"/>
  <c r="C169" i="53"/>
  <c r="F169" i="53"/>
  <c r="O169" i="53"/>
  <c r="AG169" i="53" s="1"/>
  <c r="E169" i="53"/>
  <c r="B170" i="53"/>
  <c r="AK169" i="52" a="1"/>
  <c r="AK169" i="52" s="1"/>
  <c r="AE168" i="53"/>
  <c r="Q168" i="53"/>
  <c r="AT168" i="53"/>
  <c r="AH168" i="53"/>
  <c r="R168" i="53"/>
  <c r="X168" i="53" s="1"/>
  <c r="AC168" i="53"/>
  <c r="AD168" i="53"/>
  <c r="AF167" i="53"/>
  <c r="I168" i="32"/>
  <c r="A168" i="32"/>
  <c r="Q168" i="32" s="1"/>
  <c r="P168" i="32" s="1"/>
  <c r="L168" i="32"/>
  <c r="B168" i="32"/>
  <c r="R168" i="32" s="1"/>
  <c r="S168" i="32" s="1"/>
  <c r="F168" i="32"/>
  <c r="G168" i="32"/>
  <c r="J168" i="32"/>
  <c r="T168" i="32"/>
  <c r="AK168" i="32"/>
  <c r="K168" i="32"/>
  <c r="O168" i="32"/>
  <c r="M168" i="32"/>
  <c r="N168" i="32"/>
  <c r="H168" i="32"/>
  <c r="AL166" i="32"/>
  <c r="AM167" i="32"/>
  <c r="U167" i="32"/>
  <c r="AD167" i="32" s="1"/>
  <c r="AG167" i="32" s="1"/>
  <c r="AH167" i="32" s="1"/>
  <c r="AI167" i="32" s="1"/>
  <c r="AN166" i="32"/>
  <c r="V167" i="32"/>
  <c r="W167" i="32"/>
  <c r="X167" i="32" s="1"/>
  <c r="C167" i="32"/>
  <c r="Z167" i="32"/>
  <c r="AJ167" i="32"/>
  <c r="E169" i="32"/>
  <c r="AL169" i="11" a="1"/>
  <c r="AL169" i="11" s="1"/>
  <c r="B172" i="65" l="1"/>
  <c r="AO171" i="63" a="1"/>
  <c r="AO171" i="63" s="1"/>
  <c r="AE169" i="65"/>
  <c r="Q169" i="65"/>
  <c r="AH169" i="65"/>
  <c r="U169" i="65"/>
  <c r="AF169" i="65"/>
  <c r="R169" i="65"/>
  <c r="S169" i="65" s="1"/>
  <c r="AV169" i="65"/>
  <c r="O171" i="65"/>
  <c r="L171" i="65"/>
  <c r="M171" i="65" s="1"/>
  <c r="C171" i="65"/>
  <c r="AG168" i="65"/>
  <c r="N170" i="65"/>
  <c r="D170" i="65"/>
  <c r="E170" i="65" s="1"/>
  <c r="F170" i="65" s="1"/>
  <c r="G170" i="65" s="1"/>
  <c r="H170" i="65" s="1"/>
  <c r="I170" i="65" s="1"/>
  <c r="J170" i="65" s="1"/>
  <c r="K170" i="65" s="1"/>
  <c r="P170" i="65"/>
  <c r="AM170" i="65"/>
  <c r="Y169" i="65"/>
  <c r="AB169" i="65" s="1"/>
  <c r="AC169" i="65" s="1"/>
  <c r="AD169" i="65" s="1"/>
  <c r="P170" i="53"/>
  <c r="C170" i="53"/>
  <c r="K170" i="53"/>
  <c r="J170" i="53"/>
  <c r="N170" i="53"/>
  <c r="H170" i="53"/>
  <c r="D170" i="53"/>
  <c r="M170" i="53"/>
  <c r="E170" i="53"/>
  <c r="G170" i="53"/>
  <c r="I170" i="53"/>
  <c r="L170" i="53"/>
  <c r="O170" i="53"/>
  <c r="AG170" i="53" s="1"/>
  <c r="F170" i="53"/>
  <c r="AA168" i="53"/>
  <c r="AB168" i="53"/>
  <c r="AC169" i="53"/>
  <c r="Q169" i="53"/>
  <c r="AH169" i="53"/>
  <c r="R169" i="53"/>
  <c r="X169" i="53" s="1"/>
  <c r="AE169" i="53"/>
  <c r="AT169" i="53"/>
  <c r="AD169" i="53"/>
  <c r="B171" i="53"/>
  <c r="AK170" i="52" a="1"/>
  <c r="AK170" i="52" s="1"/>
  <c r="AF168" i="53"/>
  <c r="AL167" i="32"/>
  <c r="O169" i="32"/>
  <c r="F169" i="32"/>
  <c r="N169" i="32"/>
  <c r="A169" i="32"/>
  <c r="Q169" i="32" s="1"/>
  <c r="P169" i="32" s="1"/>
  <c r="G169" i="32"/>
  <c r="B169" i="32"/>
  <c r="R169" i="32" s="1"/>
  <c r="S169" i="32" s="1"/>
  <c r="J169" i="32"/>
  <c r="L169" i="32"/>
  <c r="M169" i="32"/>
  <c r="T169" i="32"/>
  <c r="K169" i="32"/>
  <c r="H169" i="32"/>
  <c r="I169" i="32"/>
  <c r="AK169" i="32"/>
  <c r="AN167" i="32"/>
  <c r="U168" i="32"/>
  <c r="AD168" i="32" s="1"/>
  <c r="AG168" i="32" s="1"/>
  <c r="AH168" i="32" s="1"/>
  <c r="AI168" i="32" s="1"/>
  <c r="AM168" i="32"/>
  <c r="C168" i="32"/>
  <c r="Z168" i="32"/>
  <c r="AJ168" i="32"/>
  <c r="W168" i="32"/>
  <c r="X168" i="32" s="1"/>
  <c r="V168" i="32"/>
  <c r="E170" i="32"/>
  <c r="AL170" i="11" a="1"/>
  <c r="AL170" i="11" s="1"/>
  <c r="C172" i="65" l="1"/>
  <c r="L172" i="65"/>
  <c r="M172" i="65" s="1"/>
  <c r="O172" i="65"/>
  <c r="AG169" i="65"/>
  <c r="AE170" i="65"/>
  <c r="AH170" i="65"/>
  <c r="AF170" i="65"/>
  <c r="AV170" i="65"/>
  <c r="R170" i="65"/>
  <c r="S170" i="65" s="1"/>
  <c r="Y170" i="65" s="1"/>
  <c r="AB170" i="65" s="1"/>
  <c r="AC170" i="65" s="1"/>
  <c r="AD170" i="65" s="1"/>
  <c r="U170" i="65"/>
  <c r="Q170" i="65"/>
  <c r="N171" i="65"/>
  <c r="D171" i="65"/>
  <c r="E171" i="65" s="1"/>
  <c r="F171" i="65" s="1"/>
  <c r="G171" i="65" s="1"/>
  <c r="H171" i="65" s="1"/>
  <c r="I171" i="65" s="1"/>
  <c r="J171" i="65" s="1"/>
  <c r="K171" i="65" s="1"/>
  <c r="AM171" i="65"/>
  <c r="P171" i="65"/>
  <c r="B173" i="65"/>
  <c r="AO172" i="63" a="1"/>
  <c r="AO172" i="63" s="1"/>
  <c r="AF169" i="53"/>
  <c r="B172" i="53"/>
  <c r="AK171" i="52" a="1"/>
  <c r="AK171" i="52" s="1"/>
  <c r="O171" i="53"/>
  <c r="H171" i="53"/>
  <c r="K171" i="53"/>
  <c r="N171" i="53"/>
  <c r="E171" i="53"/>
  <c r="J171" i="53"/>
  <c r="F171" i="53"/>
  <c r="M171" i="53"/>
  <c r="I171" i="53"/>
  <c r="L171" i="53"/>
  <c r="C171" i="53"/>
  <c r="P171" i="53"/>
  <c r="G171" i="53"/>
  <c r="D171" i="53"/>
  <c r="AE170" i="53"/>
  <c r="AT170" i="53"/>
  <c r="AD170" i="53"/>
  <c r="R170" i="53"/>
  <c r="X170" i="53" s="1"/>
  <c r="AH170" i="53"/>
  <c r="Q170" i="53"/>
  <c r="AC170" i="53"/>
  <c r="AB169" i="53"/>
  <c r="AA169" i="53"/>
  <c r="AL168" i="32"/>
  <c r="O170" i="32"/>
  <c r="M170" i="32"/>
  <c r="A170" i="32"/>
  <c r="Q170" i="32" s="1"/>
  <c r="P170" i="32" s="1"/>
  <c r="H170" i="32"/>
  <c r="B170" i="32"/>
  <c r="R170" i="32" s="1"/>
  <c r="S170" i="32" s="1"/>
  <c r="F170" i="32"/>
  <c r="G170" i="32"/>
  <c r="J170" i="32"/>
  <c r="K170" i="32"/>
  <c r="T170" i="32"/>
  <c r="L170" i="32"/>
  <c r="I170" i="32"/>
  <c r="N170" i="32"/>
  <c r="AK170" i="32"/>
  <c r="AN168" i="32"/>
  <c r="Z169" i="32"/>
  <c r="V169" i="32"/>
  <c r="W169" i="32"/>
  <c r="X169" i="32" s="1"/>
  <c r="C169" i="32"/>
  <c r="AJ169" i="32"/>
  <c r="U169" i="32"/>
  <c r="AD169" i="32" s="1"/>
  <c r="AG169" i="32" s="1"/>
  <c r="AH169" i="32" s="1"/>
  <c r="AI169" i="32" s="1"/>
  <c r="AN169" i="32" s="1"/>
  <c r="AM169" i="32"/>
  <c r="E171" i="32"/>
  <c r="AL171" i="11" a="1"/>
  <c r="AL171" i="11" s="1"/>
  <c r="P172" i="65" l="1"/>
  <c r="AM172" i="65"/>
  <c r="D172" i="65"/>
  <c r="E172" i="65" s="1"/>
  <c r="F172" i="65" s="1"/>
  <c r="G172" i="65" s="1"/>
  <c r="H172" i="65" s="1"/>
  <c r="I172" i="65" s="1"/>
  <c r="J172" i="65" s="1"/>
  <c r="K172" i="65" s="1"/>
  <c r="N172" i="65"/>
  <c r="O173" i="65"/>
  <c r="L173" i="65"/>
  <c r="M173" i="65" s="1"/>
  <c r="C173" i="65"/>
  <c r="B174" i="65"/>
  <c r="AO173" i="63" a="1"/>
  <c r="AO173" i="63" s="1"/>
  <c r="Y171" i="65"/>
  <c r="AB171" i="65" s="1"/>
  <c r="AC171" i="65" s="1"/>
  <c r="AD171" i="65" s="1"/>
  <c r="AG170" i="65"/>
  <c r="R171" i="65"/>
  <c r="S171" i="65" s="1"/>
  <c r="U171" i="65"/>
  <c r="AE171" i="65"/>
  <c r="AV171" i="65"/>
  <c r="Q171" i="65"/>
  <c r="AF171" i="65"/>
  <c r="AH171" i="65"/>
  <c r="AF170" i="53"/>
  <c r="G172" i="53"/>
  <c r="N172" i="53"/>
  <c r="C172" i="53"/>
  <c r="E172" i="53"/>
  <c r="J172" i="53"/>
  <c r="O172" i="53"/>
  <c r="AG172" i="53" s="1"/>
  <c r="H172" i="53"/>
  <c r="K172" i="53"/>
  <c r="F172" i="53"/>
  <c r="P172" i="53"/>
  <c r="L172" i="53"/>
  <c r="I172" i="53"/>
  <c r="M172" i="53"/>
  <c r="D172" i="53"/>
  <c r="B173" i="53"/>
  <c r="AK172" i="52" a="1"/>
  <c r="AK172" i="52" s="1"/>
  <c r="AB170" i="53"/>
  <c r="AA170" i="53"/>
  <c r="R171" i="53"/>
  <c r="AH171" i="53"/>
  <c r="AT171" i="53"/>
  <c r="AC171" i="53"/>
  <c r="Q171" i="53"/>
  <c r="AD171" i="53"/>
  <c r="AE171" i="53"/>
  <c r="AG171" i="53"/>
  <c r="X171" i="53"/>
  <c r="J171" i="32"/>
  <c r="K171" i="32"/>
  <c r="A171" i="32"/>
  <c r="Q171" i="32" s="1"/>
  <c r="P171" i="32" s="1"/>
  <c r="F171" i="32"/>
  <c r="B171" i="32"/>
  <c r="R171" i="32" s="1"/>
  <c r="S171" i="32" s="1"/>
  <c r="N171" i="32"/>
  <c r="H171" i="32"/>
  <c r="I171" i="32"/>
  <c r="O171" i="32"/>
  <c r="G171" i="32"/>
  <c r="M171" i="32"/>
  <c r="AK171" i="32"/>
  <c r="T171" i="32"/>
  <c r="L171" i="32"/>
  <c r="AL169" i="32"/>
  <c r="AM170" i="32"/>
  <c r="U170" i="32"/>
  <c r="AD170" i="32" s="1"/>
  <c r="AG170" i="32" s="1"/>
  <c r="AH170" i="32" s="1"/>
  <c r="AI170" i="32" s="1"/>
  <c r="Z170" i="32"/>
  <c r="W170" i="32"/>
  <c r="X170" i="32" s="1"/>
  <c r="V170" i="32"/>
  <c r="C170" i="32"/>
  <c r="AJ170" i="32"/>
  <c r="E172" i="32"/>
  <c r="AL172" i="11" a="1"/>
  <c r="AL172" i="11" s="1"/>
  <c r="B175" i="65" l="1"/>
  <c r="AO174" i="63" a="1"/>
  <c r="AO174" i="63" s="1"/>
  <c r="L174" i="65"/>
  <c r="M174" i="65" s="1"/>
  <c r="C174" i="65"/>
  <c r="O174" i="65"/>
  <c r="P173" i="65"/>
  <c r="N173" i="65"/>
  <c r="D173" i="65"/>
  <c r="E173" i="65" s="1"/>
  <c r="F173" i="65" s="1"/>
  <c r="G173" i="65" s="1"/>
  <c r="H173" i="65" s="1"/>
  <c r="I173" i="65" s="1"/>
  <c r="J173" i="65" s="1"/>
  <c r="K173" i="65" s="1"/>
  <c r="AM173" i="65"/>
  <c r="AG171" i="65"/>
  <c r="U172" i="65"/>
  <c r="AH172" i="65"/>
  <c r="R172" i="65"/>
  <c r="S172" i="65" s="1"/>
  <c r="Y172" i="65" s="1"/>
  <c r="AB172" i="65" s="1"/>
  <c r="AC172" i="65" s="1"/>
  <c r="AD172" i="65" s="1"/>
  <c r="AV172" i="65"/>
  <c r="AE172" i="65"/>
  <c r="AF172" i="65"/>
  <c r="Q172" i="65"/>
  <c r="AF171" i="53"/>
  <c r="B174" i="53"/>
  <c r="AK173" i="52" a="1"/>
  <c r="AK173" i="52" s="1"/>
  <c r="F173" i="53"/>
  <c r="C173" i="53"/>
  <c r="G173" i="53"/>
  <c r="L173" i="53"/>
  <c r="N173" i="53"/>
  <c r="H173" i="53"/>
  <c r="J173" i="53"/>
  <c r="I173" i="53"/>
  <c r="D173" i="53"/>
  <c r="E173" i="53"/>
  <c r="P173" i="53"/>
  <c r="M173" i="53"/>
  <c r="O173" i="53"/>
  <c r="AG173" i="53" s="1"/>
  <c r="K173" i="53"/>
  <c r="AT172" i="53"/>
  <c r="AD172" i="53"/>
  <c r="R172" i="53"/>
  <c r="X172" i="53" s="1"/>
  <c r="Q172" i="53"/>
  <c r="AE172" i="53"/>
  <c r="AH172" i="53"/>
  <c r="AC172" i="53"/>
  <c r="AA171" i="53"/>
  <c r="AB171" i="53"/>
  <c r="E173" i="32"/>
  <c r="AL173" i="11" a="1"/>
  <c r="AL173" i="11" s="1"/>
  <c r="O172" i="32"/>
  <c r="I172" i="32"/>
  <c r="A172" i="32"/>
  <c r="Q172" i="32" s="1"/>
  <c r="P172" i="32" s="1"/>
  <c r="L172" i="32"/>
  <c r="B172" i="32"/>
  <c r="R172" i="32" s="1"/>
  <c r="S172" i="32" s="1"/>
  <c r="N172" i="32"/>
  <c r="F172" i="32"/>
  <c r="G172" i="32"/>
  <c r="J172" i="32"/>
  <c r="T172" i="32"/>
  <c r="H172" i="32"/>
  <c r="K172" i="32"/>
  <c r="AK172" i="32"/>
  <c r="M172" i="32"/>
  <c r="AL170" i="32"/>
  <c r="AN170" i="32"/>
  <c r="V171" i="32"/>
  <c r="AJ171" i="32"/>
  <c r="C171" i="32"/>
  <c r="W171" i="32"/>
  <c r="X171" i="32" s="1"/>
  <c r="Z171" i="32"/>
  <c r="U171" i="32"/>
  <c r="AD171" i="32" s="1"/>
  <c r="AG171" i="32" s="1"/>
  <c r="AH171" i="32" s="1"/>
  <c r="AI171" i="32" s="1"/>
  <c r="AM171" i="32"/>
  <c r="B176" i="65" l="1"/>
  <c r="AO175" i="63" a="1"/>
  <c r="AO175" i="63" s="1"/>
  <c r="AG172" i="65"/>
  <c r="L175" i="65"/>
  <c r="M175" i="65" s="1"/>
  <c r="O175" i="65"/>
  <c r="C175" i="65"/>
  <c r="U173" i="65"/>
  <c r="AE173" i="65"/>
  <c r="Q173" i="65"/>
  <c r="R173" i="65"/>
  <c r="S173" i="65" s="1"/>
  <c r="Y173" i="65" s="1"/>
  <c r="AB173" i="65" s="1"/>
  <c r="AC173" i="65" s="1"/>
  <c r="AD173" i="65" s="1"/>
  <c r="AH173" i="65"/>
  <c r="AV173" i="65"/>
  <c r="AF173" i="65"/>
  <c r="D174" i="65"/>
  <c r="E174" i="65" s="1"/>
  <c r="F174" i="65" s="1"/>
  <c r="G174" i="65" s="1"/>
  <c r="H174" i="65" s="1"/>
  <c r="I174" i="65" s="1"/>
  <c r="J174" i="65" s="1"/>
  <c r="K174" i="65" s="1"/>
  <c r="N174" i="65"/>
  <c r="P174" i="65"/>
  <c r="AM174" i="65"/>
  <c r="O174" i="53"/>
  <c r="AG174" i="53" s="1"/>
  <c r="L174" i="53"/>
  <c r="K174" i="53"/>
  <c r="H174" i="53"/>
  <c r="F174" i="53"/>
  <c r="E174" i="53"/>
  <c r="D174" i="53"/>
  <c r="M174" i="53"/>
  <c r="I174" i="53"/>
  <c r="C174" i="53"/>
  <c r="G174" i="53"/>
  <c r="J174" i="53"/>
  <c r="P174" i="53"/>
  <c r="N174" i="53"/>
  <c r="AE173" i="53"/>
  <c r="AD173" i="53"/>
  <c r="AC173" i="53"/>
  <c r="AT173" i="53"/>
  <c r="R173" i="53"/>
  <c r="X173" i="53" s="1"/>
  <c r="Q173" i="53"/>
  <c r="AH173" i="53"/>
  <c r="AF172" i="53"/>
  <c r="B175" i="53"/>
  <c r="AK174" i="52" a="1"/>
  <c r="AK174" i="52" s="1"/>
  <c r="AA172" i="53"/>
  <c r="AB172" i="53"/>
  <c r="AN171" i="32"/>
  <c r="AM172" i="32"/>
  <c r="U172" i="32"/>
  <c r="AD172" i="32" s="1"/>
  <c r="AG172" i="32" s="1"/>
  <c r="AH172" i="32" s="1"/>
  <c r="AI172" i="32" s="1"/>
  <c r="N173" i="32"/>
  <c r="T173" i="32"/>
  <c r="A173" i="32"/>
  <c r="Q173" i="32" s="1"/>
  <c r="P173" i="32" s="1"/>
  <c r="G173" i="32"/>
  <c r="O173" i="32"/>
  <c r="B173" i="32"/>
  <c r="R173" i="32" s="1"/>
  <c r="S173" i="32" s="1"/>
  <c r="J173" i="32"/>
  <c r="H173" i="32"/>
  <c r="I173" i="32"/>
  <c r="F173" i="32"/>
  <c r="K173" i="32"/>
  <c r="L173" i="32"/>
  <c r="AK173" i="32"/>
  <c r="M173" i="32"/>
  <c r="AL171" i="32"/>
  <c r="Z172" i="32"/>
  <c r="AJ172" i="32"/>
  <c r="C172" i="32"/>
  <c r="W172" i="32"/>
  <c r="X172" i="32" s="1"/>
  <c r="V172" i="32"/>
  <c r="E174" i="32"/>
  <c r="AL174" i="11" a="1"/>
  <c r="AL174" i="11" s="1"/>
  <c r="B177" i="65" l="1"/>
  <c r="AO176" i="63" a="1"/>
  <c r="AO176" i="63" s="1"/>
  <c r="L176" i="65"/>
  <c r="M176" i="65" s="1"/>
  <c r="O176" i="65"/>
  <c r="C176" i="65"/>
  <c r="R174" i="65"/>
  <c r="S174" i="65" s="1"/>
  <c r="Y174" i="65" s="1"/>
  <c r="AB174" i="65" s="1"/>
  <c r="AC174" i="65" s="1"/>
  <c r="AD174" i="65" s="1"/>
  <c r="U174" i="65"/>
  <c r="AH174" i="65"/>
  <c r="AV174" i="65"/>
  <c r="Q174" i="65"/>
  <c r="AF174" i="65"/>
  <c r="AE174" i="65"/>
  <c r="P175" i="65"/>
  <c r="D175" i="65"/>
  <c r="E175" i="65" s="1"/>
  <c r="F175" i="65" s="1"/>
  <c r="G175" i="65" s="1"/>
  <c r="H175" i="65" s="1"/>
  <c r="I175" i="65" s="1"/>
  <c r="J175" i="65" s="1"/>
  <c r="K175" i="65" s="1"/>
  <c r="AM175" i="65"/>
  <c r="N175" i="65"/>
  <c r="AG173" i="65"/>
  <c r="B176" i="53"/>
  <c r="AK175" i="52" a="1"/>
  <c r="AK175" i="52" s="1"/>
  <c r="Q174" i="53"/>
  <c r="AC174" i="53"/>
  <c r="AD174" i="53"/>
  <c r="R174" i="53"/>
  <c r="X174" i="53" s="1"/>
  <c r="AT174" i="53"/>
  <c r="AE174" i="53"/>
  <c r="AH174" i="53"/>
  <c r="M175" i="53"/>
  <c r="G175" i="53"/>
  <c r="O175" i="53"/>
  <c r="AG175" i="53" s="1"/>
  <c r="I175" i="53"/>
  <c r="P175" i="53"/>
  <c r="J175" i="53"/>
  <c r="L175" i="53"/>
  <c r="H175" i="53"/>
  <c r="D175" i="53"/>
  <c r="C175" i="53"/>
  <c r="E175" i="53"/>
  <c r="F175" i="53"/>
  <c r="N175" i="53"/>
  <c r="K175" i="53"/>
  <c r="AF173" i="53"/>
  <c r="AB173" i="53"/>
  <c r="AA173" i="53"/>
  <c r="M174" i="32"/>
  <c r="A174" i="32"/>
  <c r="Q174" i="32" s="1"/>
  <c r="P174" i="32" s="1"/>
  <c r="H174" i="32"/>
  <c r="T174" i="32"/>
  <c r="B174" i="32"/>
  <c r="R174" i="32" s="1"/>
  <c r="S174" i="32" s="1"/>
  <c r="J174" i="32"/>
  <c r="O174" i="32"/>
  <c r="K174" i="32"/>
  <c r="N174" i="32"/>
  <c r="L174" i="32"/>
  <c r="AK174" i="32"/>
  <c r="F174" i="32"/>
  <c r="I174" i="32"/>
  <c r="G174" i="32"/>
  <c r="V173" i="32"/>
  <c r="C173" i="32"/>
  <c r="W173" i="32"/>
  <c r="X173" i="32" s="1"/>
  <c r="Z173" i="32"/>
  <c r="AJ173" i="32"/>
  <c r="AN172" i="32"/>
  <c r="AL172" i="32"/>
  <c r="AM173" i="32"/>
  <c r="U173" i="32"/>
  <c r="AD173" i="32" s="1"/>
  <c r="AG173" i="32" s="1"/>
  <c r="AH173" i="32" s="1"/>
  <c r="AI173" i="32" s="1"/>
  <c r="E175" i="32"/>
  <c r="AL175" i="11" a="1"/>
  <c r="AL175" i="11" s="1"/>
  <c r="B178" i="65" l="1"/>
  <c r="AO177" i="63" a="1"/>
  <c r="AO177" i="63" s="1"/>
  <c r="C177" i="65"/>
  <c r="O177" i="65"/>
  <c r="L177" i="65"/>
  <c r="M177" i="65" s="1"/>
  <c r="Q175" i="65"/>
  <c r="U175" i="65"/>
  <c r="R175" i="65"/>
  <c r="S175" i="65" s="1"/>
  <c r="Y175" i="65" s="1"/>
  <c r="AB175" i="65" s="1"/>
  <c r="AC175" i="65" s="1"/>
  <c r="AD175" i="65" s="1"/>
  <c r="AE175" i="65"/>
  <c r="AH175" i="65"/>
  <c r="AF175" i="65"/>
  <c r="AG175" i="65" s="1"/>
  <c r="AV175" i="65"/>
  <c r="D176" i="65"/>
  <c r="E176" i="65" s="1"/>
  <c r="F176" i="65" s="1"/>
  <c r="G176" i="65" s="1"/>
  <c r="H176" i="65" s="1"/>
  <c r="I176" i="65" s="1"/>
  <c r="J176" i="65" s="1"/>
  <c r="K176" i="65" s="1"/>
  <c r="N176" i="65"/>
  <c r="P176" i="65"/>
  <c r="AM176" i="65"/>
  <c r="AG174" i="65"/>
  <c r="B177" i="53"/>
  <c r="AK176" i="52" a="1"/>
  <c r="AK176" i="52" s="1"/>
  <c r="C176" i="53"/>
  <c r="N176" i="53"/>
  <c r="J176" i="53"/>
  <c r="I176" i="53"/>
  <c r="G176" i="53"/>
  <c r="E176" i="53"/>
  <c r="H176" i="53"/>
  <c r="L176" i="53"/>
  <c r="D176" i="53"/>
  <c r="M176" i="53"/>
  <c r="O176" i="53"/>
  <c r="AG176" i="53" s="1"/>
  <c r="P176" i="53"/>
  <c r="F176" i="53"/>
  <c r="K176" i="53"/>
  <c r="AF174" i="53"/>
  <c r="R175" i="53"/>
  <c r="X175" i="53" s="1"/>
  <c r="AT175" i="53"/>
  <c r="AH175" i="53"/>
  <c r="AE175" i="53"/>
  <c r="AD175" i="53"/>
  <c r="Q175" i="53"/>
  <c r="AC175" i="53"/>
  <c r="AB174" i="53"/>
  <c r="AA174" i="53"/>
  <c r="E176" i="32"/>
  <c r="AL176" i="11" a="1"/>
  <c r="AL176" i="11" s="1"/>
  <c r="H175" i="32"/>
  <c r="I175" i="32"/>
  <c r="L175" i="32"/>
  <c r="AK175" i="32"/>
  <c r="G175" i="32"/>
  <c r="M175" i="32"/>
  <c r="J175" i="32"/>
  <c r="O175" i="32"/>
  <c r="B175" i="32"/>
  <c r="R175" i="32" s="1"/>
  <c r="S175" i="32" s="1"/>
  <c r="N175" i="32"/>
  <c r="K175" i="32"/>
  <c r="F175" i="32"/>
  <c r="A175" i="32"/>
  <c r="Q175" i="32" s="1"/>
  <c r="P175" i="32" s="1"/>
  <c r="T175" i="32"/>
  <c r="AL173" i="32"/>
  <c r="AN173" i="32"/>
  <c r="C174" i="32"/>
  <c r="V174" i="32"/>
  <c r="AJ174" i="32"/>
  <c r="W174" i="32"/>
  <c r="X174" i="32" s="1"/>
  <c r="Z174" i="32"/>
  <c r="U174" i="32"/>
  <c r="AD174" i="32" s="1"/>
  <c r="AG174" i="32" s="1"/>
  <c r="AH174" i="32" s="1"/>
  <c r="AI174" i="32" s="1"/>
  <c r="AM174" i="32"/>
  <c r="N177" i="65" l="1"/>
  <c r="AM177" i="65"/>
  <c r="D177" i="65"/>
  <c r="E177" i="65" s="1"/>
  <c r="F177" i="65" s="1"/>
  <c r="G177" i="65" s="1"/>
  <c r="H177" i="65" s="1"/>
  <c r="I177" i="65" s="1"/>
  <c r="J177" i="65" s="1"/>
  <c r="K177" i="65" s="1"/>
  <c r="P177" i="65"/>
  <c r="C178" i="65"/>
  <c r="L178" i="65"/>
  <c r="M178" i="65" s="1"/>
  <c r="O178" i="65"/>
  <c r="AV176" i="65"/>
  <c r="AE176" i="65"/>
  <c r="U176" i="65"/>
  <c r="AH176" i="65"/>
  <c r="R176" i="65"/>
  <c r="S176" i="65" s="1"/>
  <c r="Q176" i="65"/>
  <c r="AF176" i="65"/>
  <c r="Y176" i="65"/>
  <c r="AB176" i="65" s="1"/>
  <c r="AC176" i="65" s="1"/>
  <c r="AD176" i="65" s="1"/>
  <c r="B179" i="65"/>
  <c r="AO178" i="63" a="1"/>
  <c r="AO178" i="63" s="1"/>
  <c r="AA175" i="53"/>
  <c r="AB175" i="53"/>
  <c r="E177" i="53"/>
  <c r="J177" i="53"/>
  <c r="C177" i="53"/>
  <c r="G177" i="53"/>
  <c r="P177" i="53"/>
  <c r="F177" i="53"/>
  <c r="N177" i="53"/>
  <c r="O177" i="53"/>
  <c r="AG177" i="53" s="1"/>
  <c r="L177" i="53"/>
  <c r="D177" i="53"/>
  <c r="M177" i="53"/>
  <c r="I177" i="53"/>
  <c r="K177" i="53"/>
  <c r="H177" i="53"/>
  <c r="AE176" i="53"/>
  <c r="AT176" i="53"/>
  <c r="AC176" i="53"/>
  <c r="Q176" i="53"/>
  <c r="AD176" i="53"/>
  <c r="AH176" i="53"/>
  <c r="R176" i="53"/>
  <c r="X176" i="53" s="1"/>
  <c r="B178" i="53"/>
  <c r="AK177" i="52" a="1"/>
  <c r="AK177" i="52" s="1"/>
  <c r="AF175" i="53"/>
  <c r="AN174" i="32"/>
  <c r="J176" i="32"/>
  <c r="K176" i="32"/>
  <c r="AK176" i="32"/>
  <c r="M176" i="32"/>
  <c r="N176" i="32"/>
  <c r="T176" i="32"/>
  <c r="H176" i="32"/>
  <c r="O176" i="32"/>
  <c r="I176" i="32"/>
  <c r="G176" i="32"/>
  <c r="L176" i="32"/>
  <c r="F176" i="32"/>
  <c r="A176" i="32"/>
  <c r="Q176" i="32" s="1"/>
  <c r="P176" i="32" s="1"/>
  <c r="B176" i="32"/>
  <c r="R176" i="32" s="1"/>
  <c r="S176" i="32" s="1"/>
  <c r="C175" i="32"/>
  <c r="Z175" i="32"/>
  <c r="V175" i="32"/>
  <c r="AJ175" i="32"/>
  <c r="W175" i="32"/>
  <c r="X175" i="32" s="1"/>
  <c r="AL174" i="32"/>
  <c r="AM175" i="32"/>
  <c r="U175" i="32"/>
  <c r="AD175" i="32" s="1"/>
  <c r="AG175" i="32" s="1"/>
  <c r="AH175" i="32" s="1"/>
  <c r="AI175" i="32" s="1"/>
  <c r="AN175" i="32" s="1"/>
  <c r="E177" i="32"/>
  <c r="AL177" i="11" a="1"/>
  <c r="AL177" i="11" s="1"/>
  <c r="B180" i="65" l="1"/>
  <c r="AO179" i="63" a="1"/>
  <c r="AO179" i="63" s="1"/>
  <c r="R177" i="65"/>
  <c r="S177" i="65" s="1"/>
  <c r="Y177" i="65" s="1"/>
  <c r="AB177" i="65" s="1"/>
  <c r="AC177" i="65" s="1"/>
  <c r="AD177" i="65" s="1"/>
  <c r="Q177" i="65"/>
  <c r="AH177" i="65"/>
  <c r="AV177" i="65"/>
  <c r="AE177" i="65"/>
  <c r="AF177" i="65"/>
  <c r="U177" i="65"/>
  <c r="C179" i="65"/>
  <c r="L179" i="65"/>
  <c r="M179" i="65" s="1"/>
  <c r="O179" i="65"/>
  <c r="AG176" i="65"/>
  <c r="AM178" i="65"/>
  <c r="D178" i="65"/>
  <c r="E178" i="65" s="1"/>
  <c r="F178" i="65" s="1"/>
  <c r="G178" i="65" s="1"/>
  <c r="H178" i="65" s="1"/>
  <c r="I178" i="65" s="1"/>
  <c r="J178" i="65" s="1"/>
  <c r="K178" i="65" s="1"/>
  <c r="P178" i="65"/>
  <c r="N178" i="65"/>
  <c r="AF176" i="53"/>
  <c r="AB176" i="53"/>
  <c r="AA176" i="53"/>
  <c r="B179" i="53"/>
  <c r="AK178" i="52" a="1"/>
  <c r="AK178" i="52" s="1"/>
  <c r="M178" i="53"/>
  <c r="G178" i="53"/>
  <c r="O178" i="53"/>
  <c r="AG178" i="53" s="1"/>
  <c r="I178" i="53"/>
  <c r="H178" i="53"/>
  <c r="E178" i="53"/>
  <c r="F178" i="53"/>
  <c r="D178" i="53"/>
  <c r="C178" i="53"/>
  <c r="J178" i="53"/>
  <c r="P178" i="53"/>
  <c r="N178" i="53"/>
  <c r="L178" i="53"/>
  <c r="K178" i="53"/>
  <c r="AD177" i="53"/>
  <c r="R177" i="53"/>
  <c r="X177" i="53" s="1"/>
  <c r="AH177" i="53"/>
  <c r="Q177" i="53"/>
  <c r="AT177" i="53"/>
  <c r="AE177" i="53"/>
  <c r="AC177" i="53"/>
  <c r="E178" i="32"/>
  <c r="AL178" i="11" a="1"/>
  <c r="AL178" i="11" s="1"/>
  <c r="H177" i="32"/>
  <c r="AK177" i="32"/>
  <c r="K177" i="32"/>
  <c r="I177" i="32"/>
  <c r="T177" i="32"/>
  <c r="F177" i="32"/>
  <c r="O177" i="32"/>
  <c r="N177" i="32"/>
  <c r="A177" i="32"/>
  <c r="Q177" i="32" s="1"/>
  <c r="P177" i="32" s="1"/>
  <c r="G177" i="32"/>
  <c r="M177" i="32"/>
  <c r="B177" i="32"/>
  <c r="R177" i="32" s="1"/>
  <c r="S177" i="32" s="1"/>
  <c r="J177" i="32"/>
  <c r="L177" i="32"/>
  <c r="W176" i="32"/>
  <c r="X176" i="32" s="1"/>
  <c r="V176" i="32"/>
  <c r="C176" i="32"/>
  <c r="Z176" i="32"/>
  <c r="AJ176" i="32"/>
  <c r="AM176" i="32"/>
  <c r="U176" i="32"/>
  <c r="AD176" i="32" s="1"/>
  <c r="AG176" i="32" s="1"/>
  <c r="AH176" i="32" s="1"/>
  <c r="AI176" i="32" s="1"/>
  <c r="AL175" i="32"/>
  <c r="O180" i="65" l="1"/>
  <c r="C180" i="65"/>
  <c r="L180" i="65"/>
  <c r="M180" i="65" s="1"/>
  <c r="AG177" i="65"/>
  <c r="N179" i="65"/>
  <c r="P179" i="65"/>
  <c r="AM179" i="65"/>
  <c r="D179" i="65"/>
  <c r="E179" i="65" s="1"/>
  <c r="F179" i="65" s="1"/>
  <c r="G179" i="65" s="1"/>
  <c r="H179" i="65" s="1"/>
  <c r="I179" i="65" s="1"/>
  <c r="J179" i="65" s="1"/>
  <c r="K179" i="65" s="1"/>
  <c r="AE178" i="65"/>
  <c r="Q178" i="65"/>
  <c r="AH178" i="65"/>
  <c r="R178" i="65"/>
  <c r="S178" i="65" s="1"/>
  <c r="Y178" i="65" s="1"/>
  <c r="AB178" i="65" s="1"/>
  <c r="AC178" i="65" s="1"/>
  <c r="AD178" i="65" s="1"/>
  <c r="AV178" i="65"/>
  <c r="AF178" i="65"/>
  <c r="U178" i="65"/>
  <c r="B181" i="65"/>
  <c r="AO180" i="63" a="1"/>
  <c r="AO180" i="63" s="1"/>
  <c r="AF177" i="53"/>
  <c r="B180" i="53"/>
  <c r="AK179" i="52" a="1"/>
  <c r="AK179" i="52" s="1"/>
  <c r="AE178" i="53"/>
  <c r="AD178" i="53"/>
  <c r="AT178" i="53"/>
  <c r="Q178" i="53"/>
  <c r="R178" i="53"/>
  <c r="X178" i="53" s="1"/>
  <c r="AC178" i="53"/>
  <c r="AH178" i="53"/>
  <c r="AB177" i="53"/>
  <c r="AA177" i="53"/>
  <c r="D179" i="53"/>
  <c r="H179" i="53"/>
  <c r="G179" i="53"/>
  <c r="M179" i="53"/>
  <c r="E179" i="53"/>
  <c r="N179" i="53"/>
  <c r="J179" i="53"/>
  <c r="L179" i="53"/>
  <c r="C179" i="53"/>
  <c r="O179" i="53"/>
  <c r="AG179" i="53" s="1"/>
  <c r="P179" i="53"/>
  <c r="F179" i="53"/>
  <c r="K179" i="53"/>
  <c r="I179" i="53"/>
  <c r="E179" i="32"/>
  <c r="AL179" i="11" a="1"/>
  <c r="AL179" i="11" s="1"/>
  <c r="AL176" i="32"/>
  <c r="J178" i="32"/>
  <c r="K178" i="32"/>
  <c r="AK178" i="32"/>
  <c r="I178" i="32"/>
  <c r="N178" i="32"/>
  <c r="T178" i="32"/>
  <c r="L178" i="32"/>
  <c r="O178" i="32"/>
  <c r="M178" i="32"/>
  <c r="G178" i="32"/>
  <c r="H178" i="32"/>
  <c r="F178" i="32"/>
  <c r="A178" i="32"/>
  <c r="Q178" i="32" s="1"/>
  <c r="P178" i="32" s="1"/>
  <c r="B178" i="32"/>
  <c r="R178" i="32" s="1"/>
  <c r="S178" i="32" s="1"/>
  <c r="U177" i="32"/>
  <c r="AD177" i="32" s="1"/>
  <c r="AG177" i="32" s="1"/>
  <c r="AH177" i="32" s="1"/>
  <c r="AI177" i="32" s="1"/>
  <c r="AN177" i="32" s="1"/>
  <c r="AM177" i="32"/>
  <c r="W177" i="32"/>
  <c r="X177" i="32" s="1"/>
  <c r="V177" i="32"/>
  <c r="AJ177" i="32"/>
  <c r="Z177" i="32"/>
  <c r="C177" i="32"/>
  <c r="AN176" i="32"/>
  <c r="B182" i="65" l="1"/>
  <c r="AO181" i="63" a="1"/>
  <c r="AO181" i="63" s="1"/>
  <c r="N180" i="65"/>
  <c r="D180" i="65"/>
  <c r="E180" i="65" s="1"/>
  <c r="F180" i="65" s="1"/>
  <c r="G180" i="65" s="1"/>
  <c r="H180" i="65" s="1"/>
  <c r="I180" i="65" s="1"/>
  <c r="J180" i="65" s="1"/>
  <c r="K180" i="65" s="1"/>
  <c r="P180" i="65"/>
  <c r="AM180" i="65"/>
  <c r="L181" i="65"/>
  <c r="M181" i="65" s="1"/>
  <c r="C181" i="65"/>
  <c r="O181" i="65"/>
  <c r="AG178" i="65"/>
  <c r="U179" i="65"/>
  <c r="R179" i="65"/>
  <c r="S179" i="65" s="1"/>
  <c r="Y179" i="65" s="1"/>
  <c r="AB179" i="65" s="1"/>
  <c r="AC179" i="65" s="1"/>
  <c r="AD179" i="65" s="1"/>
  <c r="AV179" i="65"/>
  <c r="AH179" i="65"/>
  <c r="AE179" i="65"/>
  <c r="Q179" i="65"/>
  <c r="AF179" i="65"/>
  <c r="J180" i="53"/>
  <c r="F180" i="53"/>
  <c r="E180" i="53"/>
  <c r="D180" i="53"/>
  <c r="N180" i="53"/>
  <c r="H180" i="53"/>
  <c r="G180" i="53"/>
  <c r="L180" i="53"/>
  <c r="O180" i="53"/>
  <c r="AG180" i="53" s="1"/>
  <c r="I180" i="53"/>
  <c r="K180" i="53"/>
  <c r="P180" i="53"/>
  <c r="C180" i="53"/>
  <c r="M180" i="53"/>
  <c r="AD179" i="53"/>
  <c r="AE179" i="53"/>
  <c r="Q179" i="53"/>
  <c r="R179" i="53"/>
  <c r="X179" i="53" s="1"/>
  <c r="AH179" i="53"/>
  <c r="AT179" i="53"/>
  <c r="AC179" i="53"/>
  <c r="AB178" i="53"/>
  <c r="AA178" i="53"/>
  <c r="AF178" i="53"/>
  <c r="B181" i="53"/>
  <c r="AK180" i="52" a="1"/>
  <c r="AK180" i="52" s="1"/>
  <c r="Z178" i="32"/>
  <c r="W178" i="32"/>
  <c r="X178" i="32" s="1"/>
  <c r="V178" i="32"/>
  <c r="AJ178" i="32"/>
  <c r="C178" i="32"/>
  <c r="AL177" i="32"/>
  <c r="U178" i="32"/>
  <c r="AD178" i="32" s="1"/>
  <c r="AG178" i="32" s="1"/>
  <c r="AH178" i="32" s="1"/>
  <c r="AI178" i="32" s="1"/>
  <c r="AN178" i="32" s="1"/>
  <c r="AM178" i="32"/>
  <c r="E180" i="32"/>
  <c r="AL180" i="11" a="1"/>
  <c r="AL180" i="11" s="1"/>
  <c r="L179" i="32"/>
  <c r="AK179" i="32"/>
  <c r="G179" i="32"/>
  <c r="M179" i="32"/>
  <c r="T179" i="32"/>
  <c r="J179" i="32"/>
  <c r="O179" i="32"/>
  <c r="K179" i="32"/>
  <c r="A179" i="32"/>
  <c r="Q179" i="32" s="1"/>
  <c r="P179" i="32" s="1"/>
  <c r="F179" i="32"/>
  <c r="I179" i="32"/>
  <c r="N179" i="32"/>
  <c r="H179" i="32"/>
  <c r="B179" i="32"/>
  <c r="R179" i="32" s="1"/>
  <c r="S179" i="32" s="1"/>
  <c r="B183" i="65" l="1"/>
  <c r="AO182" i="63" a="1"/>
  <c r="AO182" i="63" s="1"/>
  <c r="O182" i="65"/>
  <c r="L182" i="65"/>
  <c r="M182" i="65" s="1"/>
  <c r="C182" i="65"/>
  <c r="P181" i="65"/>
  <c r="D181" i="65"/>
  <c r="E181" i="65" s="1"/>
  <c r="F181" i="65" s="1"/>
  <c r="G181" i="65" s="1"/>
  <c r="H181" i="65" s="1"/>
  <c r="I181" i="65" s="1"/>
  <c r="J181" i="65" s="1"/>
  <c r="K181" i="65" s="1"/>
  <c r="AM181" i="65"/>
  <c r="N181" i="65"/>
  <c r="AG179" i="65"/>
  <c r="AF180" i="65"/>
  <c r="AH180" i="65"/>
  <c r="AE180" i="65"/>
  <c r="AV180" i="65"/>
  <c r="Q180" i="65"/>
  <c r="U180" i="65"/>
  <c r="R180" i="65"/>
  <c r="S180" i="65" s="1"/>
  <c r="Y180" i="65" s="1"/>
  <c r="AB180" i="65" s="1"/>
  <c r="AC180" i="65" s="1"/>
  <c r="AD180" i="65" s="1"/>
  <c r="AA179" i="53"/>
  <c r="AB179" i="53"/>
  <c r="J181" i="53"/>
  <c r="I181" i="53"/>
  <c r="F181" i="53"/>
  <c r="C181" i="53"/>
  <c r="P181" i="53"/>
  <c r="O181" i="53"/>
  <c r="H181" i="53"/>
  <c r="D181" i="53"/>
  <c r="N181" i="53"/>
  <c r="E181" i="53"/>
  <c r="K181" i="53"/>
  <c r="L181" i="53"/>
  <c r="M181" i="53"/>
  <c r="G181" i="53"/>
  <c r="AF179" i="53"/>
  <c r="B182" i="53"/>
  <c r="AK181" i="52" a="1"/>
  <c r="AK181" i="52" s="1"/>
  <c r="AE180" i="53"/>
  <c r="AH180" i="53"/>
  <c r="AD180" i="53"/>
  <c r="AT180" i="53"/>
  <c r="Q180" i="53"/>
  <c r="R180" i="53"/>
  <c r="X180" i="53" s="1"/>
  <c r="AC180" i="53"/>
  <c r="W179" i="32"/>
  <c r="X179" i="32" s="1"/>
  <c r="C179" i="32"/>
  <c r="AJ179" i="32"/>
  <c r="V179" i="32"/>
  <c r="Z179" i="32"/>
  <c r="AL178" i="32"/>
  <c r="AK180" i="32"/>
  <c r="G180" i="32"/>
  <c r="O180" i="32"/>
  <c r="M180" i="32"/>
  <c r="K180" i="32"/>
  <c r="H180" i="32"/>
  <c r="I180" i="32"/>
  <c r="F180" i="32"/>
  <c r="J180" i="32"/>
  <c r="A180" i="32"/>
  <c r="Q180" i="32" s="1"/>
  <c r="P180" i="32" s="1"/>
  <c r="B180" i="32"/>
  <c r="R180" i="32" s="1"/>
  <c r="S180" i="32" s="1"/>
  <c r="L180" i="32"/>
  <c r="T180" i="32"/>
  <c r="N180" i="32"/>
  <c r="U179" i="32"/>
  <c r="AD179" i="32" s="1"/>
  <c r="AG179" i="32" s="1"/>
  <c r="AH179" i="32" s="1"/>
  <c r="AI179" i="32" s="1"/>
  <c r="AM179" i="32"/>
  <c r="E181" i="32"/>
  <c r="AL181" i="11" a="1"/>
  <c r="AL181" i="11" s="1"/>
  <c r="B184" i="65" l="1"/>
  <c r="AO183" i="63" a="1"/>
  <c r="AO183" i="63" s="1"/>
  <c r="AH181" i="65"/>
  <c r="AV181" i="65"/>
  <c r="U181" i="65"/>
  <c r="AE181" i="65"/>
  <c r="R181" i="65"/>
  <c r="S181" i="65" s="1"/>
  <c r="Y181" i="65" s="1"/>
  <c r="AB181" i="65" s="1"/>
  <c r="AC181" i="65" s="1"/>
  <c r="AD181" i="65" s="1"/>
  <c r="AF181" i="65"/>
  <c r="Q181" i="65"/>
  <c r="O183" i="65"/>
  <c r="C183" i="65"/>
  <c r="L183" i="65"/>
  <c r="M183" i="65" s="1"/>
  <c r="D182" i="65"/>
  <c r="E182" i="65" s="1"/>
  <c r="F182" i="65" s="1"/>
  <c r="G182" i="65" s="1"/>
  <c r="H182" i="65" s="1"/>
  <c r="I182" i="65" s="1"/>
  <c r="J182" i="65" s="1"/>
  <c r="K182" i="65" s="1"/>
  <c r="AM182" i="65"/>
  <c r="P182" i="65"/>
  <c r="N182" i="65"/>
  <c r="AG180" i="65"/>
  <c r="AA180" i="53"/>
  <c r="AB180" i="53"/>
  <c r="AG181" i="53"/>
  <c r="AH181" i="53"/>
  <c r="AE181" i="53"/>
  <c r="AT181" i="53"/>
  <c r="AD181" i="53"/>
  <c r="Q181" i="53"/>
  <c r="AC181" i="53"/>
  <c r="R181" i="53"/>
  <c r="X181" i="53" s="1"/>
  <c r="H182" i="53"/>
  <c r="D182" i="53"/>
  <c r="G182" i="53"/>
  <c r="N182" i="53"/>
  <c r="J182" i="53"/>
  <c r="E182" i="53"/>
  <c r="P182" i="53"/>
  <c r="O182" i="53"/>
  <c r="AG182" i="53" s="1"/>
  <c r="K182" i="53"/>
  <c r="I182" i="53"/>
  <c r="L182" i="53"/>
  <c r="F182" i="53"/>
  <c r="C182" i="53"/>
  <c r="M182" i="53"/>
  <c r="AF180" i="53"/>
  <c r="B183" i="53"/>
  <c r="AK182" i="52" a="1"/>
  <c r="AK182" i="52" s="1"/>
  <c r="C180" i="32"/>
  <c r="V180" i="32"/>
  <c r="Z180" i="32"/>
  <c r="W180" i="32"/>
  <c r="X180" i="32" s="1"/>
  <c r="AJ180" i="32"/>
  <c r="H181" i="32"/>
  <c r="AK181" i="32"/>
  <c r="K181" i="32"/>
  <c r="M181" i="32"/>
  <c r="F181" i="32"/>
  <c r="B181" i="32"/>
  <c r="R181" i="32" s="1"/>
  <c r="S181" i="32" s="1"/>
  <c r="J181" i="32"/>
  <c r="T181" i="32"/>
  <c r="A181" i="32"/>
  <c r="Q181" i="32" s="1"/>
  <c r="P181" i="32" s="1"/>
  <c r="O181" i="32"/>
  <c r="N181" i="32"/>
  <c r="G181" i="32"/>
  <c r="I181" i="32"/>
  <c r="L181" i="32"/>
  <c r="AL179" i="32"/>
  <c r="AM180" i="32"/>
  <c r="U180" i="32"/>
  <c r="AD180" i="32" s="1"/>
  <c r="AG180" i="32" s="1"/>
  <c r="AH180" i="32" s="1"/>
  <c r="AI180" i="32" s="1"/>
  <c r="AN179" i="32"/>
  <c r="E182" i="32"/>
  <c r="AL182" i="11" a="1"/>
  <c r="AL182" i="11" s="1"/>
  <c r="B185" i="65" l="1"/>
  <c r="AO184" i="63" a="1"/>
  <c r="AO184" i="63" s="1"/>
  <c r="R182" i="65"/>
  <c r="S182" i="65" s="1"/>
  <c r="Y182" i="65" s="1"/>
  <c r="AB182" i="65" s="1"/>
  <c r="AC182" i="65" s="1"/>
  <c r="AD182" i="65" s="1"/>
  <c r="U182" i="65"/>
  <c r="AH182" i="65"/>
  <c r="AV182" i="65"/>
  <c r="Q182" i="65"/>
  <c r="AE182" i="65"/>
  <c r="AF182" i="65"/>
  <c r="L184" i="65"/>
  <c r="M184" i="65" s="1"/>
  <c r="C184" i="65"/>
  <c r="O184" i="65"/>
  <c r="AG181" i="65"/>
  <c r="N183" i="65"/>
  <c r="AM183" i="65"/>
  <c r="P183" i="65"/>
  <c r="D183" i="65"/>
  <c r="E183" i="65" s="1"/>
  <c r="F183" i="65" s="1"/>
  <c r="G183" i="65" s="1"/>
  <c r="H183" i="65" s="1"/>
  <c r="I183" i="65" s="1"/>
  <c r="J183" i="65" s="1"/>
  <c r="K183" i="65" s="1"/>
  <c r="AA181" i="53"/>
  <c r="AB181" i="53"/>
  <c r="AE182" i="53"/>
  <c r="AD182" i="53"/>
  <c r="Q182" i="53"/>
  <c r="AC182" i="53"/>
  <c r="R182" i="53"/>
  <c r="X182" i="53" s="1"/>
  <c r="AT182" i="53"/>
  <c r="AH182" i="53"/>
  <c r="B184" i="53"/>
  <c r="AK183" i="52" a="1"/>
  <c r="AK183" i="52" s="1"/>
  <c r="AF181" i="53"/>
  <c r="C183" i="53"/>
  <c r="L183" i="53"/>
  <c r="O183" i="53"/>
  <c r="AG183" i="53" s="1"/>
  <c r="D183" i="53"/>
  <c r="E183" i="53"/>
  <c r="H183" i="53"/>
  <c r="M183" i="53"/>
  <c r="F183" i="53"/>
  <c r="P183" i="53"/>
  <c r="I183" i="53"/>
  <c r="K183" i="53"/>
  <c r="N183" i="53"/>
  <c r="G183" i="53"/>
  <c r="J183" i="53"/>
  <c r="E183" i="32"/>
  <c r="AL183" i="11" a="1"/>
  <c r="AL183" i="11" s="1"/>
  <c r="O182" i="32"/>
  <c r="L182" i="32"/>
  <c r="K182" i="32"/>
  <c r="T182" i="32"/>
  <c r="I182" i="32"/>
  <c r="F182" i="32"/>
  <c r="AK182" i="32"/>
  <c r="M182" i="32"/>
  <c r="H182" i="32"/>
  <c r="J182" i="32"/>
  <c r="A182" i="32"/>
  <c r="Q182" i="32" s="1"/>
  <c r="P182" i="32" s="1"/>
  <c r="N182" i="32"/>
  <c r="B182" i="32"/>
  <c r="R182" i="32" s="1"/>
  <c r="S182" i="32" s="1"/>
  <c r="G182" i="32"/>
  <c r="Z181" i="32"/>
  <c r="C181" i="32"/>
  <c r="V181" i="32"/>
  <c r="W181" i="32"/>
  <c r="X181" i="32" s="1"/>
  <c r="AJ181" i="32"/>
  <c r="AL180" i="32"/>
  <c r="AM181" i="32"/>
  <c r="U181" i="32"/>
  <c r="AD181" i="32" s="1"/>
  <c r="AG181" i="32" s="1"/>
  <c r="AH181" i="32" s="1"/>
  <c r="AI181" i="32" s="1"/>
  <c r="AN180" i="32"/>
  <c r="B186" i="65" l="1"/>
  <c r="AO185" i="63" a="1"/>
  <c r="AO185" i="63" s="1"/>
  <c r="Y183" i="65"/>
  <c r="AB183" i="65" s="1"/>
  <c r="AC183" i="65" s="1"/>
  <c r="AD183" i="65" s="1"/>
  <c r="AG182" i="65"/>
  <c r="C185" i="65"/>
  <c r="O185" i="65"/>
  <c r="L185" i="65"/>
  <c r="M185" i="65" s="1"/>
  <c r="D184" i="65"/>
  <c r="E184" i="65" s="1"/>
  <c r="F184" i="65" s="1"/>
  <c r="G184" i="65" s="1"/>
  <c r="H184" i="65" s="1"/>
  <c r="I184" i="65" s="1"/>
  <c r="J184" i="65" s="1"/>
  <c r="K184" i="65" s="1"/>
  <c r="N184" i="65"/>
  <c r="P184" i="65"/>
  <c r="AM184" i="65"/>
  <c r="R183" i="65"/>
  <c r="S183" i="65" s="1"/>
  <c r="Q183" i="65"/>
  <c r="AE183" i="65"/>
  <c r="AF183" i="65"/>
  <c r="AH183" i="65"/>
  <c r="AV183" i="65"/>
  <c r="U183" i="65"/>
  <c r="Q183" i="53"/>
  <c r="R183" i="53"/>
  <c r="X183" i="53" s="1"/>
  <c r="AE183" i="53"/>
  <c r="AC183" i="53"/>
  <c r="AH183" i="53"/>
  <c r="AD183" i="53"/>
  <c r="AT183" i="53"/>
  <c r="D184" i="53"/>
  <c r="G184" i="53"/>
  <c r="F184" i="53"/>
  <c r="J184" i="53"/>
  <c r="N184" i="53"/>
  <c r="I184" i="53"/>
  <c r="H184" i="53"/>
  <c r="C184" i="53"/>
  <c r="M184" i="53"/>
  <c r="P184" i="53"/>
  <c r="O184" i="53"/>
  <c r="AG184" i="53" s="1"/>
  <c r="L184" i="53"/>
  <c r="E184" i="53"/>
  <c r="K184" i="53"/>
  <c r="AA182" i="53"/>
  <c r="AB182" i="53"/>
  <c r="B185" i="53"/>
  <c r="AK184" i="52" a="1"/>
  <c r="AK184" i="52" s="1"/>
  <c r="AF182" i="53"/>
  <c r="AN181" i="32"/>
  <c r="AM182" i="32"/>
  <c r="U182" i="32"/>
  <c r="AD182" i="32" s="1"/>
  <c r="AG182" i="32" s="1"/>
  <c r="AH182" i="32" s="1"/>
  <c r="AI182" i="32" s="1"/>
  <c r="V182" i="32"/>
  <c r="Z182" i="32"/>
  <c r="AJ182" i="32"/>
  <c r="C182" i="32"/>
  <c r="W182" i="32"/>
  <c r="X182" i="32" s="1"/>
  <c r="AL181" i="32"/>
  <c r="E184" i="32"/>
  <c r="AL184" i="11" a="1"/>
  <c r="AL184" i="11" s="1"/>
  <c r="A183" i="32"/>
  <c r="Q183" i="32" s="1"/>
  <c r="P183" i="32" s="1"/>
  <c r="G183" i="32"/>
  <c r="M183" i="32"/>
  <c r="AK183" i="32"/>
  <c r="N183" i="32"/>
  <c r="L183" i="32"/>
  <c r="O183" i="32"/>
  <c r="J183" i="32"/>
  <c r="K183" i="32"/>
  <c r="F183" i="32"/>
  <c r="H183" i="32"/>
  <c r="I183" i="32"/>
  <c r="B183" i="32"/>
  <c r="R183" i="32" s="1"/>
  <c r="S183" i="32" s="1"/>
  <c r="T183" i="32"/>
  <c r="B187" i="65" l="1"/>
  <c r="AO186" i="63" a="1"/>
  <c r="AO186" i="63" s="1"/>
  <c r="Q184" i="65"/>
  <c r="AF184" i="65"/>
  <c r="U184" i="65"/>
  <c r="R184" i="65"/>
  <c r="S184" i="65" s="1"/>
  <c r="Y184" i="65" s="1"/>
  <c r="AB184" i="65" s="1"/>
  <c r="AC184" i="65" s="1"/>
  <c r="AD184" i="65" s="1"/>
  <c r="AV184" i="65"/>
  <c r="AE184" i="65"/>
  <c r="AH184" i="65"/>
  <c r="L186" i="65"/>
  <c r="M186" i="65" s="1"/>
  <c r="O186" i="65"/>
  <c r="C186" i="65"/>
  <c r="AG183" i="65"/>
  <c r="AM185" i="65"/>
  <c r="P185" i="65"/>
  <c r="D185" i="65"/>
  <c r="E185" i="65" s="1"/>
  <c r="F185" i="65" s="1"/>
  <c r="G185" i="65" s="1"/>
  <c r="H185" i="65" s="1"/>
  <c r="I185" i="65" s="1"/>
  <c r="J185" i="65" s="1"/>
  <c r="K185" i="65" s="1"/>
  <c r="N185" i="65"/>
  <c r="F185" i="53"/>
  <c r="L185" i="53"/>
  <c r="G185" i="53"/>
  <c r="I185" i="53"/>
  <c r="O185" i="53"/>
  <c r="AG185" i="53" s="1"/>
  <c r="J185" i="53"/>
  <c r="M185" i="53"/>
  <c r="E185" i="53"/>
  <c r="C185" i="53"/>
  <c r="K185" i="53"/>
  <c r="P185" i="53"/>
  <c r="D185" i="53"/>
  <c r="N185" i="53"/>
  <c r="H185" i="53"/>
  <c r="AT184" i="53"/>
  <c r="AD184" i="53"/>
  <c r="AH184" i="53"/>
  <c r="AC184" i="53"/>
  <c r="R184" i="53"/>
  <c r="X184" i="53" s="1"/>
  <c r="Q184" i="53"/>
  <c r="AE184" i="53"/>
  <c r="B186" i="53"/>
  <c r="AK185" i="52" a="1"/>
  <c r="AK185" i="52" s="1"/>
  <c r="AB183" i="53"/>
  <c r="AA183" i="53"/>
  <c r="AF183" i="53"/>
  <c r="E185" i="32"/>
  <c r="AL185" i="11" a="1"/>
  <c r="AL185" i="11" s="1"/>
  <c r="H184" i="32"/>
  <c r="G184" i="32"/>
  <c r="M184" i="32"/>
  <c r="N184" i="32"/>
  <c r="AK184" i="32"/>
  <c r="I184" i="32"/>
  <c r="L184" i="32"/>
  <c r="F184" i="32"/>
  <c r="T184" i="32"/>
  <c r="A184" i="32"/>
  <c r="Q184" i="32" s="1"/>
  <c r="P184" i="32" s="1"/>
  <c r="J184" i="32"/>
  <c r="O184" i="32"/>
  <c r="B184" i="32"/>
  <c r="R184" i="32" s="1"/>
  <c r="S184" i="32" s="1"/>
  <c r="K184" i="32"/>
  <c r="W183" i="32"/>
  <c r="X183" i="32" s="1"/>
  <c r="V183" i="32"/>
  <c r="C183" i="32"/>
  <c r="AJ183" i="32"/>
  <c r="Z183" i="32"/>
  <c r="AM183" i="32"/>
  <c r="U183" i="32"/>
  <c r="AD183" i="32" s="1"/>
  <c r="AG183" i="32" s="1"/>
  <c r="AH183" i="32" s="1"/>
  <c r="AI183" i="32" s="1"/>
  <c r="AL182" i="32"/>
  <c r="AN182" i="32"/>
  <c r="B188" i="65" l="1"/>
  <c r="AO187" i="63" a="1"/>
  <c r="AO187" i="63" s="1"/>
  <c r="AF185" i="65"/>
  <c r="R185" i="65"/>
  <c r="S185" i="65" s="1"/>
  <c r="U185" i="65"/>
  <c r="AH185" i="65"/>
  <c r="AE185" i="65"/>
  <c r="AV185" i="65"/>
  <c r="Q185" i="65"/>
  <c r="L187" i="65"/>
  <c r="M187" i="65" s="1"/>
  <c r="C187" i="65"/>
  <c r="O187" i="65"/>
  <c r="Y185" i="65"/>
  <c r="AB185" i="65" s="1"/>
  <c r="AC185" i="65" s="1"/>
  <c r="AD185" i="65" s="1"/>
  <c r="P186" i="65"/>
  <c r="N186" i="65"/>
  <c r="D186" i="65"/>
  <c r="E186" i="65" s="1"/>
  <c r="F186" i="65" s="1"/>
  <c r="G186" i="65" s="1"/>
  <c r="H186" i="65" s="1"/>
  <c r="I186" i="65" s="1"/>
  <c r="J186" i="65" s="1"/>
  <c r="K186" i="65" s="1"/>
  <c r="AM186" i="65"/>
  <c r="AG184" i="65"/>
  <c r="AE185" i="53"/>
  <c r="Q185" i="53"/>
  <c r="AC185" i="53"/>
  <c r="R185" i="53"/>
  <c r="X185" i="53" s="1"/>
  <c r="AT185" i="53"/>
  <c r="AD185" i="53"/>
  <c r="AH185" i="53"/>
  <c r="B187" i="53"/>
  <c r="AK186" i="52" a="1"/>
  <c r="AK186" i="52" s="1"/>
  <c r="AF184" i="53"/>
  <c r="P186" i="53"/>
  <c r="G186" i="53"/>
  <c r="K186" i="53"/>
  <c r="F186" i="53"/>
  <c r="N186" i="53"/>
  <c r="H186" i="53"/>
  <c r="L186" i="53"/>
  <c r="J186" i="53"/>
  <c r="E186" i="53"/>
  <c r="D186" i="53"/>
  <c r="M186" i="53"/>
  <c r="I186" i="53"/>
  <c r="C186" i="53"/>
  <c r="O186" i="53"/>
  <c r="AG186" i="53" s="1"/>
  <c r="AA184" i="53"/>
  <c r="AB184" i="53"/>
  <c r="AL183" i="32"/>
  <c r="AN183" i="32"/>
  <c r="E186" i="32"/>
  <c r="AL186" i="11" a="1"/>
  <c r="AL186" i="11" s="1"/>
  <c r="AJ184" i="32"/>
  <c r="C184" i="32"/>
  <c r="Z184" i="32"/>
  <c r="W184" i="32"/>
  <c r="X184" i="32" s="1"/>
  <c r="V184" i="32"/>
  <c r="U184" i="32"/>
  <c r="AD184" i="32" s="1"/>
  <c r="AG184" i="32" s="1"/>
  <c r="AH184" i="32" s="1"/>
  <c r="AI184" i="32" s="1"/>
  <c r="AM184" i="32"/>
  <c r="O185" i="32"/>
  <c r="F185" i="32"/>
  <c r="L185" i="32"/>
  <c r="T185" i="32"/>
  <c r="AK185" i="32"/>
  <c r="K185" i="32"/>
  <c r="I185" i="32"/>
  <c r="N185" i="32"/>
  <c r="G185" i="32"/>
  <c r="J185" i="32"/>
  <c r="A185" i="32"/>
  <c r="Q185" i="32" s="1"/>
  <c r="P185" i="32" s="1"/>
  <c r="M185" i="32"/>
  <c r="B185" i="32"/>
  <c r="R185" i="32" s="1"/>
  <c r="S185" i="32" s="1"/>
  <c r="H185" i="32"/>
  <c r="B189" i="65" l="1"/>
  <c r="AO188" i="63" a="1"/>
  <c r="AO188" i="63" s="1"/>
  <c r="C188" i="65"/>
  <c r="L188" i="65"/>
  <c r="M188" i="65" s="1"/>
  <c r="O188" i="65"/>
  <c r="AE186" i="65"/>
  <c r="R186" i="65"/>
  <c r="S186" i="65" s="1"/>
  <c r="Y186" i="65" s="1"/>
  <c r="AB186" i="65" s="1"/>
  <c r="AC186" i="65" s="1"/>
  <c r="AD186" i="65" s="1"/>
  <c r="AF186" i="65"/>
  <c r="Q186" i="65"/>
  <c r="AV186" i="65"/>
  <c r="U186" i="65"/>
  <c r="AH186" i="65"/>
  <c r="P187" i="65"/>
  <c r="AM187" i="65"/>
  <c r="D187" i="65"/>
  <c r="E187" i="65" s="1"/>
  <c r="F187" i="65" s="1"/>
  <c r="G187" i="65" s="1"/>
  <c r="H187" i="65" s="1"/>
  <c r="I187" i="65" s="1"/>
  <c r="J187" i="65" s="1"/>
  <c r="K187" i="65" s="1"/>
  <c r="N187" i="65"/>
  <c r="AG185" i="65"/>
  <c r="B188" i="53"/>
  <c r="AK187" i="52" a="1"/>
  <c r="AK187" i="52" s="1"/>
  <c r="AF185" i="53"/>
  <c r="N187" i="53"/>
  <c r="J187" i="53"/>
  <c r="M187" i="53"/>
  <c r="L187" i="53"/>
  <c r="O187" i="53"/>
  <c r="AG187" i="53" s="1"/>
  <c r="E187" i="53"/>
  <c r="K187" i="53"/>
  <c r="H187" i="53"/>
  <c r="G187" i="53"/>
  <c r="D187" i="53"/>
  <c r="I187" i="53"/>
  <c r="C187" i="53"/>
  <c r="F187" i="53"/>
  <c r="P187" i="53"/>
  <c r="AH186" i="53"/>
  <c r="R186" i="53"/>
  <c r="X186" i="53" s="1"/>
  <c r="Q186" i="53"/>
  <c r="AT186" i="53"/>
  <c r="AD186" i="53"/>
  <c r="AC186" i="53"/>
  <c r="AE186" i="53"/>
  <c r="AA185" i="53"/>
  <c r="AB185" i="53"/>
  <c r="AL184" i="32"/>
  <c r="AN184" i="32"/>
  <c r="E187" i="32"/>
  <c r="AL187" i="11" a="1"/>
  <c r="AL187" i="11" s="1"/>
  <c r="V185" i="32"/>
  <c r="Z185" i="32"/>
  <c r="C185" i="32"/>
  <c r="W185" i="32"/>
  <c r="X185" i="32" s="1"/>
  <c r="AJ185" i="32"/>
  <c r="U185" i="32"/>
  <c r="AD185" i="32" s="1"/>
  <c r="AG185" i="32" s="1"/>
  <c r="AH185" i="32" s="1"/>
  <c r="AI185" i="32" s="1"/>
  <c r="AM185" i="32"/>
  <c r="T186" i="32"/>
  <c r="L186" i="32"/>
  <c r="G186" i="32"/>
  <c r="AK186" i="32"/>
  <c r="I186" i="32"/>
  <c r="N186" i="32"/>
  <c r="M186" i="32"/>
  <c r="H186" i="32"/>
  <c r="F186" i="32"/>
  <c r="O186" i="32"/>
  <c r="A186" i="32"/>
  <c r="Q186" i="32" s="1"/>
  <c r="P186" i="32" s="1"/>
  <c r="J186" i="32"/>
  <c r="B186" i="32"/>
  <c r="R186" i="32" s="1"/>
  <c r="S186" i="32" s="1"/>
  <c r="K186" i="32"/>
  <c r="U187" i="65" l="1"/>
  <c r="Q187" i="65"/>
  <c r="AV187" i="65"/>
  <c r="R187" i="65"/>
  <c r="S187" i="65" s="1"/>
  <c r="Y187" i="65" s="1"/>
  <c r="AB187" i="65" s="1"/>
  <c r="AC187" i="65" s="1"/>
  <c r="AD187" i="65" s="1"/>
  <c r="AH187" i="65"/>
  <c r="AF187" i="65"/>
  <c r="AE187" i="65"/>
  <c r="L189" i="65"/>
  <c r="M189" i="65" s="1"/>
  <c r="O189" i="65"/>
  <c r="C189" i="65"/>
  <c r="AG186" i="65"/>
  <c r="AM188" i="65"/>
  <c r="N188" i="65"/>
  <c r="D188" i="65"/>
  <c r="E188" i="65" s="1"/>
  <c r="F188" i="65" s="1"/>
  <c r="G188" i="65" s="1"/>
  <c r="H188" i="65" s="1"/>
  <c r="I188" i="65" s="1"/>
  <c r="J188" i="65" s="1"/>
  <c r="K188" i="65" s="1"/>
  <c r="P188" i="65"/>
  <c r="B190" i="65"/>
  <c r="AO189" i="63" a="1"/>
  <c r="AO189" i="63" s="1"/>
  <c r="N188" i="53"/>
  <c r="F188" i="53"/>
  <c r="C188" i="53"/>
  <c r="L188" i="53"/>
  <c r="P188" i="53"/>
  <c r="J188" i="53"/>
  <c r="K188" i="53"/>
  <c r="D188" i="53"/>
  <c r="I188" i="53"/>
  <c r="M188" i="53"/>
  <c r="H188" i="53"/>
  <c r="O188" i="53"/>
  <c r="G188" i="53"/>
  <c r="E188" i="53"/>
  <c r="AF186" i="53"/>
  <c r="AT187" i="53"/>
  <c r="AE187" i="53"/>
  <c r="AC187" i="53"/>
  <c r="AH187" i="53"/>
  <c r="R187" i="53"/>
  <c r="X187" i="53" s="1"/>
  <c r="AD187" i="53"/>
  <c r="Q187" i="53"/>
  <c r="B189" i="53"/>
  <c r="AK188" i="52" a="1"/>
  <c r="AK188" i="52" s="1"/>
  <c r="AA186" i="53"/>
  <c r="AB186" i="53"/>
  <c r="U186" i="32"/>
  <c r="AD186" i="32" s="1"/>
  <c r="AG186" i="32" s="1"/>
  <c r="AH186" i="32" s="1"/>
  <c r="AI186" i="32" s="1"/>
  <c r="AM186" i="32"/>
  <c r="AN185" i="32"/>
  <c r="O187" i="32"/>
  <c r="I187" i="32"/>
  <c r="A187" i="32"/>
  <c r="Q187" i="32" s="1"/>
  <c r="P187" i="32" s="1"/>
  <c r="F187" i="32"/>
  <c r="L187" i="32"/>
  <c r="AK187" i="32"/>
  <c r="M187" i="32"/>
  <c r="T187" i="32"/>
  <c r="G187" i="32"/>
  <c r="J187" i="32"/>
  <c r="K187" i="32"/>
  <c r="B187" i="32"/>
  <c r="R187" i="32" s="1"/>
  <c r="S187" i="32" s="1"/>
  <c r="N187" i="32"/>
  <c r="H187" i="32"/>
  <c r="AL185" i="32"/>
  <c r="W186" i="32"/>
  <c r="X186" i="32" s="1"/>
  <c r="V186" i="32"/>
  <c r="C186" i="32"/>
  <c r="Z186" i="32"/>
  <c r="AJ186" i="32"/>
  <c r="E188" i="32"/>
  <c r="AL188" i="11" a="1"/>
  <c r="AL188" i="11" s="1"/>
  <c r="B191" i="65" l="1"/>
  <c r="AO190" i="63" a="1"/>
  <c r="AO190" i="63" s="1"/>
  <c r="P189" i="65"/>
  <c r="D189" i="65"/>
  <c r="E189" i="65" s="1"/>
  <c r="F189" i="65" s="1"/>
  <c r="G189" i="65" s="1"/>
  <c r="H189" i="65" s="1"/>
  <c r="I189" i="65" s="1"/>
  <c r="J189" i="65" s="1"/>
  <c r="K189" i="65" s="1"/>
  <c r="N189" i="65"/>
  <c r="AM189" i="65"/>
  <c r="C190" i="65"/>
  <c r="O190" i="65"/>
  <c r="L190" i="65"/>
  <c r="M190" i="65" s="1"/>
  <c r="AG187" i="65"/>
  <c r="AV188" i="65"/>
  <c r="AH188" i="65"/>
  <c r="AF188" i="65"/>
  <c r="R188" i="65"/>
  <c r="S188" i="65" s="1"/>
  <c r="Y188" i="65" s="1"/>
  <c r="AB188" i="65" s="1"/>
  <c r="AC188" i="65" s="1"/>
  <c r="AD188" i="65" s="1"/>
  <c r="AE188" i="65"/>
  <c r="U188" i="65"/>
  <c r="Q188" i="65"/>
  <c r="AF187" i="53"/>
  <c r="O189" i="53"/>
  <c r="G189" i="53"/>
  <c r="P189" i="53"/>
  <c r="L189" i="53"/>
  <c r="J189" i="53"/>
  <c r="D189" i="53"/>
  <c r="M189" i="53"/>
  <c r="I189" i="53"/>
  <c r="E189" i="53"/>
  <c r="H189" i="53"/>
  <c r="F189" i="53"/>
  <c r="N189" i="53"/>
  <c r="K189" i="53"/>
  <c r="C189" i="53"/>
  <c r="AT188" i="53"/>
  <c r="AE188" i="53"/>
  <c r="Q188" i="53"/>
  <c r="AH188" i="53"/>
  <c r="AC188" i="53"/>
  <c r="R188" i="53"/>
  <c r="X188" i="53" s="1"/>
  <c r="AD188" i="53"/>
  <c r="AA187" i="53"/>
  <c r="AB187" i="53"/>
  <c r="AG188" i="53"/>
  <c r="B190" i="53"/>
  <c r="AK189" i="52" a="1"/>
  <c r="AK189" i="52" s="1"/>
  <c r="B188" i="32"/>
  <c r="R188" i="32" s="1"/>
  <c r="S188" i="32" s="1"/>
  <c r="L188" i="32"/>
  <c r="T188" i="32"/>
  <c r="K188" i="32"/>
  <c r="O188" i="32"/>
  <c r="F188" i="32"/>
  <c r="G188" i="32"/>
  <c r="A188" i="32"/>
  <c r="Q188" i="32" s="1"/>
  <c r="P188" i="32" s="1"/>
  <c r="J188" i="32"/>
  <c r="M188" i="32"/>
  <c r="AK188" i="32"/>
  <c r="H188" i="32"/>
  <c r="I188" i="32"/>
  <c r="N188" i="32"/>
  <c r="AN186" i="32"/>
  <c r="AL186" i="32"/>
  <c r="AM187" i="32"/>
  <c r="U187" i="32"/>
  <c r="AD187" i="32" s="1"/>
  <c r="AG187" i="32" s="1"/>
  <c r="AH187" i="32" s="1"/>
  <c r="AI187" i="32" s="1"/>
  <c r="V187" i="32"/>
  <c r="C187" i="32"/>
  <c r="Z187" i="32"/>
  <c r="AJ187" i="32"/>
  <c r="W187" i="32"/>
  <c r="X187" i="32" s="1"/>
  <c r="E189" i="32"/>
  <c r="AL189" i="11" a="1"/>
  <c r="AL189" i="11" s="1"/>
  <c r="B192" i="65" l="1"/>
  <c r="AO191" i="63" a="1"/>
  <c r="AO191" i="63" s="1"/>
  <c r="O191" i="65"/>
  <c r="C191" i="65"/>
  <c r="L191" i="65"/>
  <c r="M191" i="65" s="1"/>
  <c r="N190" i="65"/>
  <c r="D190" i="65"/>
  <c r="E190" i="65" s="1"/>
  <c r="F190" i="65" s="1"/>
  <c r="G190" i="65" s="1"/>
  <c r="H190" i="65" s="1"/>
  <c r="I190" i="65" s="1"/>
  <c r="J190" i="65" s="1"/>
  <c r="K190" i="65" s="1"/>
  <c r="P190" i="65"/>
  <c r="AM190" i="65"/>
  <c r="AG188" i="65"/>
  <c r="R189" i="65"/>
  <c r="S189" i="65" s="1"/>
  <c r="Y189" i="65" s="1"/>
  <c r="AB189" i="65" s="1"/>
  <c r="AC189" i="65" s="1"/>
  <c r="AD189" i="65" s="1"/>
  <c r="AF189" i="65"/>
  <c r="AH189" i="65"/>
  <c r="AE189" i="65"/>
  <c r="U189" i="65"/>
  <c r="AV189" i="65"/>
  <c r="Q189" i="65"/>
  <c r="F190" i="53"/>
  <c r="K190" i="53"/>
  <c r="C190" i="53"/>
  <c r="E190" i="53"/>
  <c r="N190" i="53"/>
  <c r="L190" i="53"/>
  <c r="M190" i="53"/>
  <c r="O190" i="53"/>
  <c r="AG190" i="53" s="1"/>
  <c r="G190" i="53"/>
  <c r="P190" i="53"/>
  <c r="J190" i="53"/>
  <c r="D190" i="53"/>
  <c r="H190" i="53"/>
  <c r="I190" i="53"/>
  <c r="AF188" i="53"/>
  <c r="AT189" i="53"/>
  <c r="AE189" i="53"/>
  <c r="AH189" i="53"/>
  <c r="R189" i="53"/>
  <c r="X189" i="53" s="1"/>
  <c r="Q189" i="53"/>
  <c r="AC189" i="53"/>
  <c r="AD189" i="53"/>
  <c r="AB188" i="53"/>
  <c r="AA188" i="53"/>
  <c r="AG189" i="53"/>
  <c r="B191" i="53"/>
  <c r="AK190" i="52" a="1"/>
  <c r="AK190" i="52" s="1"/>
  <c r="Z188" i="32"/>
  <c r="V188" i="32"/>
  <c r="C188" i="32"/>
  <c r="AJ188" i="32"/>
  <c r="W188" i="32"/>
  <c r="X188" i="32" s="1"/>
  <c r="J189" i="32"/>
  <c r="K189" i="32"/>
  <c r="M189" i="32"/>
  <c r="A189" i="32"/>
  <c r="Q189" i="32" s="1"/>
  <c r="P189" i="32" s="1"/>
  <c r="G189" i="32"/>
  <c r="B189" i="32"/>
  <c r="R189" i="32" s="1"/>
  <c r="S189" i="32" s="1"/>
  <c r="H189" i="32"/>
  <c r="I189" i="32"/>
  <c r="L189" i="32"/>
  <c r="AK189" i="32"/>
  <c r="T189" i="32"/>
  <c r="F189" i="32"/>
  <c r="O189" i="32"/>
  <c r="N189" i="32"/>
  <c r="AL187" i="32"/>
  <c r="U188" i="32"/>
  <c r="AD188" i="32" s="1"/>
  <c r="AG188" i="32" s="1"/>
  <c r="AH188" i="32" s="1"/>
  <c r="AI188" i="32" s="1"/>
  <c r="AM188" i="32"/>
  <c r="AN187" i="32"/>
  <c r="E190" i="32"/>
  <c r="AL190" i="11" a="1"/>
  <c r="AL190" i="11" s="1"/>
  <c r="L192" i="65" l="1"/>
  <c r="M192" i="65" s="1"/>
  <c r="C192" i="65"/>
  <c r="O192" i="65"/>
  <c r="U190" i="65"/>
  <c r="AF190" i="65"/>
  <c r="R190" i="65"/>
  <c r="S190" i="65" s="1"/>
  <c r="Y190" i="65" s="1"/>
  <c r="AB190" i="65" s="1"/>
  <c r="AC190" i="65" s="1"/>
  <c r="AD190" i="65" s="1"/>
  <c r="Q190" i="65"/>
  <c r="AH190" i="65"/>
  <c r="AV190" i="65"/>
  <c r="AE190" i="65"/>
  <c r="AG189" i="65"/>
  <c r="AM191" i="65"/>
  <c r="N191" i="65"/>
  <c r="P191" i="65"/>
  <c r="D191" i="65"/>
  <c r="E191" i="65" s="1"/>
  <c r="F191" i="65" s="1"/>
  <c r="G191" i="65" s="1"/>
  <c r="H191" i="65" s="1"/>
  <c r="I191" i="65" s="1"/>
  <c r="J191" i="65" s="1"/>
  <c r="K191" i="65" s="1"/>
  <c r="B193" i="65"/>
  <c r="AO192" i="63" a="1"/>
  <c r="AO192" i="63" s="1"/>
  <c r="Q190" i="53"/>
  <c r="AE190" i="53"/>
  <c r="AH190" i="53"/>
  <c r="AT190" i="53"/>
  <c r="AC190" i="53"/>
  <c r="R190" i="53"/>
  <c r="X190" i="53" s="1"/>
  <c r="AD190" i="53"/>
  <c r="B192" i="53"/>
  <c r="AK191" i="52" a="1"/>
  <c r="AK191" i="52" s="1"/>
  <c r="AB189" i="53"/>
  <c r="AA189" i="53"/>
  <c r="AF189" i="53"/>
  <c r="M191" i="53"/>
  <c r="H191" i="53"/>
  <c r="O191" i="53"/>
  <c r="AG191" i="53" s="1"/>
  <c r="J191" i="53"/>
  <c r="I191" i="53"/>
  <c r="N191" i="53"/>
  <c r="L191" i="53"/>
  <c r="P191" i="53"/>
  <c r="E191" i="53"/>
  <c r="K191" i="53"/>
  <c r="D191" i="53"/>
  <c r="G191" i="53"/>
  <c r="C191" i="53"/>
  <c r="F191" i="53"/>
  <c r="AL188" i="32"/>
  <c r="E191" i="32"/>
  <c r="AL191" i="11" a="1"/>
  <c r="AL191" i="11" s="1"/>
  <c r="AN188" i="32"/>
  <c r="B190" i="32"/>
  <c r="R190" i="32" s="1"/>
  <c r="S190" i="32" s="1"/>
  <c r="J190" i="32"/>
  <c r="AK190" i="32"/>
  <c r="I190" i="32"/>
  <c r="G190" i="32"/>
  <c r="M190" i="32"/>
  <c r="H190" i="32"/>
  <c r="K190" i="32"/>
  <c r="T190" i="32"/>
  <c r="A190" i="32"/>
  <c r="Q190" i="32" s="1"/>
  <c r="P190" i="32" s="1"/>
  <c r="N190" i="32"/>
  <c r="O190" i="32"/>
  <c r="F190" i="32"/>
  <c r="L190" i="32"/>
  <c r="AM189" i="32"/>
  <c r="U189" i="32"/>
  <c r="AD189" i="32" s="1"/>
  <c r="AG189" i="32" s="1"/>
  <c r="AH189" i="32" s="1"/>
  <c r="AI189" i="32" s="1"/>
  <c r="AJ189" i="32"/>
  <c r="Z189" i="32"/>
  <c r="W189" i="32"/>
  <c r="X189" i="32" s="1"/>
  <c r="V189" i="32"/>
  <c r="C189" i="32"/>
  <c r="B194" i="65" l="1"/>
  <c r="AO193" i="63" a="1"/>
  <c r="AO193" i="63" s="1"/>
  <c r="O193" i="65"/>
  <c r="C193" i="65"/>
  <c r="L193" i="65"/>
  <c r="M193" i="65" s="1"/>
  <c r="Y191" i="65"/>
  <c r="AB191" i="65" s="1"/>
  <c r="AC191" i="65" s="1"/>
  <c r="AD191" i="65" s="1"/>
  <c r="AE191" i="65"/>
  <c r="R191" i="65"/>
  <c r="S191" i="65" s="1"/>
  <c r="U191" i="65"/>
  <c r="Q191" i="65"/>
  <c r="AV191" i="65"/>
  <c r="AH191" i="65"/>
  <c r="AF191" i="65"/>
  <c r="AG190" i="65"/>
  <c r="D192" i="65"/>
  <c r="E192" i="65" s="1"/>
  <c r="F192" i="65" s="1"/>
  <c r="G192" i="65" s="1"/>
  <c r="H192" i="65" s="1"/>
  <c r="I192" i="65" s="1"/>
  <c r="J192" i="65" s="1"/>
  <c r="K192" i="65" s="1"/>
  <c r="AM192" i="65"/>
  <c r="P192" i="65"/>
  <c r="N192" i="65"/>
  <c r="B193" i="53"/>
  <c r="AK192" i="52" a="1"/>
  <c r="AK192" i="52" s="1"/>
  <c r="L192" i="53"/>
  <c r="E192" i="53"/>
  <c r="N192" i="53"/>
  <c r="I192" i="53"/>
  <c r="P192" i="53"/>
  <c r="J192" i="53"/>
  <c r="M192" i="53"/>
  <c r="G192" i="53"/>
  <c r="F192" i="53"/>
  <c r="O192" i="53"/>
  <c r="AG192" i="53" s="1"/>
  <c r="H192" i="53"/>
  <c r="K192" i="53"/>
  <c r="C192" i="53"/>
  <c r="D192" i="53"/>
  <c r="AB190" i="53"/>
  <c r="AA190" i="53"/>
  <c r="AC191" i="53"/>
  <c r="R191" i="53"/>
  <c r="X191" i="53" s="1"/>
  <c r="AH191" i="53"/>
  <c r="AD191" i="53"/>
  <c r="AT191" i="53"/>
  <c r="AE191" i="53"/>
  <c r="Q191" i="53"/>
  <c r="AF190" i="53"/>
  <c r="AN189" i="32"/>
  <c r="E192" i="32"/>
  <c r="AL192" i="11" a="1"/>
  <c r="AL192" i="11" s="1"/>
  <c r="I191" i="32"/>
  <c r="K191" i="32"/>
  <c r="AK191" i="32"/>
  <c r="G191" i="32"/>
  <c r="J191" i="32"/>
  <c r="F191" i="32"/>
  <c r="T191" i="32"/>
  <c r="A191" i="32"/>
  <c r="Q191" i="32" s="1"/>
  <c r="P191" i="32" s="1"/>
  <c r="N191" i="32"/>
  <c r="O191" i="32"/>
  <c r="B191" i="32"/>
  <c r="R191" i="32" s="1"/>
  <c r="S191" i="32" s="1"/>
  <c r="H191" i="32"/>
  <c r="L191" i="32"/>
  <c r="M191" i="32"/>
  <c r="U190" i="32"/>
  <c r="AD190" i="32" s="1"/>
  <c r="AG190" i="32" s="1"/>
  <c r="AH190" i="32" s="1"/>
  <c r="AI190" i="32" s="1"/>
  <c r="AM190" i="32"/>
  <c r="AL189" i="32"/>
  <c r="AJ190" i="32"/>
  <c r="W190" i="32"/>
  <c r="X190" i="32" s="1"/>
  <c r="C190" i="32"/>
  <c r="V190" i="32"/>
  <c r="Z190" i="32"/>
  <c r="B195" i="65" l="1"/>
  <c r="AO194" i="63" a="1"/>
  <c r="AO194" i="63" s="1"/>
  <c r="L194" i="65"/>
  <c r="M194" i="65" s="1"/>
  <c r="C194" i="65"/>
  <c r="O194" i="65"/>
  <c r="Q192" i="65"/>
  <c r="AF192" i="65"/>
  <c r="R192" i="65"/>
  <c r="S192" i="65" s="1"/>
  <c r="Y192" i="65" s="1"/>
  <c r="AB192" i="65" s="1"/>
  <c r="AC192" i="65" s="1"/>
  <c r="AD192" i="65" s="1"/>
  <c r="U192" i="65"/>
  <c r="AH192" i="65"/>
  <c r="AV192" i="65"/>
  <c r="AE192" i="65"/>
  <c r="AG191" i="65"/>
  <c r="N193" i="65"/>
  <c r="P193" i="65"/>
  <c r="AM193" i="65"/>
  <c r="D193" i="65"/>
  <c r="E193" i="65" s="1"/>
  <c r="F193" i="65" s="1"/>
  <c r="G193" i="65" s="1"/>
  <c r="H193" i="65" s="1"/>
  <c r="I193" i="65" s="1"/>
  <c r="J193" i="65" s="1"/>
  <c r="K193" i="65" s="1"/>
  <c r="AF191" i="53"/>
  <c r="B194" i="53"/>
  <c r="AK193" i="52" a="1"/>
  <c r="AK193" i="52" s="1"/>
  <c r="M193" i="53"/>
  <c r="E193" i="53"/>
  <c r="O193" i="53"/>
  <c r="AG193" i="53" s="1"/>
  <c r="F193" i="53"/>
  <c r="L193" i="53"/>
  <c r="J193" i="53"/>
  <c r="D193" i="53"/>
  <c r="I193" i="53"/>
  <c r="C193" i="53"/>
  <c r="N193" i="53"/>
  <c r="P193" i="53"/>
  <c r="K193" i="53"/>
  <c r="H193" i="53"/>
  <c r="G193" i="53"/>
  <c r="AA191" i="53"/>
  <c r="AB191" i="53"/>
  <c r="AD192" i="53"/>
  <c r="AH192" i="53"/>
  <c r="AC192" i="53"/>
  <c r="AE192" i="53"/>
  <c r="Q192" i="53"/>
  <c r="AT192" i="53"/>
  <c r="R192" i="53"/>
  <c r="X192" i="53" s="1"/>
  <c r="AL190" i="32"/>
  <c r="E193" i="32"/>
  <c r="AL193" i="11" a="1"/>
  <c r="AL193" i="11" s="1"/>
  <c r="J192" i="32"/>
  <c r="I192" i="32"/>
  <c r="L192" i="32"/>
  <c r="A192" i="32"/>
  <c r="Q192" i="32" s="1"/>
  <c r="P192" i="32" s="1"/>
  <c r="F192" i="32"/>
  <c r="T192" i="32"/>
  <c r="B192" i="32"/>
  <c r="R192" i="32" s="1"/>
  <c r="S192" i="32" s="1"/>
  <c r="G192" i="32"/>
  <c r="O192" i="32"/>
  <c r="K192" i="32"/>
  <c r="N192" i="32"/>
  <c r="AK192" i="32"/>
  <c r="M192" i="32"/>
  <c r="H192" i="32"/>
  <c r="AN190" i="32"/>
  <c r="AM191" i="32"/>
  <c r="U191" i="32"/>
  <c r="AD191" i="32" s="1"/>
  <c r="AG191" i="32" s="1"/>
  <c r="AH191" i="32" s="1"/>
  <c r="AI191" i="32" s="1"/>
  <c r="C191" i="32"/>
  <c r="W191" i="32"/>
  <c r="X191" i="32" s="1"/>
  <c r="V191" i="32"/>
  <c r="Z191" i="32"/>
  <c r="AJ191" i="32"/>
  <c r="O195" i="65" l="1"/>
  <c r="L195" i="65"/>
  <c r="M195" i="65" s="1"/>
  <c r="C195" i="65"/>
  <c r="AG192" i="65"/>
  <c r="B196" i="65"/>
  <c r="AO195" i="63" a="1"/>
  <c r="AO195" i="63" s="1"/>
  <c r="R193" i="65"/>
  <c r="S193" i="65" s="1"/>
  <c r="Y193" i="65" s="1"/>
  <c r="AB193" i="65" s="1"/>
  <c r="AC193" i="65" s="1"/>
  <c r="AD193" i="65" s="1"/>
  <c r="AE193" i="65"/>
  <c r="AV193" i="65"/>
  <c r="Q193" i="65"/>
  <c r="AF193" i="65"/>
  <c r="AH193" i="65"/>
  <c r="U193" i="65"/>
  <c r="N194" i="65"/>
  <c r="P194" i="65"/>
  <c r="D194" i="65"/>
  <c r="E194" i="65" s="1"/>
  <c r="F194" i="65" s="1"/>
  <c r="G194" i="65" s="1"/>
  <c r="H194" i="65" s="1"/>
  <c r="I194" i="65" s="1"/>
  <c r="J194" i="65" s="1"/>
  <c r="K194" i="65" s="1"/>
  <c r="AM194" i="65"/>
  <c r="B195" i="53"/>
  <c r="AK194" i="52" a="1"/>
  <c r="AK194" i="52" s="1"/>
  <c r="AB192" i="53"/>
  <c r="AA192" i="53"/>
  <c r="AF192" i="53"/>
  <c r="E194" i="53"/>
  <c r="K194" i="53"/>
  <c r="N194" i="53"/>
  <c r="P194" i="53"/>
  <c r="M194" i="53"/>
  <c r="G194" i="53"/>
  <c r="O194" i="53"/>
  <c r="AG194" i="53" s="1"/>
  <c r="F194" i="53"/>
  <c r="J194" i="53"/>
  <c r="I194" i="53"/>
  <c r="L194" i="53"/>
  <c r="D194" i="53"/>
  <c r="C194" i="53"/>
  <c r="H194" i="53"/>
  <c r="Q193" i="53"/>
  <c r="AT193" i="53"/>
  <c r="AH193" i="53"/>
  <c r="AD193" i="53"/>
  <c r="R193" i="53"/>
  <c r="X193" i="53" s="1"/>
  <c r="AE193" i="53"/>
  <c r="AC193" i="53"/>
  <c r="W192" i="32"/>
  <c r="X192" i="32" s="1"/>
  <c r="V192" i="32"/>
  <c r="Z192" i="32"/>
  <c r="AJ192" i="32"/>
  <c r="C192" i="32"/>
  <c r="T193" i="32"/>
  <c r="A193" i="32"/>
  <c r="Q193" i="32" s="1"/>
  <c r="P193" i="32" s="1"/>
  <c r="G193" i="32"/>
  <c r="H193" i="32"/>
  <c r="O193" i="32"/>
  <c r="M193" i="32"/>
  <c r="I193" i="32"/>
  <c r="K193" i="32"/>
  <c r="AK193" i="32"/>
  <c r="F193" i="32"/>
  <c r="N193" i="32"/>
  <c r="J193" i="32"/>
  <c r="B193" i="32"/>
  <c r="R193" i="32" s="1"/>
  <c r="S193" i="32" s="1"/>
  <c r="L193" i="32"/>
  <c r="AL191" i="32"/>
  <c r="U192" i="32"/>
  <c r="AD192" i="32" s="1"/>
  <c r="AG192" i="32" s="1"/>
  <c r="AH192" i="32" s="1"/>
  <c r="AI192" i="32" s="1"/>
  <c r="AM192" i="32"/>
  <c r="AN191" i="32"/>
  <c r="E194" i="32"/>
  <c r="AL194" i="11" a="1"/>
  <c r="AL194" i="11" s="1"/>
  <c r="R194" i="65" l="1"/>
  <c r="S194" i="65" s="1"/>
  <c r="Y194" i="65" s="1"/>
  <c r="AB194" i="65" s="1"/>
  <c r="AC194" i="65" s="1"/>
  <c r="AD194" i="65" s="1"/>
  <c r="AV194" i="65"/>
  <c r="U194" i="65"/>
  <c r="AE194" i="65"/>
  <c r="AF194" i="65"/>
  <c r="Q194" i="65"/>
  <c r="AH194" i="65"/>
  <c r="N195" i="65"/>
  <c r="AM195" i="65"/>
  <c r="D195" i="65"/>
  <c r="E195" i="65" s="1"/>
  <c r="F195" i="65" s="1"/>
  <c r="G195" i="65" s="1"/>
  <c r="H195" i="65" s="1"/>
  <c r="I195" i="65" s="1"/>
  <c r="J195" i="65" s="1"/>
  <c r="K195" i="65" s="1"/>
  <c r="P195" i="65"/>
  <c r="B197" i="65"/>
  <c r="AO196" i="63" a="1"/>
  <c r="AO196" i="63" s="1"/>
  <c r="C196" i="65"/>
  <c r="L196" i="65"/>
  <c r="M196" i="65" s="1"/>
  <c r="O196" i="65"/>
  <c r="AG193" i="65"/>
  <c r="R194" i="53"/>
  <c r="X194" i="53" s="1"/>
  <c r="AC194" i="53"/>
  <c r="AD194" i="53"/>
  <c r="AH194" i="53"/>
  <c r="Q194" i="53"/>
  <c r="AT194" i="53"/>
  <c r="AE194" i="53"/>
  <c r="AB193" i="53"/>
  <c r="AA193" i="53"/>
  <c r="AF193" i="53"/>
  <c r="M195" i="53"/>
  <c r="O195" i="53"/>
  <c r="AG195" i="53" s="1"/>
  <c r="F195" i="53"/>
  <c r="E195" i="53"/>
  <c r="L195" i="53"/>
  <c r="H195" i="53"/>
  <c r="G195" i="53"/>
  <c r="N195" i="53"/>
  <c r="K195" i="53"/>
  <c r="D195" i="53"/>
  <c r="P195" i="53"/>
  <c r="J195" i="53"/>
  <c r="C195" i="53"/>
  <c r="I195" i="53"/>
  <c r="B196" i="53"/>
  <c r="AK195" i="52" a="1"/>
  <c r="AK195" i="52" s="1"/>
  <c r="E195" i="32"/>
  <c r="AL195" i="11" a="1"/>
  <c r="AL195" i="11" s="1"/>
  <c r="F194" i="32"/>
  <c r="T194" i="32"/>
  <c r="B194" i="32"/>
  <c r="R194" i="32" s="1"/>
  <c r="S194" i="32" s="1"/>
  <c r="G194" i="32"/>
  <c r="J194" i="32"/>
  <c r="AK194" i="32"/>
  <c r="K194" i="32"/>
  <c r="N194" i="32"/>
  <c r="I194" i="32"/>
  <c r="L194" i="32"/>
  <c r="M194" i="32"/>
  <c r="O194" i="32"/>
  <c r="A194" i="32"/>
  <c r="Q194" i="32" s="1"/>
  <c r="P194" i="32" s="1"/>
  <c r="H194" i="32"/>
  <c r="U193" i="32"/>
  <c r="AD193" i="32" s="1"/>
  <c r="AG193" i="32" s="1"/>
  <c r="AH193" i="32" s="1"/>
  <c r="AI193" i="32" s="1"/>
  <c r="AM193" i="32"/>
  <c r="AL192" i="32"/>
  <c r="W193" i="32"/>
  <c r="X193" i="32" s="1"/>
  <c r="AJ193" i="32"/>
  <c r="Z193" i="32"/>
  <c r="C193" i="32"/>
  <c r="V193" i="32"/>
  <c r="AN192" i="32"/>
  <c r="R195" i="65" l="1"/>
  <c r="S195" i="65" s="1"/>
  <c r="AV195" i="65"/>
  <c r="U195" i="65"/>
  <c r="AH195" i="65"/>
  <c r="AE195" i="65"/>
  <c r="AF195" i="65"/>
  <c r="AG195" i="65" s="1"/>
  <c r="Q195" i="65"/>
  <c r="P196" i="65"/>
  <c r="D196" i="65"/>
  <c r="E196" i="65" s="1"/>
  <c r="F196" i="65" s="1"/>
  <c r="G196" i="65" s="1"/>
  <c r="H196" i="65" s="1"/>
  <c r="I196" i="65" s="1"/>
  <c r="J196" i="65" s="1"/>
  <c r="K196" i="65" s="1"/>
  <c r="N196" i="65"/>
  <c r="AM196" i="65"/>
  <c r="B198" i="65"/>
  <c r="AO197" i="63" a="1"/>
  <c r="AO197" i="63" s="1"/>
  <c r="O197" i="65"/>
  <c r="L197" i="65"/>
  <c r="M197" i="65" s="1"/>
  <c r="C197" i="65"/>
  <c r="AG194" i="65"/>
  <c r="Y195" i="65"/>
  <c r="AB195" i="65" s="1"/>
  <c r="AC195" i="65" s="1"/>
  <c r="AD195" i="65" s="1"/>
  <c r="AB194" i="53"/>
  <c r="AA194" i="53"/>
  <c r="AF194" i="53"/>
  <c r="B197" i="53"/>
  <c r="AK196" i="52" a="1"/>
  <c r="AK196" i="52" s="1"/>
  <c r="O196" i="53"/>
  <c r="AG196" i="53" s="1"/>
  <c r="P196" i="53"/>
  <c r="D196" i="53"/>
  <c r="K196" i="53"/>
  <c r="I196" i="53"/>
  <c r="E196" i="53"/>
  <c r="M196" i="53"/>
  <c r="J196" i="53"/>
  <c r="L196" i="53"/>
  <c r="G196" i="53"/>
  <c r="C196" i="53"/>
  <c r="N196" i="53"/>
  <c r="H196" i="53"/>
  <c r="F196" i="53"/>
  <c r="R195" i="53"/>
  <c r="X195" i="53" s="1"/>
  <c r="AC195" i="53"/>
  <c r="AT195" i="53"/>
  <c r="AE195" i="53"/>
  <c r="Q195" i="53"/>
  <c r="AH195" i="53"/>
  <c r="AD195" i="53"/>
  <c r="E196" i="32"/>
  <c r="AL196" i="11" a="1"/>
  <c r="AL196" i="11" s="1"/>
  <c r="AJ194" i="32"/>
  <c r="W194" i="32"/>
  <c r="X194" i="32" s="1"/>
  <c r="Z194" i="32"/>
  <c r="V194" i="32"/>
  <c r="C194" i="32"/>
  <c r="AL193" i="32"/>
  <c r="U194" i="32"/>
  <c r="AD194" i="32" s="1"/>
  <c r="AG194" i="32" s="1"/>
  <c r="AH194" i="32" s="1"/>
  <c r="AI194" i="32" s="1"/>
  <c r="AM194" i="32"/>
  <c r="AN193" i="32"/>
  <c r="AK195" i="32"/>
  <c r="H195" i="32"/>
  <c r="N195" i="32"/>
  <c r="I195" i="32"/>
  <c r="L195" i="32"/>
  <c r="M195" i="32"/>
  <c r="G195" i="32"/>
  <c r="T195" i="32"/>
  <c r="A195" i="32"/>
  <c r="Q195" i="32" s="1"/>
  <c r="P195" i="32" s="1"/>
  <c r="J195" i="32"/>
  <c r="O195" i="32"/>
  <c r="B195" i="32"/>
  <c r="R195" i="32" s="1"/>
  <c r="S195" i="32" s="1"/>
  <c r="K195" i="32"/>
  <c r="F195" i="32"/>
  <c r="Q196" i="65" l="1"/>
  <c r="AF196" i="65"/>
  <c r="R196" i="65"/>
  <c r="S196" i="65" s="1"/>
  <c r="Y196" i="65" s="1"/>
  <c r="AB196" i="65" s="1"/>
  <c r="AC196" i="65" s="1"/>
  <c r="AD196" i="65" s="1"/>
  <c r="AE196" i="65"/>
  <c r="U196" i="65"/>
  <c r="AV196" i="65"/>
  <c r="AH196" i="65"/>
  <c r="D197" i="65"/>
  <c r="E197" i="65" s="1"/>
  <c r="F197" i="65" s="1"/>
  <c r="G197" i="65" s="1"/>
  <c r="H197" i="65" s="1"/>
  <c r="I197" i="65" s="1"/>
  <c r="J197" i="65" s="1"/>
  <c r="K197" i="65" s="1"/>
  <c r="P197" i="65"/>
  <c r="AM197" i="65"/>
  <c r="N197" i="65"/>
  <c r="B199" i="65"/>
  <c r="AO198" i="63" a="1"/>
  <c r="AO198" i="63" s="1"/>
  <c r="L198" i="65"/>
  <c r="M198" i="65" s="1"/>
  <c r="O198" i="65"/>
  <c r="C198" i="65"/>
  <c r="AF195" i="53"/>
  <c r="AA195" i="53"/>
  <c r="AB195" i="53"/>
  <c r="Q196" i="53"/>
  <c r="AT196" i="53"/>
  <c r="AE196" i="53"/>
  <c r="AD196" i="53"/>
  <c r="R196" i="53"/>
  <c r="X196" i="53" s="1"/>
  <c r="AH196" i="53"/>
  <c r="AC196" i="53"/>
  <c r="K197" i="53"/>
  <c r="I197" i="53"/>
  <c r="G197" i="53"/>
  <c r="F197" i="53"/>
  <c r="L197" i="53"/>
  <c r="N197" i="53"/>
  <c r="E197" i="53"/>
  <c r="D197" i="53"/>
  <c r="P197" i="53"/>
  <c r="M197" i="53"/>
  <c r="J197" i="53"/>
  <c r="O197" i="53"/>
  <c r="AG197" i="53" s="1"/>
  <c r="H197" i="53"/>
  <c r="C197" i="53"/>
  <c r="B198" i="53"/>
  <c r="AK197" i="52" a="1"/>
  <c r="AK197" i="52" s="1"/>
  <c r="W195" i="32"/>
  <c r="X195" i="32" s="1"/>
  <c r="Z195" i="32"/>
  <c r="C195" i="32"/>
  <c r="AJ195" i="32"/>
  <c r="V195" i="32"/>
  <c r="AN194" i="32"/>
  <c r="U195" i="32"/>
  <c r="AD195" i="32" s="1"/>
  <c r="AG195" i="32" s="1"/>
  <c r="AH195" i="32" s="1"/>
  <c r="AI195" i="32" s="1"/>
  <c r="AM195" i="32"/>
  <c r="E197" i="32"/>
  <c r="AL197" i="11" a="1"/>
  <c r="AL197" i="11" s="1"/>
  <c r="AK196" i="32"/>
  <c r="M196" i="32"/>
  <c r="K196" i="32"/>
  <c r="H196" i="32"/>
  <c r="I196" i="32"/>
  <c r="A196" i="32"/>
  <c r="Q196" i="32" s="1"/>
  <c r="P196" i="32" s="1"/>
  <c r="L196" i="32"/>
  <c r="B196" i="32"/>
  <c r="R196" i="32" s="1"/>
  <c r="S196" i="32" s="1"/>
  <c r="N196" i="32"/>
  <c r="F196" i="32"/>
  <c r="T196" i="32"/>
  <c r="G196" i="32"/>
  <c r="O196" i="32"/>
  <c r="J196" i="32"/>
  <c r="AL194" i="32"/>
  <c r="N198" i="65" l="1"/>
  <c r="P198" i="65"/>
  <c r="D198" i="65"/>
  <c r="E198" i="65" s="1"/>
  <c r="F198" i="65" s="1"/>
  <c r="G198" i="65" s="1"/>
  <c r="H198" i="65" s="1"/>
  <c r="I198" i="65" s="1"/>
  <c r="J198" i="65" s="1"/>
  <c r="K198" i="65" s="1"/>
  <c r="AM198" i="65"/>
  <c r="B200" i="65"/>
  <c r="AO199" i="63" a="1"/>
  <c r="AO199" i="63" s="1"/>
  <c r="O199" i="65"/>
  <c r="L199" i="65"/>
  <c r="M199" i="65" s="1"/>
  <c r="C199" i="65"/>
  <c r="Q197" i="65"/>
  <c r="U197" i="65"/>
  <c r="AE197" i="65"/>
  <c r="AF197" i="65"/>
  <c r="AV197" i="65"/>
  <c r="AH197" i="65"/>
  <c r="R197" i="65"/>
  <c r="S197" i="65" s="1"/>
  <c r="Y197" i="65" s="1"/>
  <c r="AB197" i="65" s="1"/>
  <c r="AC197" i="65" s="1"/>
  <c r="AD197" i="65" s="1"/>
  <c r="AG196" i="65"/>
  <c r="B199" i="53"/>
  <c r="AK198" i="52" a="1"/>
  <c r="AK198" i="52" s="1"/>
  <c r="AB196" i="53"/>
  <c r="AA196" i="53"/>
  <c r="M198" i="53"/>
  <c r="D198" i="53"/>
  <c r="L198" i="53"/>
  <c r="O198" i="53"/>
  <c r="AG198" i="53" s="1"/>
  <c r="F198" i="53"/>
  <c r="I198" i="53"/>
  <c r="H198" i="53"/>
  <c r="C198" i="53"/>
  <c r="P198" i="53"/>
  <c r="E198" i="53"/>
  <c r="N198" i="53"/>
  <c r="J198" i="53"/>
  <c r="G198" i="53"/>
  <c r="K198" i="53"/>
  <c r="AH197" i="53"/>
  <c r="AD197" i="53"/>
  <c r="AE197" i="53"/>
  <c r="AC197" i="53"/>
  <c r="AT197" i="53"/>
  <c r="R197" i="53"/>
  <c r="X197" i="53" s="1"/>
  <c r="Q197" i="53"/>
  <c r="AF196" i="53"/>
  <c r="E198" i="32"/>
  <c r="AL198" i="11" a="1"/>
  <c r="AL198" i="11" s="1"/>
  <c r="B197" i="32"/>
  <c r="R197" i="32" s="1"/>
  <c r="S197" i="32" s="1"/>
  <c r="J197" i="32"/>
  <c r="T197" i="32"/>
  <c r="H197" i="32"/>
  <c r="O197" i="32"/>
  <c r="I197" i="32"/>
  <c r="L197" i="32"/>
  <c r="AK197" i="32"/>
  <c r="K197" i="32"/>
  <c r="M197" i="32"/>
  <c r="F197" i="32"/>
  <c r="N197" i="32"/>
  <c r="A197" i="32"/>
  <c r="Q197" i="32" s="1"/>
  <c r="P197" i="32" s="1"/>
  <c r="G197" i="32"/>
  <c r="Z196" i="32"/>
  <c r="AJ196" i="32"/>
  <c r="C196" i="32"/>
  <c r="W196" i="32"/>
  <c r="X196" i="32" s="1"/>
  <c r="V196" i="32"/>
  <c r="AL195" i="32"/>
  <c r="AM196" i="32"/>
  <c r="U196" i="32"/>
  <c r="AD196" i="32" s="1"/>
  <c r="AG196" i="32" s="1"/>
  <c r="AH196" i="32" s="1"/>
  <c r="AI196" i="32" s="1"/>
  <c r="AN195" i="32"/>
  <c r="D199" i="65" l="1"/>
  <c r="E199" i="65" s="1"/>
  <c r="F199" i="65" s="1"/>
  <c r="G199" i="65" s="1"/>
  <c r="H199" i="65" s="1"/>
  <c r="I199" i="65" s="1"/>
  <c r="J199" i="65" s="1"/>
  <c r="K199" i="65" s="1"/>
  <c r="N199" i="65"/>
  <c r="P199" i="65"/>
  <c r="AM199" i="65"/>
  <c r="AH198" i="65"/>
  <c r="R198" i="65"/>
  <c r="S198" i="65" s="1"/>
  <c r="Y198" i="65" s="1"/>
  <c r="AB198" i="65" s="1"/>
  <c r="AC198" i="65" s="1"/>
  <c r="AD198" i="65" s="1"/>
  <c r="AE198" i="65"/>
  <c r="AF198" i="65"/>
  <c r="U198" i="65"/>
  <c r="AV198" i="65"/>
  <c r="Q198" i="65"/>
  <c r="B201" i="65"/>
  <c r="AO200" i="63" a="1"/>
  <c r="AO200" i="63" s="1"/>
  <c r="AG197" i="65"/>
  <c r="O200" i="65"/>
  <c r="L200" i="65"/>
  <c r="M200" i="65" s="1"/>
  <c r="C200" i="65"/>
  <c r="AA197" i="53"/>
  <c r="AB197" i="53"/>
  <c r="AF197" i="53"/>
  <c r="AC198" i="53"/>
  <c r="AH198" i="53"/>
  <c r="AD198" i="53"/>
  <c r="AE198" i="53"/>
  <c r="Q198" i="53"/>
  <c r="R198" i="53"/>
  <c r="X198" i="53" s="1"/>
  <c r="AT198" i="53"/>
  <c r="B200" i="53"/>
  <c r="AK199" i="52" a="1"/>
  <c r="AK199" i="52" s="1"/>
  <c r="L199" i="53"/>
  <c r="M199" i="53"/>
  <c r="G199" i="53"/>
  <c r="P199" i="53"/>
  <c r="O199" i="53"/>
  <c r="D199" i="53"/>
  <c r="K199" i="53"/>
  <c r="J199" i="53"/>
  <c r="I199" i="53"/>
  <c r="C199" i="53"/>
  <c r="F199" i="53"/>
  <c r="N199" i="53"/>
  <c r="H199" i="53"/>
  <c r="E199" i="53"/>
  <c r="AL196" i="32"/>
  <c r="N198" i="32"/>
  <c r="F198" i="32"/>
  <c r="AK198" i="32"/>
  <c r="I198" i="32"/>
  <c r="G198" i="32"/>
  <c r="L198" i="32"/>
  <c r="M198" i="32"/>
  <c r="T198" i="32"/>
  <c r="A198" i="32"/>
  <c r="Q198" i="32" s="1"/>
  <c r="P198" i="32" s="1"/>
  <c r="H198" i="32"/>
  <c r="O198" i="32"/>
  <c r="B198" i="32"/>
  <c r="R198" i="32" s="1"/>
  <c r="S198" i="32" s="1"/>
  <c r="J198" i="32"/>
  <c r="K198" i="32"/>
  <c r="E199" i="32"/>
  <c r="AL199" i="11" a="1"/>
  <c r="AL199" i="11" s="1"/>
  <c r="AN196" i="32"/>
  <c r="U197" i="32"/>
  <c r="AD197" i="32" s="1"/>
  <c r="AG197" i="32" s="1"/>
  <c r="AH197" i="32" s="1"/>
  <c r="AI197" i="32" s="1"/>
  <c r="AM197" i="32"/>
  <c r="AJ197" i="32"/>
  <c r="Z197" i="32"/>
  <c r="C197" i="32"/>
  <c r="W197" i="32"/>
  <c r="X197" i="32" s="1"/>
  <c r="V197" i="32"/>
  <c r="Y199" i="65" l="1"/>
  <c r="AB199" i="65" s="1"/>
  <c r="AC199" i="65" s="1"/>
  <c r="AD199" i="65" s="1"/>
  <c r="U199" i="65"/>
  <c r="AV199" i="65"/>
  <c r="R199" i="65"/>
  <c r="S199" i="65" s="1"/>
  <c r="Q199" i="65"/>
  <c r="AH199" i="65"/>
  <c r="AE199" i="65"/>
  <c r="AF199" i="65"/>
  <c r="P200" i="65"/>
  <c r="N200" i="65"/>
  <c r="D200" i="65"/>
  <c r="E200" i="65" s="1"/>
  <c r="F200" i="65" s="1"/>
  <c r="G200" i="65" s="1"/>
  <c r="H200" i="65" s="1"/>
  <c r="I200" i="65" s="1"/>
  <c r="J200" i="65" s="1"/>
  <c r="K200" i="65" s="1"/>
  <c r="AM200" i="65"/>
  <c r="AG198" i="65"/>
  <c r="B202" i="65"/>
  <c r="AO201" i="63" a="1"/>
  <c r="AO201" i="63" s="1"/>
  <c r="L201" i="65"/>
  <c r="M201" i="65" s="1"/>
  <c r="C201" i="65"/>
  <c r="O201" i="65"/>
  <c r="AA198" i="53"/>
  <c r="AB198" i="53"/>
  <c r="AF198" i="53"/>
  <c r="B201" i="53"/>
  <c r="AK200" i="52" a="1"/>
  <c r="AK200" i="52" s="1"/>
  <c r="AG199" i="53"/>
  <c r="AC199" i="53"/>
  <c r="Q199" i="53"/>
  <c r="AE199" i="53"/>
  <c r="AT199" i="53"/>
  <c r="AH199" i="53"/>
  <c r="AD199" i="53"/>
  <c r="R199" i="53"/>
  <c r="X199" i="53" s="1"/>
  <c r="M200" i="53"/>
  <c r="E200" i="53"/>
  <c r="K200" i="53"/>
  <c r="L200" i="53"/>
  <c r="N200" i="53"/>
  <c r="P200" i="53"/>
  <c r="I200" i="53"/>
  <c r="C200" i="53"/>
  <c r="F200" i="53"/>
  <c r="O200" i="53"/>
  <c r="AG200" i="53" s="1"/>
  <c r="D200" i="53"/>
  <c r="G200" i="53"/>
  <c r="H200" i="53"/>
  <c r="J200" i="53"/>
  <c r="E200" i="32"/>
  <c r="AL200" i="11" a="1"/>
  <c r="AL200" i="11" s="1"/>
  <c r="AL197" i="32"/>
  <c r="AN197" i="32"/>
  <c r="M199" i="32"/>
  <c r="N199" i="32"/>
  <c r="AK199" i="32"/>
  <c r="H199" i="32"/>
  <c r="I199" i="32"/>
  <c r="K199" i="32"/>
  <c r="T199" i="32"/>
  <c r="G199" i="32"/>
  <c r="J199" i="32"/>
  <c r="O199" i="32"/>
  <c r="A199" i="32"/>
  <c r="Q199" i="32" s="1"/>
  <c r="P199" i="32" s="1"/>
  <c r="F199" i="32"/>
  <c r="B199" i="32"/>
  <c r="R199" i="32" s="1"/>
  <c r="S199" i="32" s="1"/>
  <c r="L199" i="32"/>
  <c r="Z198" i="32"/>
  <c r="C198" i="32"/>
  <c r="AJ198" i="32"/>
  <c r="W198" i="32"/>
  <c r="X198" i="32" s="1"/>
  <c r="V198" i="32"/>
  <c r="AM198" i="32"/>
  <c r="U198" i="32"/>
  <c r="AD198" i="32" s="1"/>
  <c r="AG198" i="32" s="1"/>
  <c r="AH198" i="32" s="1"/>
  <c r="AI198" i="32" s="1"/>
  <c r="AN198" i="32" s="1"/>
  <c r="AG199" i="65" l="1"/>
  <c r="AE200" i="65"/>
  <c r="AH200" i="65"/>
  <c r="Q200" i="65"/>
  <c r="R200" i="65"/>
  <c r="S200" i="65" s="1"/>
  <c r="Y200" i="65" s="1"/>
  <c r="AB200" i="65" s="1"/>
  <c r="AC200" i="65" s="1"/>
  <c r="AD200" i="65" s="1"/>
  <c r="AV200" i="65"/>
  <c r="U200" i="65"/>
  <c r="AF200" i="65"/>
  <c r="P201" i="65"/>
  <c r="N201" i="65"/>
  <c r="D201" i="65"/>
  <c r="E201" i="65" s="1"/>
  <c r="F201" i="65" s="1"/>
  <c r="G201" i="65" s="1"/>
  <c r="H201" i="65" s="1"/>
  <c r="I201" i="65" s="1"/>
  <c r="J201" i="65" s="1"/>
  <c r="K201" i="65" s="1"/>
  <c r="AM201" i="65"/>
  <c r="B203" i="65"/>
  <c r="AO202" i="63" a="1"/>
  <c r="AO202" i="63" s="1"/>
  <c r="L202" i="65"/>
  <c r="M202" i="65" s="1"/>
  <c r="C202" i="65"/>
  <c r="O202" i="65"/>
  <c r="AF199" i="53"/>
  <c r="AA199" i="53"/>
  <c r="AB199" i="53"/>
  <c r="AH200" i="53"/>
  <c r="AE200" i="53"/>
  <c r="AT200" i="53"/>
  <c r="R200" i="53"/>
  <c r="X200" i="53" s="1"/>
  <c r="AD200" i="53"/>
  <c r="AC200" i="53"/>
  <c r="Q200" i="53"/>
  <c r="B202" i="53"/>
  <c r="AK201" i="52" a="1"/>
  <c r="AK201" i="52" s="1"/>
  <c r="N201" i="53"/>
  <c r="K201" i="53"/>
  <c r="E201" i="53"/>
  <c r="F201" i="53"/>
  <c r="D201" i="53"/>
  <c r="M201" i="53"/>
  <c r="C201" i="53"/>
  <c r="O201" i="53"/>
  <c r="J201" i="53"/>
  <c r="H201" i="53"/>
  <c r="L201" i="53"/>
  <c r="I201" i="53"/>
  <c r="P201" i="53"/>
  <c r="G201" i="53"/>
  <c r="E201" i="32"/>
  <c r="AL201" i="11" a="1"/>
  <c r="AL201" i="11" s="1"/>
  <c r="C199" i="32"/>
  <c r="AJ199" i="32"/>
  <c r="V199" i="32"/>
  <c r="W199" i="32"/>
  <c r="X199" i="32" s="1"/>
  <c r="Z199" i="32"/>
  <c r="A200" i="32"/>
  <c r="Q200" i="32" s="1"/>
  <c r="P200" i="32" s="1"/>
  <c r="L200" i="32"/>
  <c r="B200" i="32"/>
  <c r="R200" i="32" s="1"/>
  <c r="S200" i="32" s="1"/>
  <c r="M200" i="32"/>
  <c r="F200" i="32"/>
  <c r="T200" i="32"/>
  <c r="AK200" i="32"/>
  <c r="N200" i="32"/>
  <c r="O200" i="32"/>
  <c r="G200" i="32"/>
  <c r="H200" i="32"/>
  <c r="J200" i="32"/>
  <c r="I200" i="32"/>
  <c r="K200" i="32"/>
  <c r="AL198" i="32"/>
  <c r="U199" i="32"/>
  <c r="AD199" i="32" s="1"/>
  <c r="AG199" i="32" s="1"/>
  <c r="AH199" i="32" s="1"/>
  <c r="AI199" i="32" s="1"/>
  <c r="AM199" i="32"/>
  <c r="P202" i="65" l="1"/>
  <c r="N202" i="65"/>
  <c r="AM202" i="65"/>
  <c r="D202" i="65"/>
  <c r="E202" i="65" s="1"/>
  <c r="F202" i="65" s="1"/>
  <c r="G202" i="65" s="1"/>
  <c r="H202" i="65" s="1"/>
  <c r="I202" i="65" s="1"/>
  <c r="J202" i="65" s="1"/>
  <c r="K202" i="65" s="1"/>
  <c r="AG200" i="65"/>
  <c r="B204" i="65"/>
  <c r="AO203" i="63" a="1"/>
  <c r="AO203" i="63" s="1"/>
  <c r="L203" i="65"/>
  <c r="M203" i="65" s="1"/>
  <c r="C203" i="65"/>
  <c r="O203" i="65"/>
  <c r="U201" i="65"/>
  <c r="R201" i="65"/>
  <c r="S201" i="65" s="1"/>
  <c r="Q201" i="65"/>
  <c r="AE201" i="65"/>
  <c r="AF201" i="65"/>
  <c r="AG201" i="65" s="1"/>
  <c r="AV201" i="65"/>
  <c r="AH201" i="65"/>
  <c r="Y201" i="65"/>
  <c r="AB201" i="65" s="1"/>
  <c r="AC201" i="65" s="1"/>
  <c r="AD201" i="65" s="1"/>
  <c r="AA200" i="53"/>
  <c r="AB200" i="53"/>
  <c r="B203" i="53"/>
  <c r="AK202" i="52" a="1"/>
  <c r="AK202" i="52" s="1"/>
  <c r="AE201" i="53"/>
  <c r="R201" i="53"/>
  <c r="AT201" i="53"/>
  <c r="AD201" i="53"/>
  <c r="AH201" i="53"/>
  <c r="AC201" i="53"/>
  <c r="Q201" i="53"/>
  <c r="AF200" i="53"/>
  <c r="AG201" i="53"/>
  <c r="X201" i="53"/>
  <c r="N202" i="53"/>
  <c r="I202" i="53"/>
  <c r="C202" i="53"/>
  <c r="P202" i="53"/>
  <c r="H202" i="53"/>
  <c r="E202" i="53"/>
  <c r="O202" i="53"/>
  <c r="AG202" i="53" s="1"/>
  <c r="D202" i="53"/>
  <c r="K202" i="53"/>
  <c r="J202" i="53"/>
  <c r="M202" i="53"/>
  <c r="G202" i="53"/>
  <c r="L202" i="53"/>
  <c r="F202" i="53"/>
  <c r="E202" i="32"/>
  <c r="AL202" i="11" a="1"/>
  <c r="AL202" i="11" s="1"/>
  <c r="AL199" i="32"/>
  <c r="O201" i="32"/>
  <c r="B201" i="32"/>
  <c r="R201" i="32" s="1"/>
  <c r="S201" i="32" s="1"/>
  <c r="L201" i="32"/>
  <c r="M201" i="32"/>
  <c r="F201" i="32"/>
  <c r="G201" i="32"/>
  <c r="AK201" i="32"/>
  <c r="H201" i="32"/>
  <c r="N201" i="32"/>
  <c r="I201" i="32"/>
  <c r="J201" i="32"/>
  <c r="T201" i="32"/>
  <c r="A201" i="32"/>
  <c r="Q201" i="32" s="1"/>
  <c r="P201" i="32" s="1"/>
  <c r="K201" i="32"/>
  <c r="AN199" i="32"/>
  <c r="U200" i="32"/>
  <c r="AD200" i="32" s="1"/>
  <c r="AG200" i="32" s="1"/>
  <c r="AH200" i="32" s="1"/>
  <c r="AI200" i="32" s="1"/>
  <c r="AM200" i="32"/>
  <c r="V200" i="32"/>
  <c r="Z200" i="32"/>
  <c r="C200" i="32"/>
  <c r="AJ200" i="32"/>
  <c r="W200" i="32"/>
  <c r="X200" i="32" s="1"/>
  <c r="U202" i="65" l="1"/>
  <c r="AH202" i="65"/>
  <c r="AF202" i="65"/>
  <c r="AV202" i="65"/>
  <c r="AE202" i="65"/>
  <c r="R202" i="65"/>
  <c r="S202" i="65" s="1"/>
  <c r="Y202" i="65" s="1"/>
  <c r="AB202" i="65" s="1"/>
  <c r="AC202" i="65" s="1"/>
  <c r="AD202" i="65" s="1"/>
  <c r="Q202" i="65"/>
  <c r="D203" i="65"/>
  <c r="E203" i="65" s="1"/>
  <c r="F203" i="65" s="1"/>
  <c r="G203" i="65" s="1"/>
  <c r="H203" i="65" s="1"/>
  <c r="I203" i="65" s="1"/>
  <c r="J203" i="65" s="1"/>
  <c r="K203" i="65" s="1"/>
  <c r="N203" i="65"/>
  <c r="AM203" i="65"/>
  <c r="P203" i="65"/>
  <c r="B205" i="65"/>
  <c r="AO204" i="63" a="1"/>
  <c r="AO204" i="63" s="1"/>
  <c r="O204" i="65"/>
  <c r="L204" i="65"/>
  <c r="M204" i="65" s="1"/>
  <c r="C204" i="65"/>
  <c r="AD202" i="53"/>
  <c r="Q202" i="53"/>
  <c r="AH202" i="53"/>
  <c r="AE202" i="53"/>
  <c r="AT202" i="53"/>
  <c r="R202" i="53"/>
  <c r="X202" i="53" s="1"/>
  <c r="AC202" i="53"/>
  <c r="B204" i="53"/>
  <c r="AK203" i="52" a="1"/>
  <c r="AK203" i="52" s="1"/>
  <c r="AB201" i="53"/>
  <c r="AA201" i="53"/>
  <c r="AF201" i="53"/>
  <c r="F203" i="53"/>
  <c r="N203" i="53"/>
  <c r="H203" i="53"/>
  <c r="G203" i="53"/>
  <c r="O203" i="53"/>
  <c r="AG203" i="53" s="1"/>
  <c r="D203" i="53"/>
  <c r="C203" i="53"/>
  <c r="P203" i="53"/>
  <c r="I203" i="53"/>
  <c r="J203" i="53"/>
  <c r="E203" i="53"/>
  <c r="M203" i="53"/>
  <c r="L203" i="53"/>
  <c r="K203" i="53"/>
  <c r="E203" i="32"/>
  <c r="AL203" i="11" a="1"/>
  <c r="AL203" i="11" s="1"/>
  <c r="O202" i="32"/>
  <c r="B202" i="32"/>
  <c r="R202" i="32" s="1"/>
  <c r="S202" i="32" s="1"/>
  <c r="I202" i="32"/>
  <c r="J202" i="32"/>
  <c r="K202" i="32"/>
  <c r="L202" i="32"/>
  <c r="AK202" i="32"/>
  <c r="F202" i="32"/>
  <c r="M202" i="32"/>
  <c r="N202" i="32"/>
  <c r="G202" i="32"/>
  <c r="T202" i="32"/>
  <c r="A202" i="32"/>
  <c r="Q202" i="32" s="1"/>
  <c r="P202" i="32" s="1"/>
  <c r="H202" i="32"/>
  <c r="AL200" i="32"/>
  <c r="AM201" i="32"/>
  <c r="U201" i="32"/>
  <c r="AD201" i="32" s="1"/>
  <c r="AG201" i="32" s="1"/>
  <c r="AH201" i="32" s="1"/>
  <c r="AI201" i="32" s="1"/>
  <c r="AN200" i="32"/>
  <c r="Z201" i="32"/>
  <c r="W201" i="32"/>
  <c r="X201" i="32" s="1"/>
  <c r="AJ201" i="32"/>
  <c r="C201" i="32"/>
  <c r="V201" i="32"/>
  <c r="AE203" i="65" l="1"/>
  <c r="AV203" i="65"/>
  <c r="AH203" i="65"/>
  <c r="Q203" i="65"/>
  <c r="U203" i="65"/>
  <c r="R203" i="65"/>
  <c r="S203" i="65" s="1"/>
  <c r="Y203" i="65" s="1"/>
  <c r="AB203" i="65" s="1"/>
  <c r="AC203" i="65" s="1"/>
  <c r="AD203" i="65" s="1"/>
  <c r="AF203" i="65"/>
  <c r="N204" i="65"/>
  <c r="D204" i="65"/>
  <c r="E204" i="65" s="1"/>
  <c r="F204" i="65" s="1"/>
  <c r="G204" i="65" s="1"/>
  <c r="H204" i="65" s="1"/>
  <c r="I204" i="65" s="1"/>
  <c r="J204" i="65" s="1"/>
  <c r="K204" i="65" s="1"/>
  <c r="P204" i="65"/>
  <c r="AM204" i="65"/>
  <c r="B206" i="65"/>
  <c r="AO205" i="63" a="1"/>
  <c r="AO205" i="63" s="1"/>
  <c r="O205" i="65"/>
  <c r="C205" i="65"/>
  <c r="L205" i="65"/>
  <c r="M205" i="65" s="1"/>
  <c r="AG202" i="65"/>
  <c r="B205" i="53"/>
  <c r="AK204" i="52" a="1"/>
  <c r="AK204" i="52" s="1"/>
  <c r="AT203" i="53"/>
  <c r="AD203" i="53"/>
  <c r="R203" i="53"/>
  <c r="X203" i="53" s="1"/>
  <c r="AH203" i="53"/>
  <c r="AE203" i="53"/>
  <c r="AC203" i="53"/>
  <c r="Q203" i="53"/>
  <c r="J204" i="53"/>
  <c r="G204" i="53"/>
  <c r="N204" i="53"/>
  <c r="H204" i="53"/>
  <c r="D204" i="53"/>
  <c r="M204" i="53"/>
  <c r="P204" i="53"/>
  <c r="C204" i="53"/>
  <c r="K204" i="53"/>
  <c r="E204" i="53"/>
  <c r="F204" i="53"/>
  <c r="L204" i="53"/>
  <c r="I204" i="53"/>
  <c r="O204" i="53"/>
  <c r="AG204" i="53" s="1"/>
  <c r="AB202" i="53"/>
  <c r="AA202" i="53"/>
  <c r="AF202" i="53"/>
  <c r="E204" i="32"/>
  <c r="AL204" i="11" a="1"/>
  <c r="AL204" i="11" s="1"/>
  <c r="AN201" i="32"/>
  <c r="F203" i="32"/>
  <c r="T203" i="32"/>
  <c r="A203" i="32"/>
  <c r="Q203" i="32" s="1"/>
  <c r="P203" i="32" s="1"/>
  <c r="N203" i="32"/>
  <c r="O203" i="32"/>
  <c r="B203" i="32"/>
  <c r="R203" i="32" s="1"/>
  <c r="S203" i="32" s="1"/>
  <c r="G203" i="32"/>
  <c r="H203" i="32"/>
  <c r="I203" i="32"/>
  <c r="J203" i="32"/>
  <c r="AK203" i="32"/>
  <c r="L203" i="32"/>
  <c r="K203" i="32"/>
  <c r="M203" i="32"/>
  <c r="W202" i="32"/>
  <c r="X202" i="32" s="1"/>
  <c r="V202" i="32"/>
  <c r="AJ202" i="32"/>
  <c r="C202" i="32"/>
  <c r="Z202" i="32"/>
  <c r="AL201" i="32"/>
  <c r="U202" i="32"/>
  <c r="AD202" i="32" s="1"/>
  <c r="AG202" i="32" s="1"/>
  <c r="AH202" i="32" s="1"/>
  <c r="AI202" i="32" s="1"/>
  <c r="AM202" i="32"/>
  <c r="AF204" i="65" l="1"/>
  <c r="R204" i="65"/>
  <c r="S204" i="65" s="1"/>
  <c r="Y204" i="65" s="1"/>
  <c r="AB204" i="65" s="1"/>
  <c r="AC204" i="65" s="1"/>
  <c r="AD204" i="65" s="1"/>
  <c r="AV204" i="65"/>
  <c r="AH204" i="65"/>
  <c r="Q204" i="65"/>
  <c r="U204" i="65"/>
  <c r="AE204" i="65"/>
  <c r="N205" i="65"/>
  <c r="AM205" i="65"/>
  <c r="P205" i="65"/>
  <c r="D205" i="65"/>
  <c r="E205" i="65" s="1"/>
  <c r="F205" i="65" s="1"/>
  <c r="G205" i="65" s="1"/>
  <c r="H205" i="65" s="1"/>
  <c r="I205" i="65" s="1"/>
  <c r="J205" i="65" s="1"/>
  <c r="K205" i="65" s="1"/>
  <c r="AG203" i="65"/>
  <c r="B207" i="65"/>
  <c r="AO206" i="63" a="1"/>
  <c r="AO206" i="63" s="1"/>
  <c r="C206" i="65"/>
  <c r="O206" i="65"/>
  <c r="L206" i="65"/>
  <c r="M206" i="65" s="1"/>
  <c r="R204" i="53"/>
  <c r="X204" i="53" s="1"/>
  <c r="AH204" i="53"/>
  <c r="AT204" i="53"/>
  <c r="AE204" i="53"/>
  <c r="AC204" i="53"/>
  <c r="AD204" i="53"/>
  <c r="Q204" i="53"/>
  <c r="AF203" i="53"/>
  <c r="M205" i="53"/>
  <c r="L205" i="53"/>
  <c r="G205" i="53"/>
  <c r="K205" i="53"/>
  <c r="F205" i="53"/>
  <c r="O205" i="53"/>
  <c r="AG205" i="53" s="1"/>
  <c r="C205" i="53"/>
  <c r="I205" i="53"/>
  <c r="H205" i="53"/>
  <c r="D205" i="53"/>
  <c r="P205" i="53"/>
  <c r="E205" i="53"/>
  <c r="J205" i="53"/>
  <c r="N205" i="53"/>
  <c r="AA203" i="53"/>
  <c r="AB203" i="53"/>
  <c r="B206" i="53"/>
  <c r="AK205" i="52" a="1"/>
  <c r="AK205" i="52" s="1"/>
  <c r="AN202" i="32"/>
  <c r="L204" i="32"/>
  <c r="T204" i="32"/>
  <c r="A204" i="32"/>
  <c r="Q204" i="32" s="1"/>
  <c r="P204" i="32" s="1"/>
  <c r="M204" i="32"/>
  <c r="O204" i="32"/>
  <c r="B204" i="32"/>
  <c r="R204" i="32" s="1"/>
  <c r="S204" i="32" s="1"/>
  <c r="F204" i="32"/>
  <c r="N204" i="32"/>
  <c r="AK204" i="32"/>
  <c r="G204" i="32"/>
  <c r="H204" i="32"/>
  <c r="J204" i="32"/>
  <c r="I204" i="32"/>
  <c r="K204" i="32"/>
  <c r="AJ203" i="32"/>
  <c r="C203" i="32"/>
  <c r="Z203" i="32"/>
  <c r="W203" i="32"/>
  <c r="X203" i="32" s="1"/>
  <c r="V203" i="32"/>
  <c r="U203" i="32"/>
  <c r="AD203" i="32" s="1"/>
  <c r="AG203" i="32" s="1"/>
  <c r="AH203" i="32" s="1"/>
  <c r="AI203" i="32" s="1"/>
  <c r="AM203" i="32"/>
  <c r="AL202" i="32"/>
  <c r="E205" i="32"/>
  <c r="AL205" i="11" a="1"/>
  <c r="AL205" i="11" s="1"/>
  <c r="Q205" i="65" l="1"/>
  <c r="AH205" i="65"/>
  <c r="AE205" i="65"/>
  <c r="R205" i="65"/>
  <c r="S205" i="65" s="1"/>
  <c r="U205" i="65"/>
  <c r="AV205" i="65"/>
  <c r="AF205" i="65"/>
  <c r="AG205" i="65" s="1"/>
  <c r="AG204" i="65"/>
  <c r="N206" i="65"/>
  <c r="AM206" i="65"/>
  <c r="P206" i="65"/>
  <c r="D206" i="65"/>
  <c r="E206" i="65" s="1"/>
  <c r="F206" i="65" s="1"/>
  <c r="G206" i="65" s="1"/>
  <c r="H206" i="65" s="1"/>
  <c r="I206" i="65" s="1"/>
  <c r="J206" i="65" s="1"/>
  <c r="K206" i="65" s="1"/>
  <c r="B208" i="65"/>
  <c r="AO207" i="63" a="1"/>
  <c r="AO207" i="63" s="1"/>
  <c r="L207" i="65"/>
  <c r="M207" i="65" s="1"/>
  <c r="C207" i="65"/>
  <c r="O207" i="65"/>
  <c r="Y205" i="65"/>
  <c r="AB205" i="65" s="1"/>
  <c r="AC205" i="65" s="1"/>
  <c r="AD205" i="65" s="1"/>
  <c r="J206" i="53"/>
  <c r="E206" i="53"/>
  <c r="D206" i="53"/>
  <c r="N206" i="53"/>
  <c r="F206" i="53"/>
  <c r="L206" i="53"/>
  <c r="K206" i="53"/>
  <c r="M206" i="53"/>
  <c r="H206" i="53"/>
  <c r="O206" i="53"/>
  <c r="AG206" i="53" s="1"/>
  <c r="P206" i="53"/>
  <c r="G206" i="53"/>
  <c r="C206" i="53"/>
  <c r="I206" i="53"/>
  <c r="AE205" i="53"/>
  <c r="AC205" i="53"/>
  <c r="Q205" i="53"/>
  <c r="R205" i="53"/>
  <c r="X205" i="53" s="1"/>
  <c r="AH205" i="53"/>
  <c r="AD205" i="53"/>
  <c r="AT205" i="53"/>
  <c r="AA204" i="53"/>
  <c r="AB204" i="53"/>
  <c r="AF204" i="53"/>
  <c r="B207" i="53"/>
  <c r="AK206" i="52" a="1"/>
  <c r="AK206" i="52" s="1"/>
  <c r="AM204" i="32"/>
  <c r="U204" i="32"/>
  <c r="AD204" i="32" s="1"/>
  <c r="AG204" i="32" s="1"/>
  <c r="AH204" i="32" s="1"/>
  <c r="AI204" i="32" s="1"/>
  <c r="W204" i="32"/>
  <c r="X204" i="32" s="1"/>
  <c r="V204" i="32"/>
  <c r="C204" i="32"/>
  <c r="Z204" i="32"/>
  <c r="AJ204" i="32"/>
  <c r="AL203" i="32"/>
  <c r="AN203" i="32"/>
  <c r="E206" i="32"/>
  <c r="AL206" i="11" a="1"/>
  <c r="AL206" i="11" s="1"/>
  <c r="T205" i="32"/>
  <c r="AK205" i="32"/>
  <c r="H205" i="32"/>
  <c r="N205" i="32"/>
  <c r="O205" i="32"/>
  <c r="A205" i="32"/>
  <c r="Q205" i="32" s="1"/>
  <c r="P205" i="32" s="1"/>
  <c r="I205" i="32"/>
  <c r="B205" i="32"/>
  <c r="R205" i="32" s="1"/>
  <c r="S205" i="32" s="1"/>
  <c r="J205" i="32"/>
  <c r="K205" i="32"/>
  <c r="L205" i="32"/>
  <c r="M205" i="32"/>
  <c r="F205" i="32"/>
  <c r="G205" i="32"/>
  <c r="AF206" i="65" l="1"/>
  <c r="R206" i="65"/>
  <c r="S206" i="65" s="1"/>
  <c r="Y206" i="65" s="1"/>
  <c r="AB206" i="65" s="1"/>
  <c r="AC206" i="65" s="1"/>
  <c r="AD206" i="65" s="1"/>
  <c r="AH206" i="65"/>
  <c r="AE206" i="65"/>
  <c r="AV206" i="65"/>
  <c r="Q206" i="65"/>
  <c r="U206" i="65"/>
  <c r="P207" i="65"/>
  <c r="N207" i="65"/>
  <c r="AM207" i="65"/>
  <c r="D207" i="65"/>
  <c r="E207" i="65" s="1"/>
  <c r="F207" i="65" s="1"/>
  <c r="G207" i="65" s="1"/>
  <c r="H207" i="65" s="1"/>
  <c r="I207" i="65" s="1"/>
  <c r="J207" i="65" s="1"/>
  <c r="K207" i="65" s="1"/>
  <c r="B209" i="65"/>
  <c r="AO208" i="63" a="1"/>
  <c r="AO208" i="63" s="1"/>
  <c r="C208" i="65"/>
  <c r="O208" i="65"/>
  <c r="L208" i="65"/>
  <c r="M208" i="65" s="1"/>
  <c r="AA205" i="53"/>
  <c r="AB205" i="53"/>
  <c r="O207" i="53"/>
  <c r="I207" i="53"/>
  <c r="J207" i="53"/>
  <c r="N207" i="53"/>
  <c r="F207" i="53"/>
  <c r="C207" i="53"/>
  <c r="M207" i="53"/>
  <c r="E207" i="53"/>
  <c r="K207" i="53"/>
  <c r="P207" i="53"/>
  <c r="G207" i="53"/>
  <c r="H207" i="53"/>
  <c r="D207" i="53"/>
  <c r="L207" i="53"/>
  <c r="AC206" i="53"/>
  <c r="AE206" i="53"/>
  <c r="Q206" i="53"/>
  <c r="AT206" i="53"/>
  <c r="R206" i="53"/>
  <c r="X206" i="53" s="1"/>
  <c r="AD206" i="53"/>
  <c r="AH206" i="53"/>
  <c r="AF205" i="53"/>
  <c r="B208" i="53"/>
  <c r="AK207" i="52" a="1"/>
  <c r="AK207" i="52" s="1"/>
  <c r="U205" i="32"/>
  <c r="AD205" i="32" s="1"/>
  <c r="AG205" i="32" s="1"/>
  <c r="AH205" i="32" s="1"/>
  <c r="AI205" i="32" s="1"/>
  <c r="AM205" i="32"/>
  <c r="AL204" i="32"/>
  <c r="AN204" i="32"/>
  <c r="E207" i="32"/>
  <c r="AL207" i="11" a="1"/>
  <c r="AL207" i="11" s="1"/>
  <c r="C205" i="32"/>
  <c r="Z205" i="32"/>
  <c r="AJ205" i="32"/>
  <c r="W205" i="32"/>
  <c r="X205" i="32" s="1"/>
  <c r="V205" i="32"/>
  <c r="J206" i="32"/>
  <c r="K206" i="32"/>
  <c r="L206" i="32"/>
  <c r="F206" i="32"/>
  <c r="M206" i="32"/>
  <c r="AK206" i="32"/>
  <c r="N206" i="32"/>
  <c r="T206" i="32"/>
  <c r="G206" i="32"/>
  <c r="O206" i="32"/>
  <c r="A206" i="32"/>
  <c r="Q206" i="32" s="1"/>
  <c r="P206" i="32" s="1"/>
  <c r="H206" i="32"/>
  <c r="B206" i="32"/>
  <c r="R206" i="32" s="1"/>
  <c r="S206" i="32" s="1"/>
  <c r="I206" i="32"/>
  <c r="Y207" i="65" l="1"/>
  <c r="AB207" i="65" s="1"/>
  <c r="AC207" i="65" s="1"/>
  <c r="AD207" i="65" s="1"/>
  <c r="N208" i="65"/>
  <c r="P208" i="65"/>
  <c r="AM208" i="65"/>
  <c r="D208" i="65"/>
  <c r="E208" i="65" s="1"/>
  <c r="F208" i="65" s="1"/>
  <c r="G208" i="65" s="1"/>
  <c r="H208" i="65" s="1"/>
  <c r="I208" i="65" s="1"/>
  <c r="J208" i="65" s="1"/>
  <c r="K208" i="65" s="1"/>
  <c r="B210" i="65"/>
  <c r="AO209" i="63" a="1"/>
  <c r="AO209" i="63" s="1"/>
  <c r="C209" i="65"/>
  <c r="L209" i="65"/>
  <c r="M209" i="65" s="1"/>
  <c r="O209" i="65"/>
  <c r="AV207" i="65"/>
  <c r="U207" i="65"/>
  <c r="AF207" i="65"/>
  <c r="Q207" i="65"/>
  <c r="AE207" i="65"/>
  <c r="R207" i="65"/>
  <c r="S207" i="65" s="1"/>
  <c r="AH207" i="65"/>
  <c r="AG206" i="65"/>
  <c r="B209" i="53"/>
  <c r="AK208" i="52" a="1"/>
  <c r="AK208" i="52" s="1"/>
  <c r="L208" i="53"/>
  <c r="G208" i="53"/>
  <c r="J208" i="53"/>
  <c r="I208" i="53"/>
  <c r="D208" i="53"/>
  <c r="E208" i="53"/>
  <c r="M208" i="53"/>
  <c r="P208" i="53"/>
  <c r="O208" i="53"/>
  <c r="AG208" i="53" s="1"/>
  <c r="H208" i="53"/>
  <c r="K208" i="53"/>
  <c r="F208" i="53"/>
  <c r="N208" i="53"/>
  <c r="C208" i="53"/>
  <c r="AE207" i="53"/>
  <c r="R207" i="53"/>
  <c r="X207" i="53" s="1"/>
  <c r="AT207" i="53"/>
  <c r="AC207" i="53"/>
  <c r="AD207" i="53"/>
  <c r="AH207" i="53"/>
  <c r="Q207" i="53"/>
  <c r="AF206" i="53"/>
  <c r="AA206" i="53"/>
  <c r="AB206" i="53"/>
  <c r="AG207" i="53"/>
  <c r="AN205" i="32"/>
  <c r="AL205" i="32"/>
  <c r="C206" i="32"/>
  <c r="V206" i="32"/>
  <c r="Z206" i="32"/>
  <c r="W206" i="32"/>
  <c r="X206" i="32" s="1"/>
  <c r="AJ206" i="32"/>
  <c r="U206" i="32"/>
  <c r="AD206" i="32" s="1"/>
  <c r="AG206" i="32" s="1"/>
  <c r="AH206" i="32" s="1"/>
  <c r="AI206" i="32" s="1"/>
  <c r="AM206" i="32"/>
  <c r="E208" i="32"/>
  <c r="AL208" i="11" a="1"/>
  <c r="AL208" i="11" s="1"/>
  <c r="O207" i="32"/>
  <c r="B207" i="32"/>
  <c r="R207" i="32" s="1"/>
  <c r="S207" i="32" s="1"/>
  <c r="G207" i="32"/>
  <c r="H207" i="32"/>
  <c r="I207" i="32"/>
  <c r="J207" i="32"/>
  <c r="L207" i="32"/>
  <c r="K207" i="32"/>
  <c r="M207" i="32"/>
  <c r="AK207" i="32"/>
  <c r="F207" i="32"/>
  <c r="T207" i="32"/>
  <c r="A207" i="32"/>
  <c r="Q207" i="32" s="1"/>
  <c r="P207" i="32" s="1"/>
  <c r="N207" i="32"/>
  <c r="Y208" i="65" l="1"/>
  <c r="AB208" i="65" s="1"/>
  <c r="AC208" i="65" s="1"/>
  <c r="AD208" i="65" s="1"/>
  <c r="AH208" i="65"/>
  <c r="AF208" i="65"/>
  <c r="AG208" i="65" s="1"/>
  <c r="R208" i="65"/>
  <c r="S208" i="65" s="1"/>
  <c r="U208" i="65"/>
  <c r="AE208" i="65"/>
  <c r="Q208" i="65"/>
  <c r="AV208" i="65"/>
  <c r="D209" i="65"/>
  <c r="E209" i="65" s="1"/>
  <c r="F209" i="65" s="1"/>
  <c r="G209" i="65" s="1"/>
  <c r="H209" i="65" s="1"/>
  <c r="I209" i="65" s="1"/>
  <c r="J209" i="65" s="1"/>
  <c r="K209" i="65" s="1"/>
  <c r="P209" i="65"/>
  <c r="N209" i="65"/>
  <c r="AM209" i="65"/>
  <c r="B211" i="65"/>
  <c r="AO210" i="63" a="1"/>
  <c r="AO210" i="63" s="1"/>
  <c r="O210" i="65"/>
  <c r="C210" i="65"/>
  <c r="L210" i="65"/>
  <c r="M210" i="65" s="1"/>
  <c r="AG207" i="65"/>
  <c r="AB207" i="53"/>
  <c r="AA207" i="53"/>
  <c r="B210" i="53"/>
  <c r="AK209" i="52" a="1"/>
  <c r="AK209" i="52" s="1"/>
  <c r="O209" i="53"/>
  <c r="AG209" i="53" s="1"/>
  <c r="F209" i="53"/>
  <c r="D209" i="53"/>
  <c r="I209" i="53"/>
  <c r="L209" i="53"/>
  <c r="G209" i="53"/>
  <c r="J209" i="53"/>
  <c r="N209" i="53"/>
  <c r="C209" i="53"/>
  <c r="E209" i="53"/>
  <c r="H209" i="53"/>
  <c r="P209" i="53"/>
  <c r="M209" i="53"/>
  <c r="K209" i="53"/>
  <c r="R208" i="53"/>
  <c r="X208" i="53" s="1"/>
  <c r="Q208" i="53"/>
  <c r="AE208" i="53"/>
  <c r="AH208" i="53"/>
  <c r="AD208" i="53"/>
  <c r="AC208" i="53"/>
  <c r="AT208" i="53"/>
  <c r="AF207" i="53"/>
  <c r="AL206" i="32"/>
  <c r="E209" i="32"/>
  <c r="AL209" i="11" a="1"/>
  <c r="AL209" i="11" s="1"/>
  <c r="AM207" i="32"/>
  <c r="U207" i="32"/>
  <c r="AD207" i="32" s="1"/>
  <c r="AG207" i="32" s="1"/>
  <c r="AH207" i="32" s="1"/>
  <c r="AI207" i="32" s="1"/>
  <c r="C207" i="32"/>
  <c r="W207" i="32"/>
  <c r="X207" i="32" s="1"/>
  <c r="V207" i="32"/>
  <c r="Z207" i="32"/>
  <c r="AJ207" i="32"/>
  <c r="AN206" i="32"/>
  <c r="O208" i="32"/>
  <c r="N208" i="32"/>
  <c r="G208" i="32"/>
  <c r="H208" i="32"/>
  <c r="J208" i="32"/>
  <c r="I208" i="32"/>
  <c r="K208" i="32"/>
  <c r="AK208" i="32"/>
  <c r="L208" i="32"/>
  <c r="A208" i="32"/>
  <c r="Q208" i="32" s="1"/>
  <c r="P208" i="32" s="1"/>
  <c r="M208" i="32"/>
  <c r="T208" i="32"/>
  <c r="B208" i="32"/>
  <c r="R208" i="32" s="1"/>
  <c r="S208" i="32" s="1"/>
  <c r="F208" i="32"/>
  <c r="N210" i="65" l="1"/>
  <c r="P210" i="65"/>
  <c r="D210" i="65"/>
  <c r="E210" i="65" s="1"/>
  <c r="F210" i="65" s="1"/>
  <c r="G210" i="65" s="1"/>
  <c r="H210" i="65" s="1"/>
  <c r="I210" i="65" s="1"/>
  <c r="J210" i="65" s="1"/>
  <c r="K210" i="65" s="1"/>
  <c r="AM210" i="65"/>
  <c r="B212" i="65"/>
  <c r="AO211" i="63" a="1"/>
  <c r="AO211" i="63" s="1"/>
  <c r="O211" i="65"/>
  <c r="C211" i="65"/>
  <c r="L211" i="65"/>
  <c r="M211" i="65" s="1"/>
  <c r="U209" i="65"/>
  <c r="AE209" i="65"/>
  <c r="Q209" i="65"/>
  <c r="AF209" i="65"/>
  <c r="R209" i="65"/>
  <c r="S209" i="65" s="1"/>
  <c r="Y209" i="65" s="1"/>
  <c r="AB209" i="65" s="1"/>
  <c r="AC209" i="65" s="1"/>
  <c r="AD209" i="65" s="1"/>
  <c r="AH209" i="65"/>
  <c r="AV209" i="65"/>
  <c r="AF208" i="53"/>
  <c r="AH209" i="53"/>
  <c r="AE209" i="53"/>
  <c r="AT209" i="53"/>
  <c r="Q209" i="53"/>
  <c r="AD209" i="53"/>
  <c r="R209" i="53"/>
  <c r="X209" i="53" s="1"/>
  <c r="AC209" i="53"/>
  <c r="B211" i="53"/>
  <c r="AK210" i="52" a="1"/>
  <c r="AK210" i="52" s="1"/>
  <c r="AB208" i="53"/>
  <c r="AA208" i="53"/>
  <c r="K210" i="53"/>
  <c r="E210" i="53"/>
  <c r="F210" i="53"/>
  <c r="C210" i="53"/>
  <c r="I210" i="53"/>
  <c r="H210" i="53"/>
  <c r="L210" i="53"/>
  <c r="J210" i="53"/>
  <c r="N210" i="53"/>
  <c r="P210" i="53"/>
  <c r="D210" i="53"/>
  <c r="G210" i="53"/>
  <c r="M210" i="53"/>
  <c r="O210" i="53"/>
  <c r="AG210" i="53" s="1"/>
  <c r="AL207" i="32"/>
  <c r="J209" i="32"/>
  <c r="A209" i="32"/>
  <c r="Q209" i="32" s="1"/>
  <c r="P209" i="32" s="1"/>
  <c r="K209" i="32"/>
  <c r="B209" i="32"/>
  <c r="R209" i="32" s="1"/>
  <c r="S209" i="32" s="1"/>
  <c r="L209" i="32"/>
  <c r="M209" i="32"/>
  <c r="G209" i="32"/>
  <c r="AK209" i="32"/>
  <c r="N209" i="32"/>
  <c r="T209" i="32"/>
  <c r="H209" i="32"/>
  <c r="F209" i="32"/>
  <c r="O209" i="32"/>
  <c r="I209" i="32"/>
  <c r="Z208" i="32"/>
  <c r="W208" i="32"/>
  <c r="X208" i="32" s="1"/>
  <c r="V208" i="32"/>
  <c r="C208" i="32"/>
  <c r="AJ208" i="32"/>
  <c r="AN207" i="32"/>
  <c r="E210" i="32"/>
  <c r="AL210" i="11" a="1"/>
  <c r="AL210" i="11" s="1"/>
  <c r="U208" i="32"/>
  <c r="AD208" i="32" s="1"/>
  <c r="AG208" i="32" s="1"/>
  <c r="AH208" i="32" s="1"/>
  <c r="AI208" i="32" s="1"/>
  <c r="AM208" i="32"/>
  <c r="Q210" i="65" l="1"/>
  <c r="AF210" i="65"/>
  <c r="R210" i="65"/>
  <c r="S210" i="65" s="1"/>
  <c r="Y210" i="65" s="1"/>
  <c r="AB210" i="65" s="1"/>
  <c r="AC210" i="65" s="1"/>
  <c r="AD210" i="65" s="1"/>
  <c r="AV210" i="65"/>
  <c r="AH210" i="65"/>
  <c r="U210" i="65"/>
  <c r="AE210" i="65"/>
  <c r="D211" i="65"/>
  <c r="E211" i="65" s="1"/>
  <c r="F211" i="65" s="1"/>
  <c r="G211" i="65" s="1"/>
  <c r="H211" i="65" s="1"/>
  <c r="I211" i="65" s="1"/>
  <c r="J211" i="65" s="1"/>
  <c r="K211" i="65" s="1"/>
  <c r="AM211" i="65"/>
  <c r="P211" i="65"/>
  <c r="N211" i="65"/>
  <c r="B213" i="65"/>
  <c r="AO212" i="63" a="1"/>
  <c r="AO212" i="63" s="1"/>
  <c r="AG209" i="65"/>
  <c r="O212" i="65"/>
  <c r="L212" i="65"/>
  <c r="M212" i="65" s="1"/>
  <c r="C212" i="65"/>
  <c r="AF209" i="53"/>
  <c r="R210" i="53"/>
  <c r="X210" i="53" s="1"/>
  <c r="Q210" i="53"/>
  <c r="AH210" i="53"/>
  <c r="AE210" i="53"/>
  <c r="AT210" i="53"/>
  <c r="AC210" i="53"/>
  <c r="AD210" i="53"/>
  <c r="K211" i="53"/>
  <c r="G211" i="53"/>
  <c r="D211" i="53"/>
  <c r="J211" i="53"/>
  <c r="N211" i="53"/>
  <c r="H211" i="53"/>
  <c r="C211" i="53"/>
  <c r="F211" i="53"/>
  <c r="E211" i="53"/>
  <c r="M211" i="53"/>
  <c r="O211" i="53"/>
  <c r="AG211" i="53" s="1"/>
  <c r="L211" i="53"/>
  <c r="I211" i="53"/>
  <c r="P211" i="53"/>
  <c r="AA209" i="53"/>
  <c r="AB209" i="53"/>
  <c r="B212" i="53"/>
  <c r="AK211" i="52" a="1"/>
  <c r="AK211" i="52" s="1"/>
  <c r="AL208" i="32"/>
  <c r="AN208" i="32"/>
  <c r="T210" i="32"/>
  <c r="B210" i="32"/>
  <c r="R210" i="32" s="1"/>
  <c r="S210" i="32" s="1"/>
  <c r="N210" i="32"/>
  <c r="O210" i="32"/>
  <c r="G210" i="32"/>
  <c r="H210" i="32"/>
  <c r="I210" i="32"/>
  <c r="J210" i="32"/>
  <c r="K210" i="32"/>
  <c r="AK210" i="32"/>
  <c r="L210" i="32"/>
  <c r="A210" i="32"/>
  <c r="Q210" i="32" s="1"/>
  <c r="P210" i="32" s="1"/>
  <c r="F210" i="32"/>
  <c r="M210" i="32"/>
  <c r="E211" i="32"/>
  <c r="AL211" i="11" a="1"/>
  <c r="AL211" i="11" s="1"/>
  <c r="U209" i="32"/>
  <c r="AD209" i="32" s="1"/>
  <c r="AG209" i="32" s="1"/>
  <c r="AH209" i="32" s="1"/>
  <c r="AI209" i="32" s="1"/>
  <c r="AN209" i="32" s="1"/>
  <c r="AM209" i="32"/>
  <c r="C209" i="32"/>
  <c r="W209" i="32"/>
  <c r="X209" i="32" s="1"/>
  <c r="AJ209" i="32"/>
  <c r="V209" i="32"/>
  <c r="Z209" i="32"/>
  <c r="N212" i="65" l="1"/>
  <c r="AM212" i="65"/>
  <c r="D212" i="65"/>
  <c r="E212" i="65" s="1"/>
  <c r="F212" i="65" s="1"/>
  <c r="G212" i="65" s="1"/>
  <c r="H212" i="65" s="1"/>
  <c r="I212" i="65" s="1"/>
  <c r="J212" i="65" s="1"/>
  <c r="K212" i="65" s="1"/>
  <c r="P212" i="65"/>
  <c r="B214" i="65"/>
  <c r="AO213" i="63" a="1"/>
  <c r="AO213" i="63" s="1"/>
  <c r="C213" i="65"/>
  <c r="O213" i="65"/>
  <c r="L213" i="65"/>
  <c r="M213" i="65" s="1"/>
  <c r="AH211" i="65"/>
  <c r="R211" i="65"/>
  <c r="S211" i="65" s="1"/>
  <c r="Y211" i="65" s="1"/>
  <c r="AB211" i="65" s="1"/>
  <c r="AC211" i="65" s="1"/>
  <c r="AD211" i="65" s="1"/>
  <c r="AF211" i="65"/>
  <c r="AE211" i="65"/>
  <c r="AV211" i="65"/>
  <c r="U211" i="65"/>
  <c r="Q211" i="65"/>
  <c r="AG210" i="65"/>
  <c r="AA210" i="53"/>
  <c r="AB210" i="53"/>
  <c r="B213" i="53"/>
  <c r="AK212" i="52" a="1"/>
  <c r="AK212" i="52" s="1"/>
  <c r="D212" i="53"/>
  <c r="M212" i="53"/>
  <c r="F212" i="53"/>
  <c r="L212" i="53"/>
  <c r="I212" i="53"/>
  <c r="H212" i="53"/>
  <c r="J212" i="53"/>
  <c r="O212" i="53"/>
  <c r="AG212" i="53" s="1"/>
  <c r="C212" i="53"/>
  <c r="E212" i="53"/>
  <c r="G212" i="53"/>
  <c r="K212" i="53"/>
  <c r="N212" i="53"/>
  <c r="P212" i="53"/>
  <c r="AF210" i="53"/>
  <c r="AH211" i="53"/>
  <c r="Q211" i="53"/>
  <c r="AE211" i="53"/>
  <c r="AC211" i="53"/>
  <c r="AD211" i="53"/>
  <c r="R211" i="53"/>
  <c r="X211" i="53" s="1"/>
  <c r="AT211" i="53"/>
  <c r="E212" i="32"/>
  <c r="AL212" i="11" a="1"/>
  <c r="AL212" i="11" s="1"/>
  <c r="AK211" i="32"/>
  <c r="F211" i="32"/>
  <c r="A211" i="32"/>
  <c r="Q211" i="32" s="1"/>
  <c r="P211" i="32" s="1"/>
  <c r="N211" i="32"/>
  <c r="T211" i="32"/>
  <c r="B211" i="32"/>
  <c r="R211" i="32" s="1"/>
  <c r="S211" i="32" s="1"/>
  <c r="G211" i="32"/>
  <c r="O211" i="32"/>
  <c r="H211" i="32"/>
  <c r="I211" i="32"/>
  <c r="J211" i="32"/>
  <c r="L211" i="32"/>
  <c r="K211" i="32"/>
  <c r="M211" i="32"/>
  <c r="U210" i="32"/>
  <c r="AD210" i="32" s="1"/>
  <c r="AG210" i="32" s="1"/>
  <c r="AH210" i="32" s="1"/>
  <c r="AI210" i="32" s="1"/>
  <c r="AM210" i="32"/>
  <c r="C210" i="32"/>
  <c r="W210" i="32"/>
  <c r="X210" i="32" s="1"/>
  <c r="V210" i="32"/>
  <c r="AJ210" i="32"/>
  <c r="Z210" i="32"/>
  <c r="AL209" i="32"/>
  <c r="U212" i="65" l="1"/>
  <c r="AV212" i="65"/>
  <c r="AE212" i="65"/>
  <c r="Q212" i="65"/>
  <c r="R212" i="65"/>
  <c r="S212" i="65" s="1"/>
  <c r="AH212" i="65"/>
  <c r="AF212" i="65"/>
  <c r="AG212" i="65" s="1"/>
  <c r="P213" i="65"/>
  <c r="D213" i="65"/>
  <c r="E213" i="65" s="1"/>
  <c r="F213" i="65" s="1"/>
  <c r="G213" i="65" s="1"/>
  <c r="H213" i="65" s="1"/>
  <c r="I213" i="65" s="1"/>
  <c r="J213" i="65" s="1"/>
  <c r="K213" i="65" s="1"/>
  <c r="N213" i="65"/>
  <c r="AM213" i="65"/>
  <c r="B215" i="65"/>
  <c r="AO214" i="63" a="1"/>
  <c r="AO214" i="63" s="1"/>
  <c r="C214" i="65"/>
  <c r="O214" i="65"/>
  <c r="L214" i="65"/>
  <c r="M214" i="65" s="1"/>
  <c r="AG211" i="65"/>
  <c r="Y212" i="65"/>
  <c r="AB212" i="65" s="1"/>
  <c r="AC212" i="65" s="1"/>
  <c r="AD212" i="65" s="1"/>
  <c r="AA211" i="53"/>
  <c r="AB211" i="53"/>
  <c r="B214" i="53"/>
  <c r="AK213" i="52" a="1"/>
  <c r="AK213" i="52" s="1"/>
  <c r="AF211" i="53"/>
  <c r="AE212" i="53"/>
  <c r="AT212" i="53"/>
  <c r="AC212" i="53"/>
  <c r="AD212" i="53"/>
  <c r="AH212" i="53"/>
  <c r="R212" i="53"/>
  <c r="X212" i="53" s="1"/>
  <c r="Q212" i="53"/>
  <c r="H213" i="53"/>
  <c r="K213" i="53"/>
  <c r="M213" i="53"/>
  <c r="L213" i="53"/>
  <c r="O213" i="53"/>
  <c r="AG213" i="53" s="1"/>
  <c r="E213" i="53"/>
  <c r="N213" i="53"/>
  <c r="D213" i="53"/>
  <c r="F213" i="53"/>
  <c r="J213" i="53"/>
  <c r="P213" i="53"/>
  <c r="I213" i="53"/>
  <c r="G213" i="53"/>
  <c r="C213" i="53"/>
  <c r="AN210" i="32"/>
  <c r="AL210" i="32"/>
  <c r="V211" i="32"/>
  <c r="AJ211" i="32"/>
  <c r="W211" i="32"/>
  <c r="X211" i="32" s="1"/>
  <c r="Z211" i="32"/>
  <c r="C211" i="32"/>
  <c r="E213" i="32"/>
  <c r="AL213" i="11" a="1"/>
  <c r="AL213" i="11" s="1"/>
  <c r="U211" i="32"/>
  <c r="AD211" i="32" s="1"/>
  <c r="AG211" i="32" s="1"/>
  <c r="AH211" i="32" s="1"/>
  <c r="AI211" i="32" s="1"/>
  <c r="AM211" i="32"/>
  <c r="A212" i="32"/>
  <c r="Q212" i="32" s="1"/>
  <c r="P212" i="32" s="1"/>
  <c r="M212" i="32"/>
  <c r="B212" i="32"/>
  <c r="R212" i="32" s="1"/>
  <c r="S212" i="32" s="1"/>
  <c r="F212" i="32"/>
  <c r="T212" i="32"/>
  <c r="N212" i="32"/>
  <c r="O212" i="32"/>
  <c r="I212" i="32"/>
  <c r="H212" i="32"/>
  <c r="J212" i="32"/>
  <c r="G212" i="32"/>
  <c r="K212" i="32"/>
  <c r="AK212" i="32"/>
  <c r="L212" i="32"/>
  <c r="D214" i="65" l="1"/>
  <c r="E214" i="65" s="1"/>
  <c r="F214" i="65" s="1"/>
  <c r="G214" i="65" s="1"/>
  <c r="H214" i="65" s="1"/>
  <c r="I214" i="65" s="1"/>
  <c r="J214" i="65" s="1"/>
  <c r="K214" i="65" s="1"/>
  <c r="P214" i="65"/>
  <c r="AM214" i="65"/>
  <c r="N214" i="65"/>
  <c r="B216" i="65"/>
  <c r="AO215" i="63" a="1"/>
  <c r="AO215" i="63" s="1"/>
  <c r="O215" i="65"/>
  <c r="C215" i="65"/>
  <c r="L215" i="65"/>
  <c r="M215" i="65" s="1"/>
  <c r="AF213" i="65"/>
  <c r="AE213" i="65"/>
  <c r="Q213" i="65"/>
  <c r="AH213" i="65"/>
  <c r="AV213" i="65"/>
  <c r="R213" i="65"/>
  <c r="S213" i="65" s="1"/>
  <c r="Y213" i="65" s="1"/>
  <c r="AB213" i="65" s="1"/>
  <c r="AC213" i="65" s="1"/>
  <c r="AD213" i="65" s="1"/>
  <c r="U213" i="65"/>
  <c r="AC213" i="53"/>
  <c r="Q213" i="53"/>
  <c r="R213" i="53"/>
  <c r="X213" i="53" s="1"/>
  <c r="AE213" i="53"/>
  <c r="AH213" i="53"/>
  <c r="AD213" i="53"/>
  <c r="AT213" i="53"/>
  <c r="AF212" i="53"/>
  <c r="B215" i="53"/>
  <c r="AK214" i="52" a="1"/>
  <c r="AK214" i="52" s="1"/>
  <c r="AA212" i="53"/>
  <c r="AB212" i="53"/>
  <c r="L214" i="53"/>
  <c r="P214" i="53"/>
  <c r="G214" i="53"/>
  <c r="I214" i="53"/>
  <c r="F214" i="53"/>
  <c r="M214" i="53"/>
  <c r="H214" i="53"/>
  <c r="D214" i="53"/>
  <c r="O214" i="53"/>
  <c r="C214" i="53"/>
  <c r="J214" i="53"/>
  <c r="E214" i="53"/>
  <c r="K214" i="53"/>
  <c r="N214" i="53"/>
  <c r="E214" i="32"/>
  <c r="AL214" i="11" a="1"/>
  <c r="AL214" i="11" s="1"/>
  <c r="T213" i="32"/>
  <c r="F213" i="32"/>
  <c r="O213" i="32"/>
  <c r="G213" i="32"/>
  <c r="M213" i="32"/>
  <c r="H213" i="32"/>
  <c r="N213" i="32"/>
  <c r="I213" i="32"/>
  <c r="AK213" i="32"/>
  <c r="J213" i="32"/>
  <c r="A213" i="32"/>
  <c r="Q213" i="32" s="1"/>
  <c r="P213" i="32" s="1"/>
  <c r="K213" i="32"/>
  <c r="B213" i="32"/>
  <c r="R213" i="32" s="1"/>
  <c r="S213" i="32" s="1"/>
  <c r="L213" i="32"/>
  <c r="U212" i="32"/>
  <c r="AD212" i="32" s="1"/>
  <c r="AG212" i="32" s="1"/>
  <c r="AH212" i="32" s="1"/>
  <c r="AI212" i="32" s="1"/>
  <c r="AM212" i="32"/>
  <c r="W212" i="32"/>
  <c r="X212" i="32" s="1"/>
  <c r="AJ212" i="32"/>
  <c r="Z212" i="32"/>
  <c r="C212" i="32"/>
  <c r="V212" i="32"/>
  <c r="AL211" i="32"/>
  <c r="AN211" i="32"/>
  <c r="AG213" i="65" l="1"/>
  <c r="P215" i="65"/>
  <c r="D215" i="65"/>
  <c r="E215" i="65" s="1"/>
  <c r="F215" i="65" s="1"/>
  <c r="G215" i="65" s="1"/>
  <c r="H215" i="65" s="1"/>
  <c r="I215" i="65" s="1"/>
  <c r="J215" i="65" s="1"/>
  <c r="K215" i="65" s="1"/>
  <c r="AM215" i="65"/>
  <c r="N215" i="65"/>
  <c r="B217" i="65"/>
  <c r="AO216" i="63" a="1"/>
  <c r="AO216" i="63" s="1"/>
  <c r="L216" i="65"/>
  <c r="M216" i="65" s="1"/>
  <c r="C216" i="65"/>
  <c r="O216" i="65"/>
  <c r="U214" i="65"/>
  <c r="AV214" i="65"/>
  <c r="Q214" i="65"/>
  <c r="AF214" i="65"/>
  <c r="AH214" i="65"/>
  <c r="AE214" i="65"/>
  <c r="R214" i="65"/>
  <c r="S214" i="65" s="1"/>
  <c r="Y214" i="65" s="1"/>
  <c r="AB214" i="65" s="1"/>
  <c r="AC214" i="65" s="1"/>
  <c r="AD214" i="65" s="1"/>
  <c r="AF213" i="53"/>
  <c r="B216" i="53"/>
  <c r="AK215" i="52" a="1"/>
  <c r="AK215" i="52" s="1"/>
  <c r="J215" i="53"/>
  <c r="M215" i="53"/>
  <c r="I215" i="53"/>
  <c r="O215" i="53"/>
  <c r="P215" i="53"/>
  <c r="K215" i="53"/>
  <c r="C215" i="53"/>
  <c r="H215" i="53"/>
  <c r="G215" i="53"/>
  <c r="N215" i="53"/>
  <c r="F215" i="53"/>
  <c r="L215" i="53"/>
  <c r="E215" i="53"/>
  <c r="D215" i="53"/>
  <c r="AG214" i="53"/>
  <c r="Q214" i="53"/>
  <c r="AH214" i="53"/>
  <c r="AD214" i="53"/>
  <c r="R214" i="53"/>
  <c r="X214" i="53" s="1"/>
  <c r="AE214" i="53"/>
  <c r="AT214" i="53"/>
  <c r="AC214" i="53"/>
  <c r="AB213" i="53"/>
  <c r="AA213" i="53"/>
  <c r="AN212" i="32"/>
  <c r="E215" i="32"/>
  <c r="AL215" i="11" a="1"/>
  <c r="AL215" i="11" s="1"/>
  <c r="M214" i="32"/>
  <c r="F214" i="32"/>
  <c r="K214" i="32"/>
  <c r="N214" i="32"/>
  <c r="AK214" i="32"/>
  <c r="G214" i="32"/>
  <c r="A214" i="32"/>
  <c r="Q214" i="32" s="1"/>
  <c r="P214" i="32" s="1"/>
  <c r="H214" i="32"/>
  <c r="B214" i="32"/>
  <c r="R214" i="32" s="1"/>
  <c r="S214" i="32" s="1"/>
  <c r="I214" i="32"/>
  <c r="T214" i="32"/>
  <c r="J214" i="32"/>
  <c r="O214" i="32"/>
  <c r="L214" i="32"/>
  <c r="AJ213" i="32"/>
  <c r="W213" i="32"/>
  <c r="X213" i="32" s="1"/>
  <c r="Z213" i="32"/>
  <c r="C213" i="32"/>
  <c r="V213" i="32"/>
  <c r="AL212" i="32"/>
  <c r="U213" i="32"/>
  <c r="AD213" i="32" s="1"/>
  <c r="AG213" i="32" s="1"/>
  <c r="AH213" i="32" s="1"/>
  <c r="AI213" i="32" s="1"/>
  <c r="AM213" i="32"/>
  <c r="B218" i="65" l="1"/>
  <c r="AO217" i="63" a="1"/>
  <c r="AO217" i="63" s="1"/>
  <c r="AG214" i="65"/>
  <c r="C217" i="65"/>
  <c r="L217" i="65"/>
  <c r="M217" i="65" s="1"/>
  <c r="O217" i="65"/>
  <c r="AH215" i="65"/>
  <c r="Q215" i="65"/>
  <c r="AF215" i="65"/>
  <c r="U215" i="65"/>
  <c r="R215" i="65"/>
  <c r="S215" i="65" s="1"/>
  <c r="Y215" i="65" s="1"/>
  <c r="AB215" i="65" s="1"/>
  <c r="AC215" i="65" s="1"/>
  <c r="AD215" i="65" s="1"/>
  <c r="AE215" i="65"/>
  <c r="AV215" i="65"/>
  <c r="D216" i="65"/>
  <c r="E216" i="65" s="1"/>
  <c r="F216" i="65" s="1"/>
  <c r="G216" i="65" s="1"/>
  <c r="H216" i="65" s="1"/>
  <c r="I216" i="65" s="1"/>
  <c r="J216" i="65" s="1"/>
  <c r="K216" i="65" s="1"/>
  <c r="P216" i="65"/>
  <c r="N216" i="65"/>
  <c r="AM216" i="65"/>
  <c r="B217" i="53"/>
  <c r="AK216" i="52" a="1"/>
  <c r="AK216" i="52" s="1"/>
  <c r="L216" i="53"/>
  <c r="P216" i="53"/>
  <c r="C216" i="53"/>
  <c r="N216" i="53"/>
  <c r="J216" i="53"/>
  <c r="E216" i="53"/>
  <c r="G216" i="53"/>
  <c r="K216" i="53"/>
  <c r="I216" i="53"/>
  <c r="M216" i="53"/>
  <c r="O216" i="53"/>
  <c r="AG216" i="53" s="1"/>
  <c r="F216" i="53"/>
  <c r="D216" i="53"/>
  <c r="H216" i="53"/>
  <c r="AF214" i="53"/>
  <c r="AG215" i="53"/>
  <c r="AB214" i="53"/>
  <c r="AA214" i="53"/>
  <c r="AH215" i="53"/>
  <c r="AE215" i="53"/>
  <c r="Q215" i="53"/>
  <c r="AD215" i="53"/>
  <c r="AC215" i="53"/>
  <c r="R215" i="53"/>
  <c r="X215" i="53" s="1"/>
  <c r="AT215" i="53"/>
  <c r="E216" i="32"/>
  <c r="AL216" i="11" a="1"/>
  <c r="AL216" i="11" s="1"/>
  <c r="AL213" i="32"/>
  <c r="M215" i="32"/>
  <c r="AK215" i="32"/>
  <c r="F215" i="32"/>
  <c r="A215" i="32"/>
  <c r="Q215" i="32" s="1"/>
  <c r="P215" i="32" s="1"/>
  <c r="N215" i="32"/>
  <c r="B215" i="32"/>
  <c r="R215" i="32" s="1"/>
  <c r="S215" i="32" s="1"/>
  <c r="G215" i="32"/>
  <c r="T215" i="32"/>
  <c r="H215" i="32"/>
  <c r="O215" i="32"/>
  <c r="I215" i="32"/>
  <c r="J215" i="32"/>
  <c r="L215" i="32"/>
  <c r="K215" i="32"/>
  <c r="AN213" i="32"/>
  <c r="U214" i="32"/>
  <c r="AD214" i="32" s="1"/>
  <c r="AG214" i="32" s="1"/>
  <c r="AH214" i="32" s="1"/>
  <c r="AI214" i="32" s="1"/>
  <c r="AM214" i="32"/>
  <c r="Z214" i="32"/>
  <c r="C214" i="32"/>
  <c r="V214" i="32"/>
  <c r="W214" i="32"/>
  <c r="X214" i="32" s="1"/>
  <c r="AJ214" i="32"/>
  <c r="B219" i="65" l="1"/>
  <c r="AO218" i="63" a="1"/>
  <c r="AO218" i="63" s="1"/>
  <c r="AG215" i="65"/>
  <c r="C218" i="65"/>
  <c r="L218" i="65"/>
  <c r="M218" i="65" s="1"/>
  <c r="O218" i="65"/>
  <c r="AF216" i="65"/>
  <c r="AH216" i="65"/>
  <c r="AE216" i="65"/>
  <c r="R216" i="65"/>
  <c r="S216" i="65" s="1"/>
  <c r="Y216" i="65" s="1"/>
  <c r="AB216" i="65" s="1"/>
  <c r="AC216" i="65" s="1"/>
  <c r="AD216" i="65" s="1"/>
  <c r="AV216" i="65"/>
  <c r="U216" i="65"/>
  <c r="Q216" i="65"/>
  <c r="N217" i="65"/>
  <c r="P217" i="65"/>
  <c r="AM217" i="65"/>
  <c r="D217" i="65"/>
  <c r="E217" i="65" s="1"/>
  <c r="F217" i="65" s="1"/>
  <c r="G217" i="65" s="1"/>
  <c r="H217" i="65" s="1"/>
  <c r="I217" i="65" s="1"/>
  <c r="J217" i="65" s="1"/>
  <c r="K217" i="65" s="1"/>
  <c r="AA215" i="53"/>
  <c r="AB215" i="53"/>
  <c r="M217" i="53"/>
  <c r="J217" i="53"/>
  <c r="I217" i="53"/>
  <c r="N217" i="53"/>
  <c r="G217" i="53"/>
  <c r="E217" i="53"/>
  <c r="P217" i="53"/>
  <c r="L217" i="53"/>
  <c r="H217" i="53"/>
  <c r="D217" i="53"/>
  <c r="O217" i="53"/>
  <c r="AG217" i="53" s="1"/>
  <c r="K217" i="53"/>
  <c r="F217" i="53"/>
  <c r="C217" i="53"/>
  <c r="AF215" i="53"/>
  <c r="B218" i="53"/>
  <c r="AK217" i="52" a="1"/>
  <c r="AK217" i="52" s="1"/>
  <c r="Q216" i="53"/>
  <c r="R216" i="53"/>
  <c r="X216" i="53" s="1"/>
  <c r="AD216" i="53"/>
  <c r="AC216" i="53"/>
  <c r="AH216" i="53"/>
  <c r="AT216" i="53"/>
  <c r="AE216" i="53"/>
  <c r="AL214" i="32"/>
  <c r="E217" i="32"/>
  <c r="AL217" i="11" a="1"/>
  <c r="AL217" i="11" s="1"/>
  <c r="V215" i="32"/>
  <c r="W215" i="32"/>
  <c r="X215" i="32" s="1"/>
  <c r="C215" i="32"/>
  <c r="Z215" i="32"/>
  <c r="AJ215" i="32"/>
  <c r="A216" i="32"/>
  <c r="Q216" i="32" s="1"/>
  <c r="P216" i="32" s="1"/>
  <c r="M216" i="32"/>
  <c r="B216" i="32"/>
  <c r="R216" i="32" s="1"/>
  <c r="S216" i="32" s="1"/>
  <c r="F216" i="32"/>
  <c r="T216" i="32"/>
  <c r="N216" i="32"/>
  <c r="O216" i="32"/>
  <c r="G216" i="32"/>
  <c r="H216" i="32"/>
  <c r="J216" i="32"/>
  <c r="I216" i="32"/>
  <c r="K216" i="32"/>
  <c r="AK216" i="32"/>
  <c r="L216" i="32"/>
  <c r="U215" i="32"/>
  <c r="AD215" i="32" s="1"/>
  <c r="AG215" i="32" s="1"/>
  <c r="AH215" i="32" s="1"/>
  <c r="AI215" i="32" s="1"/>
  <c r="AM215" i="32"/>
  <c r="AN214" i="32"/>
  <c r="C219" i="65" l="1"/>
  <c r="L219" i="65"/>
  <c r="M219" i="65" s="1"/>
  <c r="O219" i="65"/>
  <c r="AG216" i="65"/>
  <c r="R217" i="65"/>
  <c r="S217" i="65" s="1"/>
  <c r="Y217" i="65" s="1"/>
  <c r="AB217" i="65" s="1"/>
  <c r="AC217" i="65" s="1"/>
  <c r="AD217" i="65" s="1"/>
  <c r="AV217" i="65"/>
  <c r="AF217" i="65"/>
  <c r="AG217" i="65" s="1"/>
  <c r="U217" i="65"/>
  <c r="AE217" i="65"/>
  <c r="AH217" i="65"/>
  <c r="Q217" i="65"/>
  <c r="AM218" i="65"/>
  <c r="P218" i="65"/>
  <c r="N218" i="65"/>
  <c r="D218" i="65"/>
  <c r="E218" i="65" s="1"/>
  <c r="F218" i="65" s="1"/>
  <c r="G218" i="65" s="1"/>
  <c r="H218" i="65" s="1"/>
  <c r="I218" i="65" s="1"/>
  <c r="J218" i="65" s="1"/>
  <c r="K218" i="65" s="1"/>
  <c r="B220" i="65"/>
  <c r="AO219" i="63" a="1"/>
  <c r="AO219" i="63" s="1"/>
  <c r="AA216" i="53"/>
  <c r="AB216" i="53"/>
  <c r="AF216" i="53"/>
  <c r="F218" i="53"/>
  <c r="N218" i="53"/>
  <c r="I218" i="53"/>
  <c r="M218" i="53"/>
  <c r="J218" i="53"/>
  <c r="O218" i="53"/>
  <c r="K218" i="53"/>
  <c r="G218" i="53"/>
  <c r="P218" i="53"/>
  <c r="D218" i="53"/>
  <c r="H218" i="53"/>
  <c r="E218" i="53"/>
  <c r="L218" i="53"/>
  <c r="C218" i="53"/>
  <c r="B219" i="53"/>
  <c r="AK218" i="52" a="1"/>
  <c r="AK218" i="52" s="1"/>
  <c r="AT217" i="53"/>
  <c r="AC217" i="53"/>
  <c r="R217" i="53"/>
  <c r="X217" i="53" s="1"/>
  <c r="AH217" i="53"/>
  <c r="AE217" i="53"/>
  <c r="AD217" i="53"/>
  <c r="Q217" i="53"/>
  <c r="E218" i="32"/>
  <c r="AL218" i="11" a="1"/>
  <c r="AL218" i="11" s="1"/>
  <c r="T217" i="32"/>
  <c r="F217" i="32"/>
  <c r="O217" i="32"/>
  <c r="G217" i="32"/>
  <c r="M217" i="32"/>
  <c r="H217" i="32"/>
  <c r="N217" i="32"/>
  <c r="I217" i="32"/>
  <c r="AK217" i="32"/>
  <c r="J217" i="32"/>
  <c r="A217" i="32"/>
  <c r="Q217" i="32" s="1"/>
  <c r="P217" i="32" s="1"/>
  <c r="K217" i="32"/>
  <c r="B217" i="32"/>
  <c r="R217" i="32" s="1"/>
  <c r="S217" i="32" s="1"/>
  <c r="L217" i="32"/>
  <c r="U216" i="32"/>
  <c r="AD216" i="32" s="1"/>
  <c r="AG216" i="32" s="1"/>
  <c r="AH216" i="32" s="1"/>
  <c r="AI216" i="32" s="1"/>
  <c r="AM216" i="32"/>
  <c r="AL215" i="32"/>
  <c r="AN215" i="32"/>
  <c r="Z216" i="32"/>
  <c r="W216" i="32"/>
  <c r="X216" i="32" s="1"/>
  <c r="V216" i="32"/>
  <c r="AJ216" i="32"/>
  <c r="C216" i="32"/>
  <c r="B221" i="65" l="1"/>
  <c r="AO220" i="63" a="1"/>
  <c r="AO220" i="63" s="1"/>
  <c r="P219" i="65"/>
  <c r="AM219" i="65"/>
  <c r="N219" i="65"/>
  <c r="D219" i="65"/>
  <c r="E219" i="65" s="1"/>
  <c r="F219" i="65" s="1"/>
  <c r="G219" i="65" s="1"/>
  <c r="H219" i="65" s="1"/>
  <c r="I219" i="65" s="1"/>
  <c r="J219" i="65" s="1"/>
  <c r="K219" i="65" s="1"/>
  <c r="L220" i="65"/>
  <c r="M220" i="65" s="1"/>
  <c r="O220" i="65"/>
  <c r="C220" i="65"/>
  <c r="R218" i="65"/>
  <c r="S218" i="65" s="1"/>
  <c r="Y218" i="65" s="1"/>
  <c r="AB218" i="65" s="1"/>
  <c r="AC218" i="65" s="1"/>
  <c r="AD218" i="65" s="1"/>
  <c r="AV218" i="65"/>
  <c r="AE218" i="65"/>
  <c r="AF218" i="65"/>
  <c r="Q218" i="65"/>
  <c r="U218" i="65"/>
  <c r="AH218" i="65"/>
  <c r="K219" i="53"/>
  <c r="G219" i="53"/>
  <c r="E219" i="53"/>
  <c r="C219" i="53"/>
  <c r="H219" i="53"/>
  <c r="M219" i="53"/>
  <c r="P219" i="53"/>
  <c r="J219" i="53"/>
  <c r="O219" i="53"/>
  <c r="AG219" i="53" s="1"/>
  <c r="L219" i="53"/>
  <c r="F219" i="53"/>
  <c r="D219" i="53"/>
  <c r="I219" i="53"/>
  <c r="N219" i="53"/>
  <c r="AG218" i="53"/>
  <c r="AF217" i="53"/>
  <c r="R218" i="53"/>
  <c r="X218" i="53" s="1"/>
  <c r="AH218" i="53"/>
  <c r="AC218" i="53"/>
  <c r="AD218" i="53"/>
  <c r="AE218" i="53"/>
  <c r="AT218" i="53"/>
  <c r="Q218" i="53"/>
  <c r="AB217" i="53"/>
  <c r="AA217" i="53"/>
  <c r="B220" i="53"/>
  <c r="AK219" i="52" a="1"/>
  <c r="AK219" i="52" s="1"/>
  <c r="E219" i="32"/>
  <c r="AL219" i="11" a="1"/>
  <c r="AL219" i="11" s="1"/>
  <c r="K218" i="32"/>
  <c r="F218" i="32"/>
  <c r="L218" i="32"/>
  <c r="N218" i="32"/>
  <c r="AK218" i="32"/>
  <c r="G218" i="32"/>
  <c r="B218" i="32"/>
  <c r="R218" i="32" s="1"/>
  <c r="S218" i="32" s="1"/>
  <c r="I218" i="32"/>
  <c r="T218" i="32"/>
  <c r="J218" i="32"/>
  <c r="O218" i="32"/>
  <c r="M218" i="32"/>
  <c r="H218" i="32"/>
  <c r="A218" i="32"/>
  <c r="Q218" i="32" s="1"/>
  <c r="P218" i="32" s="1"/>
  <c r="AL216" i="32"/>
  <c r="Z217" i="32"/>
  <c r="C217" i="32"/>
  <c r="V217" i="32"/>
  <c r="W217" i="32"/>
  <c r="X217" i="32" s="1"/>
  <c r="AJ217" i="32"/>
  <c r="AN216" i="32"/>
  <c r="AM217" i="32"/>
  <c r="U217" i="32"/>
  <c r="AD217" i="32" s="1"/>
  <c r="AG217" i="32" s="1"/>
  <c r="AH217" i="32" s="1"/>
  <c r="AI217" i="32" s="1"/>
  <c r="P220" i="65" l="1"/>
  <c r="N220" i="65"/>
  <c r="AM220" i="65"/>
  <c r="D220" i="65"/>
  <c r="E220" i="65" s="1"/>
  <c r="F220" i="65" s="1"/>
  <c r="G220" i="65" s="1"/>
  <c r="H220" i="65" s="1"/>
  <c r="I220" i="65" s="1"/>
  <c r="J220" i="65" s="1"/>
  <c r="K220" i="65" s="1"/>
  <c r="O221" i="65"/>
  <c r="L221" i="65"/>
  <c r="M221" i="65" s="1"/>
  <c r="C221" i="65"/>
  <c r="AG218" i="65"/>
  <c r="R219" i="65"/>
  <c r="S219" i="65" s="1"/>
  <c r="Y219" i="65" s="1"/>
  <c r="AB219" i="65" s="1"/>
  <c r="AC219" i="65" s="1"/>
  <c r="AD219" i="65" s="1"/>
  <c r="AH219" i="65"/>
  <c r="AE219" i="65"/>
  <c r="AV219" i="65"/>
  <c r="AF219" i="65"/>
  <c r="Q219" i="65"/>
  <c r="U219" i="65"/>
  <c r="B222" i="65"/>
  <c r="AO221" i="63" a="1"/>
  <c r="AO221" i="63" s="1"/>
  <c r="AA218" i="53"/>
  <c r="AB218" i="53"/>
  <c r="AF218" i="53"/>
  <c r="Q219" i="53"/>
  <c r="R219" i="53"/>
  <c r="X219" i="53" s="1"/>
  <c r="AC219" i="53"/>
  <c r="AE219" i="53"/>
  <c r="AD219" i="53"/>
  <c r="AH219" i="53"/>
  <c r="AT219" i="53"/>
  <c r="B221" i="53"/>
  <c r="AK220" i="52" a="1"/>
  <c r="AK220" i="52" s="1"/>
  <c r="M220" i="53"/>
  <c r="C220" i="53"/>
  <c r="P220" i="53"/>
  <c r="O220" i="53"/>
  <c r="AG220" i="53" s="1"/>
  <c r="G220" i="53"/>
  <c r="I220" i="53"/>
  <c r="D220" i="53"/>
  <c r="E220" i="53"/>
  <c r="K220" i="53"/>
  <c r="J220" i="53"/>
  <c r="N220" i="53"/>
  <c r="L220" i="53"/>
  <c r="H220" i="53"/>
  <c r="F220" i="53"/>
  <c r="AJ218" i="32"/>
  <c r="W218" i="32"/>
  <c r="X218" i="32" s="1"/>
  <c r="Z218" i="32"/>
  <c r="C218" i="32"/>
  <c r="V218" i="32"/>
  <c r="B219" i="32"/>
  <c r="R219" i="32" s="1"/>
  <c r="S219" i="32" s="1"/>
  <c r="N219" i="32"/>
  <c r="G219" i="32"/>
  <c r="H219" i="32"/>
  <c r="I219" i="32"/>
  <c r="L219" i="32"/>
  <c r="K219" i="32"/>
  <c r="T219" i="32"/>
  <c r="M219" i="32"/>
  <c r="O219" i="32"/>
  <c r="A219" i="32"/>
  <c r="Q219" i="32" s="1"/>
  <c r="P219" i="32" s="1"/>
  <c r="F219" i="32"/>
  <c r="J219" i="32"/>
  <c r="AK219" i="32"/>
  <c r="E220" i="32"/>
  <c r="AL220" i="11" a="1"/>
  <c r="AL220" i="11" s="1"/>
  <c r="AL217" i="32"/>
  <c r="AN217" i="32"/>
  <c r="U218" i="32"/>
  <c r="AD218" i="32" s="1"/>
  <c r="AG218" i="32" s="1"/>
  <c r="AH218" i="32" s="1"/>
  <c r="AI218" i="32" s="1"/>
  <c r="AM218" i="32"/>
  <c r="B223" i="65" l="1"/>
  <c r="AO222" i="63" a="1"/>
  <c r="AO222" i="63" s="1"/>
  <c r="AV220" i="65"/>
  <c r="Q220" i="65"/>
  <c r="U220" i="65"/>
  <c r="AH220" i="65"/>
  <c r="AE220" i="65"/>
  <c r="R220" i="65"/>
  <c r="S220" i="65" s="1"/>
  <c r="Y220" i="65" s="1"/>
  <c r="AB220" i="65" s="1"/>
  <c r="AC220" i="65" s="1"/>
  <c r="AD220" i="65" s="1"/>
  <c r="AF220" i="65"/>
  <c r="AG220" i="65" s="1"/>
  <c r="O222" i="65"/>
  <c r="C222" i="65"/>
  <c r="L222" i="65"/>
  <c r="M222" i="65" s="1"/>
  <c r="D221" i="65"/>
  <c r="E221" i="65" s="1"/>
  <c r="F221" i="65" s="1"/>
  <c r="G221" i="65" s="1"/>
  <c r="H221" i="65" s="1"/>
  <c r="I221" i="65" s="1"/>
  <c r="J221" i="65" s="1"/>
  <c r="K221" i="65" s="1"/>
  <c r="AM221" i="65"/>
  <c r="N221" i="65"/>
  <c r="P221" i="65"/>
  <c r="AG219" i="65"/>
  <c r="AF219" i="53"/>
  <c r="AH220" i="53"/>
  <c r="AC220" i="53"/>
  <c r="AD220" i="53"/>
  <c r="AE220" i="53"/>
  <c r="Q220" i="53"/>
  <c r="R220" i="53"/>
  <c r="X220" i="53" s="1"/>
  <c r="AT220" i="53"/>
  <c r="AA219" i="53"/>
  <c r="AB219" i="53"/>
  <c r="B222" i="53"/>
  <c r="AK221" i="52" a="1"/>
  <c r="AK221" i="52" s="1"/>
  <c r="H221" i="53"/>
  <c r="D221" i="53"/>
  <c r="P221" i="53"/>
  <c r="F221" i="53"/>
  <c r="M221" i="53"/>
  <c r="E221" i="53"/>
  <c r="O221" i="53"/>
  <c r="AG221" i="53" s="1"/>
  <c r="C221" i="53"/>
  <c r="K221" i="53"/>
  <c r="J221" i="53"/>
  <c r="I221" i="53"/>
  <c r="N221" i="53"/>
  <c r="G221" i="53"/>
  <c r="L221" i="53"/>
  <c r="AL218" i="32"/>
  <c r="AN218" i="32"/>
  <c r="U219" i="32"/>
  <c r="AD219" i="32" s="1"/>
  <c r="AG219" i="32" s="1"/>
  <c r="AH219" i="32" s="1"/>
  <c r="AI219" i="32" s="1"/>
  <c r="AN219" i="32" s="1"/>
  <c r="AM219" i="32"/>
  <c r="AJ219" i="32"/>
  <c r="Z219" i="32"/>
  <c r="C219" i="32"/>
  <c r="V219" i="32"/>
  <c r="W219" i="32"/>
  <c r="X219" i="32" s="1"/>
  <c r="E221" i="32"/>
  <c r="AL221" i="11" a="1"/>
  <c r="AL221" i="11" s="1"/>
  <c r="F220" i="32"/>
  <c r="N220" i="32"/>
  <c r="H220" i="32"/>
  <c r="AK220" i="32"/>
  <c r="I220" i="32"/>
  <c r="O220" i="32"/>
  <c r="A220" i="32"/>
  <c r="Q220" i="32" s="1"/>
  <c r="P220" i="32" s="1"/>
  <c r="K220" i="32"/>
  <c r="B220" i="32"/>
  <c r="R220" i="32" s="1"/>
  <c r="S220" i="32" s="1"/>
  <c r="L220" i="32"/>
  <c r="M220" i="32"/>
  <c r="T220" i="32"/>
  <c r="J220" i="32"/>
  <c r="G220" i="32"/>
  <c r="B224" i="65" l="1"/>
  <c r="AO223" i="63" a="1"/>
  <c r="AO223" i="63" s="1"/>
  <c r="C223" i="65"/>
  <c r="O223" i="65"/>
  <c r="L223" i="65"/>
  <c r="M223" i="65" s="1"/>
  <c r="AF221" i="65"/>
  <c r="Q221" i="65"/>
  <c r="AV221" i="65"/>
  <c r="AH221" i="65"/>
  <c r="R221" i="65"/>
  <c r="S221" i="65" s="1"/>
  <c r="Y221" i="65" s="1"/>
  <c r="AB221" i="65" s="1"/>
  <c r="AC221" i="65" s="1"/>
  <c r="AD221" i="65" s="1"/>
  <c r="AE221" i="65"/>
  <c r="U221" i="65"/>
  <c r="AM222" i="65"/>
  <c r="D222" i="65"/>
  <c r="E222" i="65" s="1"/>
  <c r="F222" i="65" s="1"/>
  <c r="G222" i="65" s="1"/>
  <c r="H222" i="65" s="1"/>
  <c r="I222" i="65" s="1"/>
  <c r="J222" i="65" s="1"/>
  <c r="K222" i="65" s="1"/>
  <c r="N222" i="65"/>
  <c r="P222" i="65"/>
  <c r="AF220" i="53"/>
  <c r="AA220" i="53"/>
  <c r="AB220" i="53"/>
  <c r="AE221" i="53"/>
  <c r="AC221" i="53"/>
  <c r="R221" i="53"/>
  <c r="X221" i="53" s="1"/>
  <c r="Q221" i="53"/>
  <c r="AH221" i="53"/>
  <c r="AD221" i="53"/>
  <c r="AT221" i="53"/>
  <c r="B223" i="53"/>
  <c r="AK222" i="52" a="1"/>
  <c r="AK222" i="52" s="1"/>
  <c r="M222" i="53"/>
  <c r="P222" i="53"/>
  <c r="N222" i="53"/>
  <c r="F222" i="53"/>
  <c r="I222" i="53"/>
  <c r="D222" i="53"/>
  <c r="E222" i="53"/>
  <c r="H222" i="53"/>
  <c r="L222" i="53"/>
  <c r="O222" i="53"/>
  <c r="J222" i="53"/>
  <c r="C222" i="53"/>
  <c r="K222" i="53"/>
  <c r="G222" i="53"/>
  <c r="AL219" i="32"/>
  <c r="T221" i="32"/>
  <c r="H221" i="32"/>
  <c r="N221" i="32"/>
  <c r="O221" i="32"/>
  <c r="A221" i="32"/>
  <c r="Q221" i="32" s="1"/>
  <c r="P221" i="32" s="1"/>
  <c r="I221" i="32"/>
  <c r="B221" i="32"/>
  <c r="R221" i="32" s="1"/>
  <c r="S221" i="32" s="1"/>
  <c r="J221" i="32"/>
  <c r="K221" i="32"/>
  <c r="F221" i="32"/>
  <c r="G221" i="32"/>
  <c r="AK221" i="32"/>
  <c r="M221" i="32"/>
  <c r="L221" i="32"/>
  <c r="C220" i="32"/>
  <c r="Z220" i="32"/>
  <c r="W220" i="32"/>
  <c r="X220" i="32" s="1"/>
  <c r="V220" i="32"/>
  <c r="AJ220" i="32"/>
  <c r="U220" i="32"/>
  <c r="AD220" i="32" s="1"/>
  <c r="AG220" i="32" s="1"/>
  <c r="AH220" i="32" s="1"/>
  <c r="AI220" i="32" s="1"/>
  <c r="AM220" i="32"/>
  <c r="E222" i="32"/>
  <c r="AL222" i="11" a="1"/>
  <c r="AL222" i="11" s="1"/>
  <c r="B225" i="65" l="1"/>
  <c r="AO224" i="63" a="1"/>
  <c r="AO224" i="63" s="1"/>
  <c r="C224" i="65"/>
  <c r="L224" i="65"/>
  <c r="M224" i="65" s="1"/>
  <c r="O224" i="65"/>
  <c r="Y222" i="65"/>
  <c r="AB222" i="65" s="1"/>
  <c r="AC222" i="65" s="1"/>
  <c r="AD222" i="65" s="1"/>
  <c r="D223" i="65"/>
  <c r="E223" i="65" s="1"/>
  <c r="F223" i="65" s="1"/>
  <c r="G223" i="65" s="1"/>
  <c r="H223" i="65" s="1"/>
  <c r="I223" i="65" s="1"/>
  <c r="J223" i="65" s="1"/>
  <c r="K223" i="65" s="1"/>
  <c r="N223" i="65"/>
  <c r="P223" i="65"/>
  <c r="AM223" i="65"/>
  <c r="U222" i="65"/>
  <c r="AE222" i="65"/>
  <c r="Q222" i="65"/>
  <c r="AH222" i="65"/>
  <c r="AF222" i="65"/>
  <c r="R222" i="65"/>
  <c r="S222" i="65" s="1"/>
  <c r="AV222" i="65"/>
  <c r="AG221" i="65"/>
  <c r="AH222" i="53"/>
  <c r="AD222" i="53"/>
  <c r="R222" i="53"/>
  <c r="AT222" i="53"/>
  <c r="AE222" i="53"/>
  <c r="Q222" i="53"/>
  <c r="AC222" i="53"/>
  <c r="M223" i="53"/>
  <c r="I223" i="53"/>
  <c r="O223" i="53"/>
  <c r="AG223" i="53" s="1"/>
  <c r="J223" i="53"/>
  <c r="C223" i="53"/>
  <c r="P223" i="53"/>
  <c r="D223" i="53"/>
  <c r="G223" i="53"/>
  <c r="K223" i="53"/>
  <c r="H223" i="53"/>
  <c r="E223" i="53"/>
  <c r="N223" i="53"/>
  <c r="L223" i="53"/>
  <c r="F223" i="53"/>
  <c r="X222" i="53"/>
  <c r="AG222" i="53"/>
  <c r="AB221" i="53"/>
  <c r="AA221" i="53"/>
  <c r="B224" i="53"/>
  <c r="AK223" i="52" a="1"/>
  <c r="AK223" i="52" s="1"/>
  <c r="AF221" i="53"/>
  <c r="AL220" i="32"/>
  <c r="E223" i="32"/>
  <c r="AL223" i="11" a="1"/>
  <c r="AL223" i="11" s="1"/>
  <c r="AK222" i="32"/>
  <c r="L222" i="32"/>
  <c r="F222" i="32"/>
  <c r="M222" i="32"/>
  <c r="T222" i="32"/>
  <c r="N222" i="32"/>
  <c r="O222" i="32"/>
  <c r="A222" i="32"/>
  <c r="Q222" i="32" s="1"/>
  <c r="P222" i="32" s="1"/>
  <c r="G222" i="32"/>
  <c r="I222" i="32"/>
  <c r="J222" i="32"/>
  <c r="K222" i="32"/>
  <c r="H222" i="32"/>
  <c r="B222" i="32"/>
  <c r="R222" i="32" s="1"/>
  <c r="S222" i="32" s="1"/>
  <c r="Z221" i="32"/>
  <c r="W221" i="32"/>
  <c r="X221" i="32" s="1"/>
  <c r="AJ221" i="32"/>
  <c r="C221" i="32"/>
  <c r="V221" i="32"/>
  <c r="AM221" i="32"/>
  <c r="U221" i="32"/>
  <c r="AD221" i="32" s="1"/>
  <c r="AG221" i="32" s="1"/>
  <c r="AH221" i="32" s="1"/>
  <c r="AI221" i="32" s="1"/>
  <c r="AN220" i="32"/>
  <c r="L225" i="65" l="1"/>
  <c r="M225" i="65" s="1"/>
  <c r="O225" i="65"/>
  <c r="C225" i="65"/>
  <c r="AE223" i="65"/>
  <c r="AH223" i="65"/>
  <c r="R223" i="65"/>
  <c r="S223" i="65" s="1"/>
  <c r="Y223" i="65" s="1"/>
  <c r="AB223" i="65" s="1"/>
  <c r="AC223" i="65" s="1"/>
  <c r="AD223" i="65" s="1"/>
  <c r="AV223" i="65"/>
  <c r="U223" i="65"/>
  <c r="AF223" i="65"/>
  <c r="Q223" i="65"/>
  <c r="N224" i="65"/>
  <c r="D224" i="65"/>
  <c r="E224" i="65" s="1"/>
  <c r="F224" i="65" s="1"/>
  <c r="G224" i="65" s="1"/>
  <c r="H224" i="65" s="1"/>
  <c r="I224" i="65" s="1"/>
  <c r="J224" i="65" s="1"/>
  <c r="K224" i="65" s="1"/>
  <c r="P224" i="65"/>
  <c r="AM224" i="65"/>
  <c r="AG222" i="65"/>
  <c r="B226" i="65"/>
  <c r="AO225" i="63" a="1"/>
  <c r="AO225" i="63" s="1"/>
  <c r="AH223" i="53"/>
  <c r="AC223" i="53"/>
  <c r="AE223" i="53"/>
  <c r="AT223" i="53"/>
  <c r="Q223" i="53"/>
  <c r="R223" i="53"/>
  <c r="X223" i="53" s="1"/>
  <c r="AD223" i="53"/>
  <c r="AA222" i="53"/>
  <c r="AB222" i="53"/>
  <c r="AF222" i="53"/>
  <c r="B225" i="53"/>
  <c r="AK224" i="52" a="1"/>
  <c r="AK224" i="52" s="1"/>
  <c r="N224" i="53"/>
  <c r="D224" i="53"/>
  <c r="C224" i="53"/>
  <c r="I224" i="53"/>
  <c r="G224" i="53"/>
  <c r="M224" i="53"/>
  <c r="J224" i="53"/>
  <c r="K224" i="53"/>
  <c r="O224" i="53"/>
  <c r="AG224" i="53" s="1"/>
  <c r="E224" i="53"/>
  <c r="P224" i="53"/>
  <c r="F224" i="53"/>
  <c r="H224" i="53"/>
  <c r="L224" i="53"/>
  <c r="AN221" i="32"/>
  <c r="AL221" i="32"/>
  <c r="W222" i="32"/>
  <c r="X222" i="32" s="1"/>
  <c r="C222" i="32"/>
  <c r="Z222" i="32"/>
  <c r="V222" i="32"/>
  <c r="AJ222" i="32"/>
  <c r="U222" i="32"/>
  <c r="AD222" i="32" s="1"/>
  <c r="AG222" i="32" s="1"/>
  <c r="AH222" i="32" s="1"/>
  <c r="AI222" i="32" s="1"/>
  <c r="AM222" i="32"/>
  <c r="E224" i="32"/>
  <c r="AL224" i="11" a="1"/>
  <c r="AL224" i="11" s="1"/>
  <c r="M223" i="32"/>
  <c r="AK223" i="32"/>
  <c r="F223" i="32"/>
  <c r="A223" i="32"/>
  <c r="Q223" i="32" s="1"/>
  <c r="P223" i="32" s="1"/>
  <c r="N223" i="32"/>
  <c r="B223" i="32"/>
  <c r="R223" i="32" s="1"/>
  <c r="S223" i="32" s="1"/>
  <c r="G223" i="32"/>
  <c r="O223" i="32"/>
  <c r="I223" i="32"/>
  <c r="J223" i="32"/>
  <c r="L223" i="32"/>
  <c r="K223" i="32"/>
  <c r="H223" i="32"/>
  <c r="T223" i="32"/>
  <c r="B227" i="65" l="1"/>
  <c r="AO226" i="63" a="1"/>
  <c r="AO226" i="63" s="1"/>
  <c r="AG223" i="65"/>
  <c r="C226" i="65"/>
  <c r="O226" i="65"/>
  <c r="L226" i="65"/>
  <c r="M226" i="65" s="1"/>
  <c r="Q224" i="65"/>
  <c r="AH224" i="65"/>
  <c r="AF224" i="65"/>
  <c r="R224" i="65"/>
  <c r="S224" i="65" s="1"/>
  <c r="Y224" i="65" s="1"/>
  <c r="AB224" i="65" s="1"/>
  <c r="AC224" i="65" s="1"/>
  <c r="AD224" i="65" s="1"/>
  <c r="U224" i="65"/>
  <c r="AE224" i="65"/>
  <c r="AV224" i="65"/>
  <c r="D225" i="65"/>
  <c r="E225" i="65" s="1"/>
  <c r="F225" i="65" s="1"/>
  <c r="G225" i="65" s="1"/>
  <c r="H225" i="65" s="1"/>
  <c r="I225" i="65" s="1"/>
  <c r="J225" i="65" s="1"/>
  <c r="K225" i="65" s="1"/>
  <c r="P225" i="65"/>
  <c r="AM225" i="65"/>
  <c r="N225" i="65"/>
  <c r="Q224" i="53"/>
  <c r="R224" i="53"/>
  <c r="X224" i="53" s="1"/>
  <c r="AH224" i="53"/>
  <c r="AC224" i="53"/>
  <c r="AE224" i="53"/>
  <c r="AT224" i="53"/>
  <c r="AD224" i="53"/>
  <c r="AA223" i="53"/>
  <c r="AB223" i="53"/>
  <c r="B226" i="53"/>
  <c r="AK225" i="52" a="1"/>
  <c r="AK225" i="52" s="1"/>
  <c r="M225" i="53"/>
  <c r="K225" i="53"/>
  <c r="O225" i="53"/>
  <c r="AG225" i="53" s="1"/>
  <c r="E225" i="53"/>
  <c r="L225" i="53"/>
  <c r="F225" i="53"/>
  <c r="D225" i="53"/>
  <c r="I225" i="53"/>
  <c r="H225" i="53"/>
  <c r="C225" i="53"/>
  <c r="N225" i="53"/>
  <c r="J225" i="53"/>
  <c r="G225" i="53"/>
  <c r="P225" i="53"/>
  <c r="AF223" i="53"/>
  <c r="AN222" i="32"/>
  <c r="E225" i="32"/>
  <c r="AL225" i="11" a="1"/>
  <c r="AL225" i="11" s="1"/>
  <c r="C223" i="32"/>
  <c r="V223" i="32"/>
  <c r="AJ223" i="32"/>
  <c r="W223" i="32"/>
  <c r="X223" i="32" s="1"/>
  <c r="Z223" i="32"/>
  <c r="AL222" i="32"/>
  <c r="U223" i="32"/>
  <c r="AD223" i="32" s="1"/>
  <c r="AG223" i="32" s="1"/>
  <c r="AH223" i="32" s="1"/>
  <c r="AI223" i="32" s="1"/>
  <c r="AM223" i="32"/>
  <c r="AK224" i="32"/>
  <c r="L224" i="32"/>
  <c r="A224" i="32"/>
  <c r="Q224" i="32" s="1"/>
  <c r="P224" i="32" s="1"/>
  <c r="M224" i="32"/>
  <c r="B224" i="32"/>
  <c r="R224" i="32" s="1"/>
  <c r="S224" i="32" s="1"/>
  <c r="F224" i="32"/>
  <c r="T224" i="32"/>
  <c r="N224" i="32"/>
  <c r="I224" i="32"/>
  <c r="J224" i="32"/>
  <c r="H224" i="32"/>
  <c r="K224" i="32"/>
  <c r="O224" i="32"/>
  <c r="G224" i="32"/>
  <c r="B228" i="65" l="1"/>
  <c r="AO227" i="63" a="1"/>
  <c r="AO227" i="63" s="1"/>
  <c r="AV225" i="65"/>
  <c r="AF225" i="65"/>
  <c r="AH225" i="65"/>
  <c r="U225" i="65"/>
  <c r="Q225" i="65"/>
  <c r="R225" i="65"/>
  <c r="S225" i="65" s="1"/>
  <c r="Y225" i="65" s="1"/>
  <c r="AB225" i="65" s="1"/>
  <c r="AC225" i="65" s="1"/>
  <c r="AD225" i="65" s="1"/>
  <c r="AE225" i="65"/>
  <c r="AG224" i="65"/>
  <c r="C227" i="65"/>
  <c r="O227" i="65"/>
  <c r="L227" i="65"/>
  <c r="M227" i="65" s="1"/>
  <c r="P226" i="65"/>
  <c r="AM226" i="65"/>
  <c r="N226" i="65"/>
  <c r="D226" i="65"/>
  <c r="E226" i="65" s="1"/>
  <c r="F226" i="65" s="1"/>
  <c r="G226" i="65" s="1"/>
  <c r="H226" i="65" s="1"/>
  <c r="I226" i="65" s="1"/>
  <c r="J226" i="65" s="1"/>
  <c r="K226" i="65" s="1"/>
  <c r="AA224" i="53"/>
  <c r="AB224" i="53"/>
  <c r="N226" i="53"/>
  <c r="P226" i="53"/>
  <c r="I226" i="53"/>
  <c r="D226" i="53"/>
  <c r="L226" i="53"/>
  <c r="M226" i="53"/>
  <c r="J226" i="53"/>
  <c r="O226" i="53"/>
  <c r="AG226" i="53" s="1"/>
  <c r="K226" i="53"/>
  <c r="F226" i="53"/>
  <c r="G226" i="53"/>
  <c r="C226" i="53"/>
  <c r="H226" i="53"/>
  <c r="E226" i="53"/>
  <c r="AF224" i="53"/>
  <c r="AH225" i="53"/>
  <c r="AE225" i="53"/>
  <c r="AD225" i="53"/>
  <c r="AC225" i="53"/>
  <c r="R225" i="53"/>
  <c r="X225" i="53" s="1"/>
  <c r="Q225" i="53"/>
  <c r="AT225" i="53"/>
  <c r="B227" i="53"/>
  <c r="AK226" i="52" a="1"/>
  <c r="AK226" i="52" s="1"/>
  <c r="A225" i="32"/>
  <c r="Q225" i="32" s="1"/>
  <c r="P225" i="32" s="1"/>
  <c r="K225" i="32"/>
  <c r="B225" i="32"/>
  <c r="R225" i="32" s="1"/>
  <c r="S225" i="32" s="1"/>
  <c r="L225" i="32"/>
  <c r="T225" i="32"/>
  <c r="G225" i="32"/>
  <c r="O225" i="32"/>
  <c r="M225" i="32"/>
  <c r="H225" i="32"/>
  <c r="F225" i="32"/>
  <c r="I225" i="32"/>
  <c r="AK225" i="32"/>
  <c r="J225" i="32"/>
  <c r="N225" i="32"/>
  <c r="U224" i="32"/>
  <c r="AD224" i="32" s="1"/>
  <c r="AG224" i="32" s="1"/>
  <c r="AH224" i="32" s="1"/>
  <c r="AI224" i="32" s="1"/>
  <c r="AM224" i="32"/>
  <c r="Z224" i="32"/>
  <c r="C224" i="32"/>
  <c r="V224" i="32"/>
  <c r="W224" i="32"/>
  <c r="X224" i="32" s="1"/>
  <c r="AJ224" i="32"/>
  <c r="AL223" i="32"/>
  <c r="AN223" i="32"/>
  <c r="E226" i="32"/>
  <c r="AL226" i="11" a="1"/>
  <c r="AL226" i="11" s="1"/>
  <c r="N227" i="65" l="1"/>
  <c r="D227" i="65"/>
  <c r="E227" i="65" s="1"/>
  <c r="F227" i="65" s="1"/>
  <c r="G227" i="65" s="1"/>
  <c r="H227" i="65" s="1"/>
  <c r="I227" i="65" s="1"/>
  <c r="J227" i="65" s="1"/>
  <c r="K227" i="65" s="1"/>
  <c r="P227" i="65"/>
  <c r="AM227" i="65"/>
  <c r="L228" i="65"/>
  <c r="M228" i="65" s="1"/>
  <c r="C228" i="65"/>
  <c r="O228" i="65"/>
  <c r="Q226" i="65"/>
  <c r="R226" i="65"/>
  <c r="S226" i="65" s="1"/>
  <c r="Y226" i="65" s="1"/>
  <c r="AB226" i="65" s="1"/>
  <c r="AC226" i="65" s="1"/>
  <c r="AD226" i="65" s="1"/>
  <c r="AH226" i="65"/>
  <c r="AF226" i="65"/>
  <c r="AG226" i="65" s="1"/>
  <c r="U226" i="65"/>
  <c r="AV226" i="65"/>
  <c r="AE226" i="65"/>
  <c r="AG225" i="65"/>
  <c r="B229" i="65"/>
  <c r="AO228" i="63" a="1"/>
  <c r="AO228" i="63" s="1"/>
  <c r="AF225" i="53"/>
  <c r="AA225" i="53"/>
  <c r="AB225" i="53"/>
  <c r="E227" i="53"/>
  <c r="H227" i="53"/>
  <c r="I227" i="53"/>
  <c r="F227" i="53"/>
  <c r="N227" i="53"/>
  <c r="G227" i="53"/>
  <c r="C227" i="53"/>
  <c r="J227" i="53"/>
  <c r="D227" i="53"/>
  <c r="M227" i="53"/>
  <c r="L227" i="53"/>
  <c r="P227" i="53"/>
  <c r="O227" i="53"/>
  <c r="AG227" i="53" s="1"/>
  <c r="K227" i="53"/>
  <c r="AE226" i="53"/>
  <c r="R226" i="53"/>
  <c r="X226" i="53" s="1"/>
  <c r="Q226" i="53"/>
  <c r="AD226" i="53"/>
  <c r="AC226" i="53"/>
  <c r="AT226" i="53"/>
  <c r="AH226" i="53"/>
  <c r="B228" i="53"/>
  <c r="AK227" i="52" a="1"/>
  <c r="AK227" i="52" s="1"/>
  <c r="AN224" i="32"/>
  <c r="E227" i="32"/>
  <c r="AL227" i="11" a="1"/>
  <c r="AL227" i="11" s="1"/>
  <c r="T226" i="32"/>
  <c r="B226" i="32"/>
  <c r="R226" i="32" s="1"/>
  <c r="S226" i="32" s="1"/>
  <c r="I226" i="32"/>
  <c r="O226" i="32"/>
  <c r="J226" i="32"/>
  <c r="K226" i="32"/>
  <c r="L226" i="32"/>
  <c r="AK226" i="32"/>
  <c r="N226" i="32"/>
  <c r="G226" i="32"/>
  <c r="A226" i="32"/>
  <c r="Q226" i="32" s="1"/>
  <c r="P226" i="32" s="1"/>
  <c r="H226" i="32"/>
  <c r="F226" i="32"/>
  <c r="M226" i="32"/>
  <c r="C225" i="32"/>
  <c r="Z225" i="32"/>
  <c r="AJ225" i="32"/>
  <c r="V225" i="32"/>
  <c r="W225" i="32"/>
  <c r="X225" i="32" s="1"/>
  <c r="AL224" i="32"/>
  <c r="U225" i="32"/>
  <c r="AD225" i="32" s="1"/>
  <c r="AG225" i="32" s="1"/>
  <c r="AH225" i="32" s="1"/>
  <c r="AI225" i="32" s="1"/>
  <c r="AM225" i="32"/>
  <c r="Q227" i="65" l="1"/>
  <c r="AH227" i="65"/>
  <c r="U227" i="65"/>
  <c r="AV227" i="65"/>
  <c r="AF227" i="65"/>
  <c r="R227" i="65"/>
  <c r="S227" i="65" s="1"/>
  <c r="Y227" i="65" s="1"/>
  <c r="AB227" i="65" s="1"/>
  <c r="AC227" i="65" s="1"/>
  <c r="AD227" i="65" s="1"/>
  <c r="AE227" i="65"/>
  <c r="C229" i="65"/>
  <c r="O229" i="65"/>
  <c r="L229" i="65"/>
  <c r="M229" i="65" s="1"/>
  <c r="B230" i="65"/>
  <c r="AO229" i="63" a="1"/>
  <c r="AO229" i="63" s="1"/>
  <c r="P228" i="65"/>
  <c r="D228" i="65"/>
  <c r="E228" i="65" s="1"/>
  <c r="F228" i="65" s="1"/>
  <c r="G228" i="65" s="1"/>
  <c r="H228" i="65" s="1"/>
  <c r="I228" i="65" s="1"/>
  <c r="J228" i="65" s="1"/>
  <c r="K228" i="65" s="1"/>
  <c r="N228" i="65"/>
  <c r="AM228" i="65"/>
  <c r="B229" i="53"/>
  <c r="AK228" i="52" a="1"/>
  <c r="AK228" i="52" s="1"/>
  <c r="AF226" i="53"/>
  <c r="I228" i="53"/>
  <c r="N228" i="53"/>
  <c r="F228" i="53"/>
  <c r="K228" i="53"/>
  <c r="H228" i="53"/>
  <c r="M228" i="53"/>
  <c r="P228" i="53"/>
  <c r="J228" i="53"/>
  <c r="O228" i="53"/>
  <c r="AG228" i="53" s="1"/>
  <c r="D228" i="53"/>
  <c r="L228" i="53"/>
  <c r="C228" i="53"/>
  <c r="G228" i="53"/>
  <c r="E228" i="53"/>
  <c r="AA226" i="53"/>
  <c r="AB226" i="53"/>
  <c r="AH227" i="53"/>
  <c r="AD227" i="53"/>
  <c r="AC227" i="53"/>
  <c r="AE227" i="53"/>
  <c r="AT227" i="53"/>
  <c r="R227" i="53"/>
  <c r="X227" i="53" s="1"/>
  <c r="Q227" i="53"/>
  <c r="AL225" i="32"/>
  <c r="O227" i="32"/>
  <c r="J227" i="32"/>
  <c r="K227" i="32"/>
  <c r="L227" i="32"/>
  <c r="I227" i="32"/>
  <c r="M227" i="32"/>
  <c r="A227" i="32"/>
  <c r="Q227" i="32" s="1"/>
  <c r="P227" i="32" s="1"/>
  <c r="N227" i="32"/>
  <c r="B227" i="32"/>
  <c r="R227" i="32" s="1"/>
  <c r="S227" i="32" s="1"/>
  <c r="G227" i="32"/>
  <c r="T227" i="32"/>
  <c r="H227" i="32"/>
  <c r="AK227" i="32"/>
  <c r="F227" i="32"/>
  <c r="U226" i="32"/>
  <c r="AD226" i="32" s="1"/>
  <c r="AG226" i="32" s="1"/>
  <c r="AH226" i="32" s="1"/>
  <c r="AI226" i="32" s="1"/>
  <c r="AM226" i="32"/>
  <c r="AN225" i="32"/>
  <c r="W226" i="32"/>
  <c r="X226" i="32" s="1"/>
  <c r="AJ226" i="32"/>
  <c r="C226" i="32"/>
  <c r="V226" i="32"/>
  <c r="Z226" i="32"/>
  <c r="E228" i="32"/>
  <c r="AL228" i="11" a="1"/>
  <c r="AL228" i="11" s="1"/>
  <c r="N229" i="65" l="1"/>
  <c r="D229" i="65"/>
  <c r="E229" i="65" s="1"/>
  <c r="F229" i="65" s="1"/>
  <c r="G229" i="65" s="1"/>
  <c r="H229" i="65" s="1"/>
  <c r="I229" i="65" s="1"/>
  <c r="J229" i="65" s="1"/>
  <c r="K229" i="65" s="1"/>
  <c r="P229" i="65"/>
  <c r="AM229" i="65"/>
  <c r="AV228" i="65"/>
  <c r="U228" i="65"/>
  <c r="R228" i="65"/>
  <c r="S228" i="65" s="1"/>
  <c r="Y228" i="65" s="1"/>
  <c r="AB228" i="65" s="1"/>
  <c r="AC228" i="65" s="1"/>
  <c r="AD228" i="65" s="1"/>
  <c r="AE228" i="65"/>
  <c r="AH228" i="65"/>
  <c r="Q228" i="65"/>
  <c r="AF228" i="65"/>
  <c r="AG227" i="65"/>
  <c r="B231" i="65"/>
  <c r="AO230" i="63" a="1"/>
  <c r="AO230" i="63" s="1"/>
  <c r="C230" i="65"/>
  <c r="L230" i="65"/>
  <c r="M230" i="65" s="1"/>
  <c r="O230" i="65"/>
  <c r="AF227" i="53"/>
  <c r="B230" i="53"/>
  <c r="AK229" i="52" a="1"/>
  <c r="AK229" i="52" s="1"/>
  <c r="O229" i="53"/>
  <c r="D229" i="53"/>
  <c r="I229" i="53"/>
  <c r="F229" i="53"/>
  <c r="E229" i="53"/>
  <c r="P229" i="53"/>
  <c r="M229" i="53"/>
  <c r="H229" i="53"/>
  <c r="G229" i="53"/>
  <c r="L229" i="53"/>
  <c r="N229" i="53"/>
  <c r="J229" i="53"/>
  <c r="C229" i="53"/>
  <c r="K229" i="53"/>
  <c r="AB227" i="53"/>
  <c r="AA227" i="53"/>
  <c r="AC228" i="53"/>
  <c r="AH228" i="53"/>
  <c r="R228" i="53"/>
  <c r="X228" i="53" s="1"/>
  <c r="AE228" i="53"/>
  <c r="AD228" i="53"/>
  <c r="AT228" i="53"/>
  <c r="Q228" i="53"/>
  <c r="E229" i="32"/>
  <c r="AL229" i="11" a="1"/>
  <c r="AL229" i="11" s="1"/>
  <c r="J228" i="32"/>
  <c r="I228" i="32"/>
  <c r="K228" i="32"/>
  <c r="AK228" i="32"/>
  <c r="L228" i="32"/>
  <c r="A228" i="32"/>
  <c r="Q228" i="32" s="1"/>
  <c r="P228" i="32" s="1"/>
  <c r="M228" i="32"/>
  <c r="T228" i="32"/>
  <c r="N228" i="32"/>
  <c r="O228" i="32"/>
  <c r="G228" i="32"/>
  <c r="H228" i="32"/>
  <c r="B228" i="32"/>
  <c r="R228" i="32" s="1"/>
  <c r="S228" i="32" s="1"/>
  <c r="F228" i="32"/>
  <c r="AM227" i="32"/>
  <c r="U227" i="32"/>
  <c r="AD227" i="32" s="1"/>
  <c r="AG227" i="32" s="1"/>
  <c r="AH227" i="32" s="1"/>
  <c r="AI227" i="32" s="1"/>
  <c r="AN226" i="32"/>
  <c r="AL226" i="32"/>
  <c r="AJ227" i="32"/>
  <c r="W227" i="32"/>
  <c r="X227" i="32" s="1"/>
  <c r="C227" i="32"/>
  <c r="Z227" i="32"/>
  <c r="V227" i="32"/>
  <c r="O231" i="65" l="1"/>
  <c r="C231" i="65"/>
  <c r="L231" i="65"/>
  <c r="M231" i="65" s="1"/>
  <c r="AG228" i="65"/>
  <c r="AV229" i="65"/>
  <c r="U229" i="65"/>
  <c r="Q229" i="65"/>
  <c r="AE229" i="65"/>
  <c r="AF229" i="65"/>
  <c r="R229" i="65"/>
  <c r="S229" i="65" s="1"/>
  <c r="Y229" i="65" s="1"/>
  <c r="AB229" i="65" s="1"/>
  <c r="AC229" i="65" s="1"/>
  <c r="AD229" i="65" s="1"/>
  <c r="AH229" i="65"/>
  <c r="P230" i="65"/>
  <c r="AM230" i="65"/>
  <c r="N230" i="65"/>
  <c r="D230" i="65"/>
  <c r="E230" i="65" s="1"/>
  <c r="F230" i="65" s="1"/>
  <c r="G230" i="65" s="1"/>
  <c r="H230" i="65" s="1"/>
  <c r="I230" i="65" s="1"/>
  <c r="J230" i="65" s="1"/>
  <c r="K230" i="65" s="1"/>
  <c r="B232" i="65"/>
  <c r="AO231" i="63" a="1"/>
  <c r="AO231" i="63" s="1"/>
  <c r="AF228" i="53"/>
  <c r="AT229" i="53"/>
  <c r="AC229" i="53"/>
  <c r="AE229" i="53"/>
  <c r="Q229" i="53"/>
  <c r="R229" i="53"/>
  <c r="X229" i="53" s="1"/>
  <c r="AH229" i="53"/>
  <c r="AD229" i="53"/>
  <c r="J230" i="53"/>
  <c r="N230" i="53"/>
  <c r="C230" i="53"/>
  <c r="E230" i="53"/>
  <c r="K230" i="53"/>
  <c r="I230" i="53"/>
  <c r="L230" i="53"/>
  <c r="F230" i="53"/>
  <c r="G230" i="53"/>
  <c r="M230" i="53"/>
  <c r="D230" i="53"/>
  <c r="O230" i="53"/>
  <c r="H230" i="53"/>
  <c r="P230" i="53"/>
  <c r="AA228" i="53"/>
  <c r="AB228" i="53"/>
  <c r="AG229" i="53"/>
  <c r="B231" i="53"/>
  <c r="AK230" i="52" a="1"/>
  <c r="AK230" i="52" s="1"/>
  <c r="AN227" i="32"/>
  <c r="AM228" i="32"/>
  <c r="U228" i="32"/>
  <c r="AD228" i="32" s="1"/>
  <c r="AG228" i="32" s="1"/>
  <c r="AH228" i="32" s="1"/>
  <c r="AI228" i="32" s="1"/>
  <c r="C228" i="32"/>
  <c r="AJ228" i="32"/>
  <c r="W228" i="32"/>
  <c r="X228" i="32" s="1"/>
  <c r="Z228" i="32"/>
  <c r="V228" i="32"/>
  <c r="AL227" i="32"/>
  <c r="E230" i="32"/>
  <c r="AL230" i="11" a="1"/>
  <c r="AL230" i="11" s="1"/>
  <c r="M229" i="32"/>
  <c r="N229" i="32"/>
  <c r="F229" i="32"/>
  <c r="AK229" i="32"/>
  <c r="H229" i="32"/>
  <c r="G229" i="32"/>
  <c r="T229" i="32"/>
  <c r="J229" i="32"/>
  <c r="O229" i="32"/>
  <c r="A229" i="32"/>
  <c r="Q229" i="32" s="1"/>
  <c r="P229" i="32" s="1"/>
  <c r="K229" i="32"/>
  <c r="B229" i="32"/>
  <c r="R229" i="32" s="1"/>
  <c r="S229" i="32" s="1"/>
  <c r="L229" i="32"/>
  <c r="I229" i="32"/>
  <c r="B233" i="65" l="1"/>
  <c r="AO232" i="63" a="1"/>
  <c r="AO232" i="63" s="1"/>
  <c r="AG229" i="65"/>
  <c r="AM231" i="65"/>
  <c r="D231" i="65"/>
  <c r="E231" i="65" s="1"/>
  <c r="F231" i="65" s="1"/>
  <c r="G231" i="65" s="1"/>
  <c r="H231" i="65" s="1"/>
  <c r="I231" i="65" s="1"/>
  <c r="J231" i="65" s="1"/>
  <c r="K231" i="65" s="1"/>
  <c r="N231" i="65"/>
  <c r="P231" i="65"/>
  <c r="C232" i="65"/>
  <c r="L232" i="65"/>
  <c r="M232" i="65" s="1"/>
  <c r="O232" i="65"/>
  <c r="R230" i="65"/>
  <c r="S230" i="65" s="1"/>
  <c r="Y230" i="65" s="1"/>
  <c r="AB230" i="65" s="1"/>
  <c r="AC230" i="65" s="1"/>
  <c r="AD230" i="65" s="1"/>
  <c r="AE230" i="65"/>
  <c r="AF230" i="65"/>
  <c r="AV230" i="65"/>
  <c r="Q230" i="65"/>
  <c r="AH230" i="65"/>
  <c r="U230" i="65"/>
  <c r="AA229" i="53"/>
  <c r="AB229" i="53"/>
  <c r="AH230" i="53"/>
  <c r="R230" i="53"/>
  <c r="X230" i="53" s="1"/>
  <c r="AE230" i="53"/>
  <c r="AD230" i="53"/>
  <c r="AC230" i="53"/>
  <c r="Q230" i="53"/>
  <c r="AT230" i="53"/>
  <c r="B232" i="53"/>
  <c r="AK231" i="52" a="1"/>
  <c r="AK231" i="52" s="1"/>
  <c r="AG230" i="53"/>
  <c r="AF229" i="53"/>
  <c r="H231" i="53"/>
  <c r="I231" i="53"/>
  <c r="C231" i="53"/>
  <c r="K231" i="53"/>
  <c r="M231" i="53"/>
  <c r="F231" i="53"/>
  <c r="J231" i="53"/>
  <c r="N231" i="53"/>
  <c r="D231" i="53"/>
  <c r="O231" i="53"/>
  <c r="AG231" i="53" s="1"/>
  <c r="P231" i="53"/>
  <c r="E231" i="53"/>
  <c r="G231" i="53"/>
  <c r="L231" i="53"/>
  <c r="AL228" i="32"/>
  <c r="E231" i="32"/>
  <c r="AL231" i="11" a="1"/>
  <c r="AL231" i="11" s="1"/>
  <c r="AN228" i="32"/>
  <c r="AM229" i="32"/>
  <c r="U229" i="32"/>
  <c r="AD229" i="32" s="1"/>
  <c r="AG229" i="32" s="1"/>
  <c r="AH229" i="32" s="1"/>
  <c r="AI229" i="32" s="1"/>
  <c r="AJ229" i="32"/>
  <c r="C229" i="32"/>
  <c r="V229" i="32"/>
  <c r="Z229" i="32"/>
  <c r="W229" i="32"/>
  <c r="X229" i="32" s="1"/>
  <c r="I230" i="32"/>
  <c r="J230" i="32"/>
  <c r="AK230" i="32"/>
  <c r="K230" i="32"/>
  <c r="T230" i="32"/>
  <c r="L230" i="32"/>
  <c r="B230" i="32"/>
  <c r="R230" i="32" s="1"/>
  <c r="S230" i="32" s="1"/>
  <c r="N230" i="32"/>
  <c r="G230" i="32"/>
  <c r="H230" i="32"/>
  <c r="O230" i="32"/>
  <c r="F230" i="32"/>
  <c r="M230" i="32"/>
  <c r="A230" i="32"/>
  <c r="Q230" i="32" s="1"/>
  <c r="P230" i="32" s="1"/>
  <c r="B234" i="65" l="1"/>
  <c r="AO233" i="63" a="1"/>
  <c r="AO233" i="63" s="1"/>
  <c r="L233" i="65"/>
  <c r="M233" i="65" s="1"/>
  <c r="C233" i="65"/>
  <c r="O233" i="65"/>
  <c r="N232" i="65"/>
  <c r="AM232" i="65"/>
  <c r="P232" i="65"/>
  <c r="D232" i="65"/>
  <c r="E232" i="65" s="1"/>
  <c r="F232" i="65" s="1"/>
  <c r="G232" i="65" s="1"/>
  <c r="H232" i="65" s="1"/>
  <c r="I232" i="65" s="1"/>
  <c r="J232" i="65" s="1"/>
  <c r="K232" i="65" s="1"/>
  <c r="Y231" i="65"/>
  <c r="AB231" i="65" s="1"/>
  <c r="AC231" i="65" s="1"/>
  <c r="AD231" i="65" s="1"/>
  <c r="Q231" i="65"/>
  <c r="AE231" i="65"/>
  <c r="R231" i="65"/>
  <c r="S231" i="65" s="1"/>
  <c r="U231" i="65"/>
  <c r="AF231" i="65"/>
  <c r="AH231" i="65"/>
  <c r="AV231" i="65"/>
  <c r="AG230" i="65"/>
  <c r="AA230" i="53"/>
  <c r="AB230" i="53"/>
  <c r="AC231" i="53"/>
  <c r="Q231" i="53"/>
  <c r="AH231" i="53"/>
  <c r="R231" i="53"/>
  <c r="X231" i="53" s="1"/>
  <c r="AE231" i="53"/>
  <c r="AD231" i="53"/>
  <c r="AT231" i="53"/>
  <c r="K232" i="53"/>
  <c r="H232" i="53"/>
  <c r="E232" i="53"/>
  <c r="C232" i="53"/>
  <c r="N232" i="53"/>
  <c r="F232" i="53"/>
  <c r="O232" i="53"/>
  <c r="AG232" i="53" s="1"/>
  <c r="P232" i="53"/>
  <c r="L232" i="53"/>
  <c r="J232" i="53"/>
  <c r="D232" i="53"/>
  <c r="M232" i="53"/>
  <c r="I232" i="53"/>
  <c r="G232" i="53"/>
  <c r="AF230" i="53"/>
  <c r="B233" i="53"/>
  <c r="AK232" i="52" a="1"/>
  <c r="AK232" i="52" s="1"/>
  <c r="T231" i="32"/>
  <c r="L231" i="32"/>
  <c r="J231" i="32"/>
  <c r="O231" i="32"/>
  <c r="A231" i="32"/>
  <c r="Q231" i="32" s="1"/>
  <c r="P231" i="32" s="1"/>
  <c r="M231" i="32"/>
  <c r="B231" i="32"/>
  <c r="R231" i="32" s="1"/>
  <c r="S231" i="32" s="1"/>
  <c r="N231" i="32"/>
  <c r="F231" i="32"/>
  <c r="H231" i="32"/>
  <c r="K231" i="32"/>
  <c r="AK231" i="32"/>
  <c r="I231" i="32"/>
  <c r="G231" i="32"/>
  <c r="U230" i="32"/>
  <c r="AD230" i="32" s="1"/>
  <c r="AG230" i="32" s="1"/>
  <c r="AH230" i="32" s="1"/>
  <c r="AI230" i="32" s="1"/>
  <c r="AM230" i="32"/>
  <c r="E232" i="32"/>
  <c r="AL232" i="11" a="1"/>
  <c r="AL232" i="11" s="1"/>
  <c r="Z230" i="32"/>
  <c r="W230" i="32"/>
  <c r="X230" i="32" s="1"/>
  <c r="C230" i="32"/>
  <c r="AJ230" i="32"/>
  <c r="V230" i="32"/>
  <c r="AN229" i="32"/>
  <c r="AL229" i="32"/>
  <c r="B235" i="65" l="1"/>
  <c r="AO234" i="63" a="1"/>
  <c r="AO234" i="63" s="1"/>
  <c r="O234" i="65"/>
  <c r="C234" i="65"/>
  <c r="L234" i="65"/>
  <c r="M234" i="65" s="1"/>
  <c r="AG231" i="65"/>
  <c r="AV232" i="65"/>
  <c r="AE232" i="65"/>
  <c r="AH232" i="65"/>
  <c r="AF232" i="65"/>
  <c r="U232" i="65"/>
  <c r="Q232" i="65"/>
  <c r="R232" i="65"/>
  <c r="S232" i="65" s="1"/>
  <c r="Y232" i="65" s="1"/>
  <c r="AB232" i="65" s="1"/>
  <c r="AC232" i="65" s="1"/>
  <c r="AD232" i="65" s="1"/>
  <c r="P233" i="65"/>
  <c r="D233" i="65"/>
  <c r="E233" i="65" s="1"/>
  <c r="F233" i="65" s="1"/>
  <c r="G233" i="65" s="1"/>
  <c r="H233" i="65" s="1"/>
  <c r="I233" i="65" s="1"/>
  <c r="J233" i="65" s="1"/>
  <c r="K233" i="65" s="1"/>
  <c r="AM233" i="65"/>
  <c r="N233" i="65"/>
  <c r="AF231" i="53"/>
  <c r="B234" i="53"/>
  <c r="AK233" i="52" a="1"/>
  <c r="AK233" i="52" s="1"/>
  <c r="AB231" i="53"/>
  <c r="AA231" i="53"/>
  <c r="AD232" i="53"/>
  <c r="AC232" i="53"/>
  <c r="Q232" i="53"/>
  <c r="AH232" i="53"/>
  <c r="R232" i="53"/>
  <c r="X232" i="53" s="1"/>
  <c r="AE232" i="53"/>
  <c r="AT232" i="53"/>
  <c r="C233" i="53"/>
  <c r="E233" i="53"/>
  <c r="I233" i="53"/>
  <c r="M233" i="53"/>
  <c r="J233" i="53"/>
  <c r="G233" i="53"/>
  <c r="N233" i="53"/>
  <c r="O233" i="53"/>
  <c r="H233" i="53"/>
  <c r="P233" i="53"/>
  <c r="L233" i="53"/>
  <c r="F233" i="53"/>
  <c r="K233" i="53"/>
  <c r="D233" i="53"/>
  <c r="E233" i="32"/>
  <c r="AL233" i="11" a="1"/>
  <c r="AL233" i="11" s="1"/>
  <c r="AK232" i="32"/>
  <c r="H232" i="32"/>
  <c r="J232" i="32"/>
  <c r="I232" i="32"/>
  <c r="T232" i="32"/>
  <c r="K232" i="32"/>
  <c r="O232" i="32"/>
  <c r="A232" i="32"/>
  <c r="Q232" i="32" s="1"/>
  <c r="P232" i="32" s="1"/>
  <c r="L232" i="32"/>
  <c r="F232" i="32"/>
  <c r="N232" i="32"/>
  <c r="G232" i="32"/>
  <c r="M232" i="32"/>
  <c r="B232" i="32"/>
  <c r="R232" i="32" s="1"/>
  <c r="S232" i="32" s="1"/>
  <c r="U231" i="32"/>
  <c r="AD231" i="32" s="1"/>
  <c r="AG231" i="32" s="1"/>
  <c r="AH231" i="32" s="1"/>
  <c r="AI231" i="32" s="1"/>
  <c r="AN231" i="32" s="1"/>
  <c r="AM231" i="32"/>
  <c r="AN230" i="32"/>
  <c r="Z231" i="32"/>
  <c r="AJ231" i="32"/>
  <c r="W231" i="32"/>
  <c r="X231" i="32" s="1"/>
  <c r="C231" i="32"/>
  <c r="V231" i="32"/>
  <c r="AL230" i="32"/>
  <c r="AG232" i="65" l="1"/>
  <c r="AF233" i="65"/>
  <c r="AV233" i="65"/>
  <c r="R233" i="65"/>
  <c r="S233" i="65" s="1"/>
  <c r="U233" i="65"/>
  <c r="AE233" i="65"/>
  <c r="Q233" i="65"/>
  <c r="AH233" i="65"/>
  <c r="L235" i="65"/>
  <c r="M235" i="65" s="1"/>
  <c r="O235" i="65"/>
  <c r="C235" i="65"/>
  <c r="Y233" i="65"/>
  <c r="AB233" i="65" s="1"/>
  <c r="AC233" i="65" s="1"/>
  <c r="AD233" i="65" s="1"/>
  <c r="D234" i="65"/>
  <c r="E234" i="65" s="1"/>
  <c r="F234" i="65" s="1"/>
  <c r="G234" i="65" s="1"/>
  <c r="H234" i="65" s="1"/>
  <c r="I234" i="65" s="1"/>
  <c r="J234" i="65" s="1"/>
  <c r="K234" i="65" s="1"/>
  <c r="AM234" i="65"/>
  <c r="P234" i="65"/>
  <c r="N234" i="65"/>
  <c r="B236" i="65"/>
  <c r="AO235" i="63" a="1"/>
  <c r="AO235" i="63" s="1"/>
  <c r="AF232" i="53"/>
  <c r="N234" i="53"/>
  <c r="I234" i="53"/>
  <c r="K234" i="53"/>
  <c r="H234" i="53"/>
  <c r="D234" i="53"/>
  <c r="M234" i="53"/>
  <c r="P234" i="53"/>
  <c r="L234" i="53"/>
  <c r="J234" i="53"/>
  <c r="O234" i="53"/>
  <c r="E234" i="53"/>
  <c r="G234" i="53"/>
  <c r="F234" i="53"/>
  <c r="C234" i="53"/>
  <c r="AT233" i="53"/>
  <c r="AC233" i="53"/>
  <c r="R233" i="53"/>
  <c r="X233" i="53" s="1"/>
  <c r="AD233" i="53"/>
  <c r="AE233" i="53"/>
  <c r="Q233" i="53"/>
  <c r="AH233" i="53"/>
  <c r="AB232" i="53"/>
  <c r="AA232" i="53"/>
  <c r="B235" i="53"/>
  <c r="AK234" i="52" a="1"/>
  <c r="AK234" i="52" s="1"/>
  <c r="AG233" i="53"/>
  <c r="I233" i="32"/>
  <c r="AK233" i="32"/>
  <c r="J233" i="32"/>
  <c r="B233" i="32"/>
  <c r="R233" i="32" s="1"/>
  <c r="S233" i="32" s="1"/>
  <c r="L233" i="32"/>
  <c r="O233" i="32"/>
  <c r="F233" i="32"/>
  <c r="G233" i="32"/>
  <c r="H233" i="32"/>
  <c r="M233" i="32"/>
  <c r="T233" i="32"/>
  <c r="K233" i="32"/>
  <c r="N233" i="32"/>
  <c r="A233" i="32"/>
  <c r="Q233" i="32" s="1"/>
  <c r="P233" i="32" s="1"/>
  <c r="AJ232" i="32"/>
  <c r="V232" i="32"/>
  <c r="W232" i="32"/>
  <c r="X232" i="32" s="1"/>
  <c r="C232" i="32"/>
  <c r="Z232" i="32"/>
  <c r="E234" i="32"/>
  <c r="AL234" i="11" a="1"/>
  <c r="AL234" i="11" s="1"/>
  <c r="AM232" i="32"/>
  <c r="U232" i="32"/>
  <c r="AD232" i="32" s="1"/>
  <c r="AG232" i="32" s="1"/>
  <c r="AH232" i="32" s="1"/>
  <c r="AI232" i="32" s="1"/>
  <c r="AL231" i="32"/>
  <c r="B237" i="65" l="1"/>
  <c r="AO236" i="63" a="1"/>
  <c r="AO236" i="63" s="1"/>
  <c r="AG233" i="65"/>
  <c r="L236" i="65"/>
  <c r="M236" i="65" s="1"/>
  <c r="C236" i="65"/>
  <c r="O236" i="65"/>
  <c r="Y234" i="65"/>
  <c r="AB234" i="65" s="1"/>
  <c r="AC234" i="65" s="1"/>
  <c r="AD234" i="65" s="1"/>
  <c r="AH234" i="65"/>
  <c r="Q234" i="65"/>
  <c r="AV234" i="65"/>
  <c r="AE234" i="65"/>
  <c r="R234" i="65"/>
  <c r="S234" i="65" s="1"/>
  <c r="AF234" i="65"/>
  <c r="U234" i="65"/>
  <c r="N235" i="65"/>
  <c r="AM235" i="65"/>
  <c r="P235" i="65"/>
  <c r="D235" i="65"/>
  <c r="E235" i="65" s="1"/>
  <c r="F235" i="65" s="1"/>
  <c r="G235" i="65" s="1"/>
  <c r="H235" i="65" s="1"/>
  <c r="I235" i="65" s="1"/>
  <c r="J235" i="65" s="1"/>
  <c r="K235" i="65" s="1"/>
  <c r="AB233" i="53"/>
  <c r="AA233" i="53"/>
  <c r="J235" i="53"/>
  <c r="E235" i="53"/>
  <c r="N235" i="53"/>
  <c r="I235" i="53"/>
  <c r="H235" i="53"/>
  <c r="L235" i="53"/>
  <c r="G235" i="53"/>
  <c r="M235" i="53"/>
  <c r="C235" i="53"/>
  <c r="K235" i="53"/>
  <c r="P235" i="53"/>
  <c r="O235" i="53"/>
  <c r="D235" i="53"/>
  <c r="F235" i="53"/>
  <c r="R234" i="53"/>
  <c r="X234" i="53" s="1"/>
  <c r="AE234" i="53"/>
  <c r="AD234" i="53"/>
  <c r="AH234" i="53"/>
  <c r="Q234" i="53"/>
  <c r="AT234" i="53"/>
  <c r="AC234" i="53"/>
  <c r="B236" i="53"/>
  <c r="AK235" i="52" a="1"/>
  <c r="AK235" i="52" s="1"/>
  <c r="AF233" i="53"/>
  <c r="AG234" i="53"/>
  <c r="AL232" i="32"/>
  <c r="AN232" i="32"/>
  <c r="E235" i="32"/>
  <c r="AL235" i="11" a="1"/>
  <c r="AL235" i="11" s="1"/>
  <c r="J234" i="32"/>
  <c r="K234" i="32"/>
  <c r="T234" i="32"/>
  <c r="AK234" i="32"/>
  <c r="F234" i="32"/>
  <c r="M234" i="32"/>
  <c r="G234" i="32"/>
  <c r="A234" i="32"/>
  <c r="Q234" i="32" s="1"/>
  <c r="P234" i="32" s="1"/>
  <c r="H234" i="32"/>
  <c r="B234" i="32"/>
  <c r="R234" i="32" s="1"/>
  <c r="S234" i="32" s="1"/>
  <c r="I234" i="32"/>
  <c r="O234" i="32"/>
  <c r="N234" i="32"/>
  <c r="L234" i="32"/>
  <c r="Z233" i="32"/>
  <c r="V233" i="32"/>
  <c r="AJ233" i="32"/>
  <c r="W233" i="32"/>
  <c r="X233" i="32" s="1"/>
  <c r="C233" i="32"/>
  <c r="U233" i="32"/>
  <c r="AD233" i="32" s="1"/>
  <c r="AG233" i="32" s="1"/>
  <c r="AH233" i="32" s="1"/>
  <c r="AI233" i="32" s="1"/>
  <c r="AM233" i="32"/>
  <c r="C237" i="65" l="1"/>
  <c r="O237" i="65"/>
  <c r="L237" i="65"/>
  <c r="M237" i="65" s="1"/>
  <c r="Q235" i="65"/>
  <c r="AV235" i="65"/>
  <c r="U235" i="65"/>
  <c r="AE235" i="65"/>
  <c r="AH235" i="65"/>
  <c r="R235" i="65"/>
  <c r="S235" i="65" s="1"/>
  <c r="Y235" i="65" s="1"/>
  <c r="AB235" i="65" s="1"/>
  <c r="AC235" i="65" s="1"/>
  <c r="AD235" i="65" s="1"/>
  <c r="AF235" i="65"/>
  <c r="AG234" i="65"/>
  <c r="N236" i="65"/>
  <c r="D236" i="65"/>
  <c r="E236" i="65" s="1"/>
  <c r="F236" i="65" s="1"/>
  <c r="G236" i="65" s="1"/>
  <c r="H236" i="65" s="1"/>
  <c r="I236" i="65" s="1"/>
  <c r="J236" i="65" s="1"/>
  <c r="K236" i="65" s="1"/>
  <c r="P236" i="65"/>
  <c r="AM236" i="65"/>
  <c r="B238" i="65"/>
  <c r="AO237" i="63" a="1"/>
  <c r="AO237" i="63" s="1"/>
  <c r="AA234" i="53"/>
  <c r="AB234" i="53"/>
  <c r="B237" i="53"/>
  <c r="AK236" i="52" a="1"/>
  <c r="AK236" i="52" s="1"/>
  <c r="M236" i="53"/>
  <c r="C236" i="53"/>
  <c r="O236" i="53"/>
  <c r="AG236" i="53" s="1"/>
  <c r="H236" i="53"/>
  <c r="F236" i="53"/>
  <c r="E236" i="53"/>
  <c r="G236" i="53"/>
  <c r="D236" i="53"/>
  <c r="J236" i="53"/>
  <c r="K236" i="53"/>
  <c r="L236" i="53"/>
  <c r="I236" i="53"/>
  <c r="N236" i="53"/>
  <c r="P236" i="53"/>
  <c r="AF234" i="53"/>
  <c r="AT235" i="53"/>
  <c r="R235" i="53"/>
  <c r="X235" i="53" s="1"/>
  <c r="Q235" i="53"/>
  <c r="AE235" i="53"/>
  <c r="AH235" i="53"/>
  <c r="AC235" i="53"/>
  <c r="AD235" i="53"/>
  <c r="AG235" i="53"/>
  <c r="E236" i="32"/>
  <c r="AL236" i="11" a="1"/>
  <c r="AL236" i="11" s="1"/>
  <c r="V234" i="32"/>
  <c r="W234" i="32"/>
  <c r="X234" i="32" s="1"/>
  <c r="C234" i="32"/>
  <c r="Z234" i="32"/>
  <c r="AJ234" i="32"/>
  <c r="AN233" i="32"/>
  <c r="G235" i="32"/>
  <c r="H235" i="32"/>
  <c r="J235" i="32"/>
  <c r="T235" i="32"/>
  <c r="B235" i="32"/>
  <c r="R235" i="32" s="1"/>
  <c r="S235" i="32" s="1"/>
  <c r="M235" i="32"/>
  <c r="O235" i="32"/>
  <c r="N235" i="32"/>
  <c r="F235" i="32"/>
  <c r="L235" i="32"/>
  <c r="AK235" i="32"/>
  <c r="I235" i="32"/>
  <c r="A235" i="32"/>
  <c r="Q235" i="32" s="1"/>
  <c r="P235" i="32" s="1"/>
  <c r="K235" i="32"/>
  <c r="U234" i="32"/>
  <c r="AD234" i="32" s="1"/>
  <c r="AG234" i="32" s="1"/>
  <c r="AH234" i="32" s="1"/>
  <c r="AI234" i="32" s="1"/>
  <c r="AM234" i="32"/>
  <c r="AL233" i="32"/>
  <c r="B239" i="65" l="1"/>
  <c r="AO238" i="63" a="1"/>
  <c r="AO238" i="63" s="1"/>
  <c r="N237" i="65"/>
  <c r="D237" i="65"/>
  <c r="E237" i="65" s="1"/>
  <c r="F237" i="65" s="1"/>
  <c r="G237" i="65" s="1"/>
  <c r="H237" i="65" s="1"/>
  <c r="I237" i="65" s="1"/>
  <c r="J237" i="65" s="1"/>
  <c r="K237" i="65" s="1"/>
  <c r="AM237" i="65"/>
  <c r="P237" i="65"/>
  <c r="O238" i="65"/>
  <c r="C238" i="65"/>
  <c r="L238" i="65"/>
  <c r="M238" i="65" s="1"/>
  <c r="AG235" i="65"/>
  <c r="Y236" i="65"/>
  <c r="AB236" i="65" s="1"/>
  <c r="AC236" i="65" s="1"/>
  <c r="AD236" i="65" s="1"/>
  <c r="R236" i="65"/>
  <c r="S236" i="65" s="1"/>
  <c r="Q236" i="65"/>
  <c r="AH236" i="65"/>
  <c r="U236" i="65"/>
  <c r="AF236" i="65"/>
  <c r="AV236" i="65"/>
  <c r="AE236" i="65"/>
  <c r="AF235" i="53"/>
  <c r="AB235" i="53"/>
  <c r="AA235" i="53"/>
  <c r="AT236" i="53"/>
  <c r="Q236" i="53"/>
  <c r="AD236" i="53"/>
  <c r="AE236" i="53"/>
  <c r="R236" i="53"/>
  <c r="X236" i="53" s="1"/>
  <c r="AH236" i="53"/>
  <c r="AC236" i="53"/>
  <c r="B238" i="53"/>
  <c r="AK237" i="52" a="1"/>
  <c r="AK237" i="52" s="1"/>
  <c r="F237" i="53"/>
  <c r="L237" i="53"/>
  <c r="H237" i="53"/>
  <c r="G237" i="53"/>
  <c r="N237" i="53"/>
  <c r="I237" i="53"/>
  <c r="J237" i="53"/>
  <c r="M237" i="53"/>
  <c r="C237" i="53"/>
  <c r="P237" i="53"/>
  <c r="E237" i="53"/>
  <c r="O237" i="53"/>
  <c r="K237" i="53"/>
  <c r="D237" i="53"/>
  <c r="AL234" i="32"/>
  <c r="E237" i="32"/>
  <c r="AL237" i="11" a="1"/>
  <c r="AL237" i="11" s="1"/>
  <c r="V235" i="32"/>
  <c r="C235" i="32"/>
  <c r="Z235" i="32"/>
  <c r="W235" i="32"/>
  <c r="X235" i="32" s="1"/>
  <c r="AJ235" i="32"/>
  <c r="AN234" i="32"/>
  <c r="AM235" i="32"/>
  <c r="U235" i="32"/>
  <c r="AD235" i="32" s="1"/>
  <c r="AG235" i="32" s="1"/>
  <c r="AH235" i="32" s="1"/>
  <c r="AI235" i="32" s="1"/>
  <c r="O236" i="32"/>
  <c r="H236" i="32"/>
  <c r="I236" i="32"/>
  <c r="L236" i="32"/>
  <c r="A236" i="32"/>
  <c r="Q236" i="32" s="1"/>
  <c r="P236" i="32" s="1"/>
  <c r="F236" i="32"/>
  <c r="B236" i="32"/>
  <c r="R236" i="32" s="1"/>
  <c r="S236" i="32" s="1"/>
  <c r="N236" i="32"/>
  <c r="T236" i="32"/>
  <c r="G236" i="32"/>
  <c r="AK236" i="32"/>
  <c r="K236" i="32"/>
  <c r="M236" i="32"/>
  <c r="J236" i="32"/>
  <c r="B240" i="65" l="1"/>
  <c r="AO239" i="63" a="1"/>
  <c r="AO239" i="63" s="1"/>
  <c r="L239" i="65"/>
  <c r="M239" i="65" s="1"/>
  <c r="C239" i="65"/>
  <c r="O239" i="65"/>
  <c r="AG236" i="65"/>
  <c r="P238" i="65"/>
  <c r="N238" i="65"/>
  <c r="AM238" i="65"/>
  <c r="D238" i="65"/>
  <c r="E238" i="65" s="1"/>
  <c r="F238" i="65" s="1"/>
  <c r="G238" i="65" s="1"/>
  <c r="H238" i="65" s="1"/>
  <c r="I238" i="65" s="1"/>
  <c r="J238" i="65" s="1"/>
  <c r="K238" i="65" s="1"/>
  <c r="Y237" i="65"/>
  <c r="AB237" i="65" s="1"/>
  <c r="AC237" i="65" s="1"/>
  <c r="AD237" i="65" s="1"/>
  <c r="AF237" i="65"/>
  <c r="R237" i="65"/>
  <c r="S237" i="65" s="1"/>
  <c r="AH237" i="65"/>
  <c r="AE237" i="65"/>
  <c r="Q237" i="65"/>
  <c r="AV237" i="65"/>
  <c r="U237" i="65"/>
  <c r="AG237" i="53"/>
  <c r="AF236" i="53"/>
  <c r="Q237" i="53"/>
  <c r="R237" i="53"/>
  <c r="X237" i="53" s="1"/>
  <c r="AD237" i="53"/>
  <c r="AH237" i="53"/>
  <c r="AT237" i="53"/>
  <c r="AE237" i="53"/>
  <c r="AC237" i="53"/>
  <c r="AA236" i="53"/>
  <c r="AB236" i="53"/>
  <c r="B239" i="53"/>
  <c r="AK238" i="52" a="1"/>
  <c r="AK238" i="52" s="1"/>
  <c r="M238" i="53"/>
  <c r="L238" i="53"/>
  <c r="O238" i="53"/>
  <c r="P238" i="53"/>
  <c r="H238" i="53"/>
  <c r="F238" i="53"/>
  <c r="I238" i="53"/>
  <c r="D238" i="53"/>
  <c r="G238" i="53"/>
  <c r="C238" i="53"/>
  <c r="K238" i="53"/>
  <c r="E238" i="53"/>
  <c r="N238" i="53"/>
  <c r="J238" i="53"/>
  <c r="V236" i="32"/>
  <c r="Z236" i="32"/>
  <c r="AJ236" i="32"/>
  <c r="C236" i="32"/>
  <c r="W236" i="32"/>
  <c r="X236" i="32" s="1"/>
  <c r="O237" i="32"/>
  <c r="A237" i="32"/>
  <c r="Q237" i="32" s="1"/>
  <c r="P237" i="32" s="1"/>
  <c r="K237" i="32"/>
  <c r="B237" i="32"/>
  <c r="R237" i="32" s="1"/>
  <c r="S237" i="32" s="1"/>
  <c r="L237" i="32"/>
  <c r="N237" i="32"/>
  <c r="G237" i="32"/>
  <c r="I237" i="32"/>
  <c r="H237" i="32"/>
  <c r="T237" i="32"/>
  <c r="J237" i="32"/>
  <c r="M237" i="32"/>
  <c r="F237" i="32"/>
  <c r="AK237" i="32"/>
  <c r="AM236" i="32"/>
  <c r="U236" i="32"/>
  <c r="AD236" i="32" s="1"/>
  <c r="AG236" i="32" s="1"/>
  <c r="AH236" i="32" s="1"/>
  <c r="AI236" i="32" s="1"/>
  <c r="AN235" i="32"/>
  <c r="AL235" i="32"/>
  <c r="E238" i="32"/>
  <c r="AL238" i="11" a="1"/>
  <c r="AL238" i="11" s="1"/>
  <c r="L240" i="65" l="1"/>
  <c r="M240" i="65" s="1"/>
  <c r="C240" i="65"/>
  <c r="O240" i="65"/>
  <c r="R238" i="65"/>
  <c r="S238" i="65" s="1"/>
  <c r="AE238" i="65"/>
  <c r="AH238" i="65"/>
  <c r="AF238" i="65"/>
  <c r="U238" i="65"/>
  <c r="Q238" i="65"/>
  <c r="AV238" i="65"/>
  <c r="Y238" i="65"/>
  <c r="AB238" i="65" s="1"/>
  <c r="AC238" i="65" s="1"/>
  <c r="AD238" i="65" s="1"/>
  <c r="AG237" i="65"/>
  <c r="AM239" i="65"/>
  <c r="P239" i="65"/>
  <c r="N239" i="65"/>
  <c r="D239" i="65"/>
  <c r="E239" i="65" s="1"/>
  <c r="F239" i="65" s="1"/>
  <c r="G239" i="65" s="1"/>
  <c r="H239" i="65" s="1"/>
  <c r="I239" i="65" s="1"/>
  <c r="J239" i="65" s="1"/>
  <c r="K239" i="65" s="1"/>
  <c r="B241" i="65"/>
  <c r="AO240" i="63" a="1"/>
  <c r="AO240" i="63" s="1"/>
  <c r="AG238" i="53"/>
  <c r="R238" i="53"/>
  <c r="X238" i="53" s="1"/>
  <c r="AE238" i="53"/>
  <c r="AC238" i="53"/>
  <c r="AH238" i="53"/>
  <c r="Q238" i="53"/>
  <c r="AD238" i="53"/>
  <c r="AT238" i="53"/>
  <c r="B240" i="53"/>
  <c r="AK239" i="52" a="1"/>
  <c r="AK239" i="52" s="1"/>
  <c r="L239" i="53"/>
  <c r="G239" i="53"/>
  <c r="N239" i="53"/>
  <c r="H239" i="53"/>
  <c r="F239" i="53"/>
  <c r="C239" i="53"/>
  <c r="D239" i="53"/>
  <c r="M239" i="53"/>
  <c r="J239" i="53"/>
  <c r="E239" i="53"/>
  <c r="O239" i="53"/>
  <c r="P239" i="53"/>
  <c r="I239" i="53"/>
  <c r="K239" i="53"/>
  <c r="AA237" i="53"/>
  <c r="AB237" i="53"/>
  <c r="AF237" i="53"/>
  <c r="AL236" i="32"/>
  <c r="E239" i="32"/>
  <c r="AL239" i="11" a="1"/>
  <c r="AL239" i="11" s="1"/>
  <c r="W237" i="32"/>
  <c r="X237" i="32" s="1"/>
  <c r="V237" i="32"/>
  <c r="C237" i="32"/>
  <c r="Z237" i="32"/>
  <c r="AJ237" i="32"/>
  <c r="AN236" i="32"/>
  <c r="J238" i="32"/>
  <c r="N238" i="32"/>
  <c r="M238" i="32"/>
  <c r="T238" i="32"/>
  <c r="AK238" i="32"/>
  <c r="G238" i="32"/>
  <c r="L238" i="32"/>
  <c r="O238" i="32"/>
  <c r="A238" i="32"/>
  <c r="Q238" i="32" s="1"/>
  <c r="P238" i="32" s="1"/>
  <c r="H238" i="32"/>
  <c r="B238" i="32"/>
  <c r="R238" i="32" s="1"/>
  <c r="S238" i="32" s="1"/>
  <c r="I238" i="32"/>
  <c r="F238" i="32"/>
  <c r="K238" i="32"/>
  <c r="AM237" i="32"/>
  <c r="U237" i="32"/>
  <c r="AD237" i="32" s="1"/>
  <c r="AG237" i="32" s="1"/>
  <c r="AH237" i="32" s="1"/>
  <c r="AI237" i="32" s="1"/>
  <c r="Y239" i="65" l="1"/>
  <c r="AB239" i="65" s="1"/>
  <c r="AC239" i="65" s="1"/>
  <c r="AD239" i="65" s="1"/>
  <c r="B242" i="65"/>
  <c r="AO241" i="63" a="1"/>
  <c r="AO241" i="63" s="1"/>
  <c r="P240" i="65"/>
  <c r="AM240" i="65"/>
  <c r="D240" i="65"/>
  <c r="E240" i="65" s="1"/>
  <c r="F240" i="65" s="1"/>
  <c r="G240" i="65" s="1"/>
  <c r="H240" i="65" s="1"/>
  <c r="I240" i="65" s="1"/>
  <c r="J240" i="65" s="1"/>
  <c r="K240" i="65" s="1"/>
  <c r="N240" i="65"/>
  <c r="AE239" i="65"/>
  <c r="U239" i="65"/>
  <c r="AF239" i="65"/>
  <c r="AG239" i="65" s="1"/>
  <c r="Q239" i="65"/>
  <c r="R239" i="65"/>
  <c r="S239" i="65" s="1"/>
  <c r="AH239" i="65"/>
  <c r="AV239" i="65"/>
  <c r="L241" i="65"/>
  <c r="M241" i="65" s="1"/>
  <c r="O241" i="65"/>
  <c r="C241" i="65"/>
  <c r="AG238" i="65"/>
  <c r="AF238" i="53"/>
  <c r="AA238" i="53"/>
  <c r="AB238" i="53"/>
  <c r="R239" i="53"/>
  <c r="X239" i="53" s="1"/>
  <c r="AC239" i="53"/>
  <c r="AD239" i="53"/>
  <c r="AH239" i="53"/>
  <c r="AT239" i="53"/>
  <c r="Q239" i="53"/>
  <c r="AE239" i="53"/>
  <c r="P240" i="53"/>
  <c r="M240" i="53"/>
  <c r="E240" i="53"/>
  <c r="I240" i="53"/>
  <c r="O240" i="53"/>
  <c r="AG240" i="53" s="1"/>
  <c r="C240" i="53"/>
  <c r="G240" i="53"/>
  <c r="D240" i="53"/>
  <c r="F240" i="53"/>
  <c r="K240" i="53"/>
  <c r="N240" i="53"/>
  <c r="L240" i="53"/>
  <c r="H240" i="53"/>
  <c r="J240" i="53"/>
  <c r="AG239" i="53"/>
  <c r="B241" i="53"/>
  <c r="AK240" i="52" a="1"/>
  <c r="AK240" i="52" s="1"/>
  <c r="AL237" i="32"/>
  <c r="V238" i="32"/>
  <c r="C238" i="32"/>
  <c r="Z238" i="32"/>
  <c r="W238" i="32"/>
  <c r="X238" i="32" s="1"/>
  <c r="AJ238" i="32"/>
  <c r="AN237" i="32"/>
  <c r="E240" i="32"/>
  <c r="AL240" i="11" a="1"/>
  <c r="AL240" i="11" s="1"/>
  <c r="AM238" i="32"/>
  <c r="U238" i="32"/>
  <c r="AD238" i="32" s="1"/>
  <c r="AG238" i="32" s="1"/>
  <c r="AH238" i="32" s="1"/>
  <c r="AI238" i="32" s="1"/>
  <c r="AK239" i="32"/>
  <c r="K239" i="32"/>
  <c r="T239" i="32"/>
  <c r="L239" i="32"/>
  <c r="F239" i="32"/>
  <c r="B239" i="32"/>
  <c r="R239" i="32" s="1"/>
  <c r="S239" i="32" s="1"/>
  <c r="H239" i="32"/>
  <c r="J239" i="32"/>
  <c r="M239" i="32"/>
  <c r="A239" i="32"/>
  <c r="Q239" i="32" s="1"/>
  <c r="P239" i="32" s="1"/>
  <c r="G239" i="32"/>
  <c r="I239" i="32"/>
  <c r="O239" i="32"/>
  <c r="N239" i="32"/>
  <c r="B243" i="65" l="1"/>
  <c r="AO242" i="63" a="1"/>
  <c r="AO242" i="63" s="1"/>
  <c r="O242" i="65"/>
  <c r="L242" i="65"/>
  <c r="M242" i="65" s="1"/>
  <c r="C242" i="65"/>
  <c r="N241" i="65"/>
  <c r="AM241" i="65"/>
  <c r="P241" i="65"/>
  <c r="D241" i="65"/>
  <c r="E241" i="65" s="1"/>
  <c r="F241" i="65" s="1"/>
  <c r="G241" i="65" s="1"/>
  <c r="H241" i="65" s="1"/>
  <c r="I241" i="65" s="1"/>
  <c r="J241" i="65" s="1"/>
  <c r="K241" i="65" s="1"/>
  <c r="U240" i="65"/>
  <c r="Q240" i="65"/>
  <c r="AV240" i="65"/>
  <c r="AH240" i="65"/>
  <c r="AF240" i="65"/>
  <c r="R240" i="65"/>
  <c r="S240" i="65" s="1"/>
  <c r="Y240" i="65" s="1"/>
  <c r="AB240" i="65" s="1"/>
  <c r="AC240" i="65" s="1"/>
  <c r="AD240" i="65" s="1"/>
  <c r="AE240" i="65"/>
  <c r="D241" i="53"/>
  <c r="C241" i="53"/>
  <c r="P241" i="53"/>
  <c r="J241" i="53"/>
  <c r="H241" i="53"/>
  <c r="N241" i="53"/>
  <c r="K241" i="53"/>
  <c r="L241" i="53"/>
  <c r="F241" i="53"/>
  <c r="M241" i="53"/>
  <c r="E241" i="53"/>
  <c r="O241" i="53"/>
  <c r="G241" i="53"/>
  <c r="I241" i="53"/>
  <c r="B242" i="53"/>
  <c r="AK241" i="52" a="1"/>
  <c r="AK241" i="52" s="1"/>
  <c r="AH240" i="53"/>
  <c r="AE240" i="53"/>
  <c r="Q240" i="53"/>
  <c r="AD240" i="53"/>
  <c r="AC240" i="53"/>
  <c r="AT240" i="53"/>
  <c r="R240" i="53"/>
  <c r="X240" i="53" s="1"/>
  <c r="AB239" i="53"/>
  <c r="AA239" i="53"/>
  <c r="AF239" i="53"/>
  <c r="E241" i="32"/>
  <c r="AL241" i="11" a="1"/>
  <c r="AL241" i="11" s="1"/>
  <c r="AL238" i="32"/>
  <c r="I240" i="32"/>
  <c r="AK240" i="32"/>
  <c r="K240" i="32"/>
  <c r="H240" i="32"/>
  <c r="T240" i="32"/>
  <c r="B240" i="32"/>
  <c r="R240" i="32" s="1"/>
  <c r="S240" i="32" s="1"/>
  <c r="F240" i="32"/>
  <c r="J240" i="32"/>
  <c r="G240" i="32"/>
  <c r="O240" i="32"/>
  <c r="M240" i="32"/>
  <c r="N240" i="32"/>
  <c r="L240" i="32"/>
  <c r="A240" i="32"/>
  <c r="Q240" i="32" s="1"/>
  <c r="P240" i="32" s="1"/>
  <c r="U239" i="32"/>
  <c r="AD239" i="32" s="1"/>
  <c r="AG239" i="32" s="1"/>
  <c r="AH239" i="32" s="1"/>
  <c r="AI239" i="32" s="1"/>
  <c r="AM239" i="32"/>
  <c r="V239" i="32"/>
  <c r="C239" i="32"/>
  <c r="AJ239" i="32"/>
  <c r="W239" i="32"/>
  <c r="X239" i="32" s="1"/>
  <c r="Z239" i="32"/>
  <c r="AN238" i="32"/>
  <c r="C243" i="65" l="1"/>
  <c r="L243" i="65"/>
  <c r="M243" i="65" s="1"/>
  <c r="O243" i="65"/>
  <c r="AG240" i="65"/>
  <c r="AV241" i="65"/>
  <c r="AE241" i="65"/>
  <c r="R241" i="65"/>
  <c r="S241" i="65" s="1"/>
  <c r="Y241" i="65" s="1"/>
  <c r="AB241" i="65" s="1"/>
  <c r="AC241" i="65" s="1"/>
  <c r="AD241" i="65" s="1"/>
  <c r="AF241" i="65"/>
  <c r="Q241" i="65"/>
  <c r="AH241" i="65"/>
  <c r="U241" i="65"/>
  <c r="N242" i="65"/>
  <c r="D242" i="65"/>
  <c r="E242" i="65" s="1"/>
  <c r="F242" i="65" s="1"/>
  <c r="G242" i="65" s="1"/>
  <c r="H242" i="65" s="1"/>
  <c r="I242" i="65" s="1"/>
  <c r="J242" i="65" s="1"/>
  <c r="K242" i="65" s="1"/>
  <c r="P242" i="65"/>
  <c r="AM242" i="65"/>
  <c r="B244" i="65"/>
  <c r="AO243" i="63" a="1"/>
  <c r="AO243" i="63" s="1"/>
  <c r="AF240" i="53"/>
  <c r="AA240" i="53"/>
  <c r="AB240" i="53"/>
  <c r="M242" i="53"/>
  <c r="J242" i="53"/>
  <c r="O242" i="53"/>
  <c r="AG242" i="53" s="1"/>
  <c r="F242" i="53"/>
  <c r="C242" i="53"/>
  <c r="G242" i="53"/>
  <c r="H242" i="53"/>
  <c r="L242" i="53"/>
  <c r="D242" i="53"/>
  <c r="P242" i="53"/>
  <c r="E242" i="53"/>
  <c r="N242" i="53"/>
  <c r="K242" i="53"/>
  <c r="I242" i="53"/>
  <c r="AE241" i="53"/>
  <c r="R241" i="53"/>
  <c r="AD241" i="53"/>
  <c r="Q241" i="53"/>
  <c r="AT241" i="53"/>
  <c r="AH241" i="53"/>
  <c r="AC241" i="53"/>
  <c r="B243" i="53"/>
  <c r="AK242" i="52" a="1"/>
  <c r="AK242" i="52" s="1"/>
  <c r="X241" i="53"/>
  <c r="AG241" i="53"/>
  <c r="I241" i="32"/>
  <c r="M241" i="32"/>
  <c r="K241" i="32"/>
  <c r="T241" i="32"/>
  <c r="F241" i="32"/>
  <c r="H241" i="32"/>
  <c r="O241" i="32"/>
  <c r="L241" i="32"/>
  <c r="N241" i="32"/>
  <c r="AK241" i="32"/>
  <c r="J241" i="32"/>
  <c r="A241" i="32"/>
  <c r="Q241" i="32" s="1"/>
  <c r="P241" i="32" s="1"/>
  <c r="G241" i="32"/>
  <c r="B241" i="32"/>
  <c r="R241" i="32" s="1"/>
  <c r="S241" i="32" s="1"/>
  <c r="E242" i="32"/>
  <c r="AL242" i="11" a="1"/>
  <c r="AL242" i="11" s="1"/>
  <c r="U240" i="32"/>
  <c r="AD240" i="32" s="1"/>
  <c r="AG240" i="32" s="1"/>
  <c r="AH240" i="32" s="1"/>
  <c r="AI240" i="32" s="1"/>
  <c r="AM240" i="32"/>
  <c r="AL239" i="32"/>
  <c r="AN239" i="32"/>
  <c r="Z240" i="32"/>
  <c r="AJ240" i="32"/>
  <c r="V240" i="32"/>
  <c r="C240" i="32"/>
  <c r="W240" i="32"/>
  <c r="X240" i="32" s="1"/>
  <c r="B245" i="65" l="1"/>
  <c r="AO244" i="63" a="1"/>
  <c r="AO244" i="63" s="1"/>
  <c r="C244" i="65"/>
  <c r="L244" i="65"/>
  <c r="M244" i="65" s="1"/>
  <c r="O244" i="65"/>
  <c r="AG241" i="65"/>
  <c r="AM243" i="65"/>
  <c r="D243" i="65"/>
  <c r="E243" i="65" s="1"/>
  <c r="F243" i="65" s="1"/>
  <c r="G243" i="65" s="1"/>
  <c r="H243" i="65" s="1"/>
  <c r="I243" i="65" s="1"/>
  <c r="J243" i="65" s="1"/>
  <c r="K243" i="65" s="1"/>
  <c r="N243" i="65"/>
  <c r="P243" i="65"/>
  <c r="Y242" i="65"/>
  <c r="AB242" i="65" s="1"/>
  <c r="AC242" i="65" s="1"/>
  <c r="AD242" i="65" s="1"/>
  <c r="AF242" i="65"/>
  <c r="AE242" i="65"/>
  <c r="AV242" i="65"/>
  <c r="Q242" i="65"/>
  <c r="U242" i="65"/>
  <c r="R242" i="65"/>
  <c r="S242" i="65" s="1"/>
  <c r="AH242" i="65"/>
  <c r="B244" i="53"/>
  <c r="AK243" i="52" a="1"/>
  <c r="AK243" i="52" s="1"/>
  <c r="M243" i="53"/>
  <c r="K243" i="53"/>
  <c r="F243" i="53"/>
  <c r="O243" i="53"/>
  <c r="P243" i="53"/>
  <c r="L243" i="53"/>
  <c r="H243" i="53"/>
  <c r="G243" i="53"/>
  <c r="E243" i="53"/>
  <c r="N243" i="53"/>
  <c r="J243" i="53"/>
  <c r="C243" i="53"/>
  <c r="I243" i="53"/>
  <c r="D243" i="53"/>
  <c r="AF241" i="53"/>
  <c r="AB241" i="53"/>
  <c r="AA241" i="53"/>
  <c r="AH242" i="53"/>
  <c r="AE242" i="53"/>
  <c r="R242" i="53"/>
  <c r="X242" i="53" s="1"/>
  <c r="Q242" i="53"/>
  <c r="AT242" i="53"/>
  <c r="AC242" i="53"/>
  <c r="AD242" i="53"/>
  <c r="E243" i="32"/>
  <c r="AL243" i="11" a="1"/>
  <c r="AL243" i="11" s="1"/>
  <c r="I242" i="32"/>
  <c r="AK242" i="32"/>
  <c r="J242" i="32"/>
  <c r="O242" i="32"/>
  <c r="L242" i="32"/>
  <c r="G242" i="32"/>
  <c r="N242" i="32"/>
  <c r="T242" i="32"/>
  <c r="M242" i="32"/>
  <c r="F242" i="32"/>
  <c r="H242" i="32"/>
  <c r="A242" i="32"/>
  <c r="Q242" i="32" s="1"/>
  <c r="P242" i="32" s="1"/>
  <c r="K242" i="32"/>
  <c r="B242" i="32"/>
  <c r="R242" i="32" s="1"/>
  <c r="S242" i="32" s="1"/>
  <c r="AN240" i="32"/>
  <c r="V241" i="32"/>
  <c r="W241" i="32"/>
  <c r="X241" i="32" s="1"/>
  <c r="Z241" i="32"/>
  <c r="AJ241" i="32"/>
  <c r="C241" i="32"/>
  <c r="AM241" i="32"/>
  <c r="U241" i="32"/>
  <c r="AD241" i="32" s="1"/>
  <c r="AG241" i="32" s="1"/>
  <c r="AH241" i="32" s="1"/>
  <c r="AI241" i="32" s="1"/>
  <c r="AL240" i="32"/>
  <c r="U243" i="65" l="1"/>
  <c r="AF243" i="65"/>
  <c r="R243" i="65"/>
  <c r="S243" i="65" s="1"/>
  <c r="Q243" i="65"/>
  <c r="AH243" i="65"/>
  <c r="AV243" i="65"/>
  <c r="AE243" i="65"/>
  <c r="C245" i="65"/>
  <c r="L245" i="65"/>
  <c r="M245" i="65" s="1"/>
  <c r="O245" i="65"/>
  <c r="Y243" i="65"/>
  <c r="AB243" i="65" s="1"/>
  <c r="AC243" i="65" s="1"/>
  <c r="AD243" i="65" s="1"/>
  <c r="B246" i="65"/>
  <c r="AO245" i="63" a="1"/>
  <c r="AO245" i="63" s="1"/>
  <c r="AG242" i="65"/>
  <c r="N244" i="65"/>
  <c r="P244" i="65"/>
  <c r="D244" i="65"/>
  <c r="E244" i="65" s="1"/>
  <c r="F244" i="65" s="1"/>
  <c r="G244" i="65" s="1"/>
  <c r="H244" i="65" s="1"/>
  <c r="I244" i="65" s="1"/>
  <c r="J244" i="65" s="1"/>
  <c r="K244" i="65" s="1"/>
  <c r="AM244" i="65"/>
  <c r="AB242" i="53"/>
  <c r="AA242" i="53"/>
  <c r="AG243" i="53"/>
  <c r="AF242" i="53"/>
  <c r="B245" i="53"/>
  <c r="AK244" i="52" a="1"/>
  <c r="AK244" i="52" s="1"/>
  <c r="O244" i="53"/>
  <c r="AG244" i="53" s="1"/>
  <c r="I244" i="53"/>
  <c r="H244" i="53"/>
  <c r="J244" i="53"/>
  <c r="N244" i="53"/>
  <c r="D244" i="53"/>
  <c r="F244" i="53"/>
  <c r="C244" i="53"/>
  <c r="G244" i="53"/>
  <c r="L244" i="53"/>
  <c r="K244" i="53"/>
  <c r="M244" i="53"/>
  <c r="E244" i="53"/>
  <c r="P244" i="53"/>
  <c r="AD243" i="53"/>
  <c r="AT243" i="53"/>
  <c r="AC243" i="53"/>
  <c r="Q243" i="53"/>
  <c r="R243" i="53"/>
  <c r="X243" i="53" s="1"/>
  <c r="AH243" i="53"/>
  <c r="AE243" i="53"/>
  <c r="C242" i="32"/>
  <c r="AJ242" i="32"/>
  <c r="V242" i="32"/>
  <c r="Z242" i="32"/>
  <c r="W242" i="32"/>
  <c r="X242" i="32" s="1"/>
  <c r="AN241" i="32"/>
  <c r="AL241" i="32"/>
  <c r="U242" i="32"/>
  <c r="AD242" i="32" s="1"/>
  <c r="AG242" i="32" s="1"/>
  <c r="AH242" i="32" s="1"/>
  <c r="AI242" i="32" s="1"/>
  <c r="AM242" i="32"/>
  <c r="E244" i="32"/>
  <c r="AL244" i="11" a="1"/>
  <c r="AL244" i="11" s="1"/>
  <c r="B243" i="32"/>
  <c r="R243" i="32" s="1"/>
  <c r="S243" i="32" s="1"/>
  <c r="I243" i="32"/>
  <c r="M243" i="32"/>
  <c r="N243" i="32"/>
  <c r="AK243" i="32"/>
  <c r="H243" i="32"/>
  <c r="A243" i="32"/>
  <c r="Q243" i="32" s="1"/>
  <c r="P243" i="32" s="1"/>
  <c r="F243" i="32"/>
  <c r="L243" i="32"/>
  <c r="T243" i="32"/>
  <c r="G243" i="32"/>
  <c r="O243" i="32"/>
  <c r="J243" i="32"/>
  <c r="K243" i="32"/>
  <c r="AM245" i="65" l="1"/>
  <c r="N245" i="65"/>
  <c r="P245" i="65"/>
  <c r="D245" i="65"/>
  <c r="E245" i="65" s="1"/>
  <c r="F245" i="65" s="1"/>
  <c r="G245" i="65" s="1"/>
  <c r="H245" i="65" s="1"/>
  <c r="I245" i="65" s="1"/>
  <c r="J245" i="65" s="1"/>
  <c r="K245" i="65" s="1"/>
  <c r="R244" i="65"/>
  <c r="S244" i="65" s="1"/>
  <c r="Y244" i="65" s="1"/>
  <c r="AB244" i="65" s="1"/>
  <c r="AC244" i="65" s="1"/>
  <c r="AD244" i="65" s="1"/>
  <c r="U244" i="65"/>
  <c r="AV244" i="65"/>
  <c r="AH244" i="65"/>
  <c r="Q244" i="65"/>
  <c r="AE244" i="65"/>
  <c r="AF244" i="65"/>
  <c r="B247" i="65"/>
  <c r="AO246" i="63" a="1"/>
  <c r="AO246" i="63" s="1"/>
  <c r="L246" i="65"/>
  <c r="M246" i="65" s="1"/>
  <c r="O246" i="65"/>
  <c r="C246" i="65"/>
  <c r="AG243" i="65"/>
  <c r="AA243" i="53"/>
  <c r="AB243" i="53"/>
  <c r="B246" i="53"/>
  <c r="AK245" i="52" a="1"/>
  <c r="AK245" i="52" s="1"/>
  <c r="M245" i="53"/>
  <c r="C245" i="53"/>
  <c r="J245" i="53"/>
  <c r="O245" i="53"/>
  <c r="AG245" i="53" s="1"/>
  <c r="H245" i="53"/>
  <c r="P245" i="53"/>
  <c r="E245" i="53"/>
  <c r="K245" i="53"/>
  <c r="G245" i="53"/>
  <c r="I245" i="53"/>
  <c r="F245" i="53"/>
  <c r="N245" i="53"/>
  <c r="D245" i="53"/>
  <c r="L245" i="53"/>
  <c r="AF243" i="53"/>
  <c r="AH244" i="53"/>
  <c r="R244" i="53"/>
  <c r="X244" i="53" s="1"/>
  <c r="AE244" i="53"/>
  <c r="AC244" i="53"/>
  <c r="Q244" i="53"/>
  <c r="AT244" i="53"/>
  <c r="AD244" i="53"/>
  <c r="AN242" i="32"/>
  <c r="AL242" i="32"/>
  <c r="AM243" i="32"/>
  <c r="U243" i="32"/>
  <c r="AD243" i="32" s="1"/>
  <c r="AG243" i="32" s="1"/>
  <c r="AH243" i="32" s="1"/>
  <c r="AI243" i="32" s="1"/>
  <c r="C243" i="32"/>
  <c r="AJ243" i="32"/>
  <c r="Z243" i="32"/>
  <c r="V243" i="32"/>
  <c r="W243" i="32"/>
  <c r="X243" i="32" s="1"/>
  <c r="E245" i="32"/>
  <c r="AL245" i="11" a="1"/>
  <c r="AL245" i="11" s="1"/>
  <c r="O244" i="32"/>
  <c r="L244" i="32"/>
  <c r="AK244" i="32"/>
  <c r="F244" i="32"/>
  <c r="B244" i="32"/>
  <c r="R244" i="32" s="1"/>
  <c r="S244" i="32" s="1"/>
  <c r="I244" i="32"/>
  <c r="T244" i="32"/>
  <c r="J244" i="32"/>
  <c r="K244" i="32"/>
  <c r="M244" i="32"/>
  <c r="N244" i="32"/>
  <c r="H244" i="32"/>
  <c r="A244" i="32"/>
  <c r="Q244" i="32" s="1"/>
  <c r="P244" i="32" s="1"/>
  <c r="G244" i="32"/>
  <c r="N246" i="65" l="1"/>
  <c r="D246" i="65"/>
  <c r="E246" i="65" s="1"/>
  <c r="F246" i="65" s="1"/>
  <c r="G246" i="65" s="1"/>
  <c r="H246" i="65" s="1"/>
  <c r="I246" i="65" s="1"/>
  <c r="J246" i="65" s="1"/>
  <c r="K246" i="65" s="1"/>
  <c r="AM246" i="65"/>
  <c r="P246" i="65"/>
  <c r="B248" i="65"/>
  <c r="AO247" i="63" a="1"/>
  <c r="AO247" i="63" s="1"/>
  <c r="C247" i="65"/>
  <c r="L247" i="65"/>
  <c r="M247" i="65" s="1"/>
  <c r="O247" i="65"/>
  <c r="AG244" i="65"/>
  <c r="AH245" i="65"/>
  <c r="AF245" i="65"/>
  <c r="Q245" i="65"/>
  <c r="R245" i="65"/>
  <c r="S245" i="65" s="1"/>
  <c r="Y245" i="65" s="1"/>
  <c r="AB245" i="65" s="1"/>
  <c r="AC245" i="65" s="1"/>
  <c r="AD245" i="65" s="1"/>
  <c r="AE245" i="65"/>
  <c r="AV245" i="65"/>
  <c r="U245" i="65"/>
  <c r="AF244" i="53"/>
  <c r="AB244" i="53"/>
  <c r="AA244" i="53"/>
  <c r="AH245" i="53"/>
  <c r="AT245" i="53"/>
  <c r="AD245" i="53"/>
  <c r="AE245" i="53"/>
  <c r="R245" i="53"/>
  <c r="X245" i="53" s="1"/>
  <c r="Q245" i="53"/>
  <c r="AC245" i="53"/>
  <c r="B247" i="53"/>
  <c r="AK246" i="52" a="1"/>
  <c r="AK246" i="52" s="1"/>
  <c r="L246" i="53"/>
  <c r="C246" i="53"/>
  <c r="K246" i="53"/>
  <c r="M246" i="53"/>
  <c r="I246" i="53"/>
  <c r="O246" i="53"/>
  <c r="AG246" i="53" s="1"/>
  <c r="J246" i="53"/>
  <c r="F246" i="53"/>
  <c r="P246" i="53"/>
  <c r="E246" i="53"/>
  <c r="G246" i="53"/>
  <c r="H246" i="53"/>
  <c r="N246" i="53"/>
  <c r="D246" i="53"/>
  <c r="AL243" i="32"/>
  <c r="J245" i="32"/>
  <c r="A245" i="32"/>
  <c r="Q245" i="32" s="1"/>
  <c r="P245" i="32" s="1"/>
  <c r="M245" i="32"/>
  <c r="T245" i="32"/>
  <c r="G245" i="32"/>
  <c r="O245" i="32"/>
  <c r="H245" i="32"/>
  <c r="K245" i="32"/>
  <c r="L245" i="32"/>
  <c r="AK245" i="32"/>
  <c r="N245" i="32"/>
  <c r="B245" i="32"/>
  <c r="R245" i="32" s="1"/>
  <c r="S245" i="32" s="1"/>
  <c r="F245" i="32"/>
  <c r="I245" i="32"/>
  <c r="Z244" i="32"/>
  <c r="AJ244" i="32"/>
  <c r="V244" i="32"/>
  <c r="C244" i="32"/>
  <c r="W244" i="32"/>
  <c r="X244" i="32" s="1"/>
  <c r="AN243" i="32"/>
  <c r="U244" i="32"/>
  <c r="AD244" i="32" s="1"/>
  <c r="AG244" i="32" s="1"/>
  <c r="AH244" i="32" s="1"/>
  <c r="AI244" i="32" s="1"/>
  <c r="AM244" i="32"/>
  <c r="E246" i="32"/>
  <c r="AL246" i="11" a="1"/>
  <c r="AL246" i="11" s="1"/>
  <c r="AF246" i="65" l="1"/>
  <c r="AH246" i="65"/>
  <c r="AV246" i="65"/>
  <c r="Q246" i="65"/>
  <c r="AE246" i="65"/>
  <c r="R246" i="65"/>
  <c r="S246" i="65" s="1"/>
  <c r="Y246" i="65" s="1"/>
  <c r="AB246" i="65" s="1"/>
  <c r="AC246" i="65" s="1"/>
  <c r="AD246" i="65" s="1"/>
  <c r="U246" i="65"/>
  <c r="N247" i="65"/>
  <c r="D247" i="65"/>
  <c r="E247" i="65" s="1"/>
  <c r="F247" i="65" s="1"/>
  <c r="G247" i="65" s="1"/>
  <c r="H247" i="65" s="1"/>
  <c r="I247" i="65" s="1"/>
  <c r="J247" i="65" s="1"/>
  <c r="K247" i="65" s="1"/>
  <c r="P247" i="65"/>
  <c r="AM247" i="65"/>
  <c r="C248" i="65"/>
  <c r="L248" i="65"/>
  <c r="M248" i="65" s="1"/>
  <c r="O248" i="65"/>
  <c r="AG245" i="65"/>
  <c r="B249" i="65"/>
  <c r="AO248" i="63" a="1"/>
  <c r="AO248" i="63" s="1"/>
  <c r="AB245" i="53"/>
  <c r="AA245" i="53"/>
  <c r="AF245" i="53"/>
  <c r="AC246" i="53"/>
  <c r="R246" i="53"/>
  <c r="X246" i="53" s="1"/>
  <c r="AH246" i="53"/>
  <c r="AT246" i="53"/>
  <c r="Q246" i="53"/>
  <c r="AD246" i="53"/>
  <c r="AE246" i="53"/>
  <c r="B248" i="53"/>
  <c r="AK247" i="52" a="1"/>
  <c r="AK247" i="52" s="1"/>
  <c r="H247" i="53"/>
  <c r="E247" i="53"/>
  <c r="J247" i="53"/>
  <c r="P247" i="53"/>
  <c r="D247" i="53"/>
  <c r="N247" i="53"/>
  <c r="F247" i="53"/>
  <c r="K247" i="53"/>
  <c r="C247" i="53"/>
  <c r="I247" i="53"/>
  <c r="M247" i="53"/>
  <c r="G247" i="53"/>
  <c r="O247" i="53"/>
  <c r="L247" i="53"/>
  <c r="E247" i="32"/>
  <c r="AL247" i="11" a="1"/>
  <c r="AL247" i="11" s="1"/>
  <c r="AN244" i="32"/>
  <c r="I246" i="32"/>
  <c r="T246" i="32"/>
  <c r="K246" i="32"/>
  <c r="H246" i="32"/>
  <c r="G246" i="32"/>
  <c r="M246" i="32"/>
  <c r="N246" i="32"/>
  <c r="AK246" i="32"/>
  <c r="F246" i="32"/>
  <c r="A246" i="32"/>
  <c r="Q246" i="32" s="1"/>
  <c r="P246" i="32" s="1"/>
  <c r="L246" i="32"/>
  <c r="B246" i="32"/>
  <c r="R246" i="32" s="1"/>
  <c r="S246" i="32" s="1"/>
  <c r="O246" i="32"/>
  <c r="J246" i="32"/>
  <c r="AL244" i="32"/>
  <c r="AM245" i="32"/>
  <c r="U245" i="32"/>
  <c r="AD245" i="32" s="1"/>
  <c r="AG245" i="32" s="1"/>
  <c r="AH245" i="32" s="1"/>
  <c r="AI245" i="32" s="1"/>
  <c r="Z245" i="32"/>
  <c r="W245" i="32"/>
  <c r="X245" i="32" s="1"/>
  <c r="AJ245" i="32"/>
  <c r="V245" i="32"/>
  <c r="C245" i="32"/>
  <c r="B250" i="65" l="1"/>
  <c r="AO249" i="63" a="1"/>
  <c r="AO249" i="63" s="1"/>
  <c r="C249" i="65"/>
  <c r="L249" i="65"/>
  <c r="M249" i="65" s="1"/>
  <c r="O249" i="65"/>
  <c r="AG246" i="65"/>
  <c r="AH247" i="65"/>
  <c r="Q247" i="65"/>
  <c r="AV247" i="65"/>
  <c r="R247" i="65"/>
  <c r="S247" i="65" s="1"/>
  <c r="Y247" i="65" s="1"/>
  <c r="AB247" i="65" s="1"/>
  <c r="AC247" i="65" s="1"/>
  <c r="AD247" i="65" s="1"/>
  <c r="AE247" i="65"/>
  <c r="U247" i="65"/>
  <c r="AF247" i="65"/>
  <c r="N248" i="65"/>
  <c r="P248" i="65"/>
  <c r="D248" i="65"/>
  <c r="E248" i="65" s="1"/>
  <c r="F248" i="65" s="1"/>
  <c r="G248" i="65" s="1"/>
  <c r="H248" i="65" s="1"/>
  <c r="I248" i="65" s="1"/>
  <c r="J248" i="65" s="1"/>
  <c r="K248" i="65" s="1"/>
  <c r="AM248" i="65"/>
  <c r="AF246" i="53"/>
  <c r="AG247" i="53"/>
  <c r="AH247" i="53"/>
  <c r="AD247" i="53"/>
  <c r="Q247" i="53"/>
  <c r="R247" i="53"/>
  <c r="X247" i="53" s="1"/>
  <c r="AC247" i="53"/>
  <c r="AT247" i="53"/>
  <c r="AE247" i="53"/>
  <c r="AA246" i="53"/>
  <c r="AB246" i="53"/>
  <c r="B249" i="53"/>
  <c r="AK248" i="52" a="1"/>
  <c r="AK248" i="52" s="1"/>
  <c r="D248" i="53"/>
  <c r="F248" i="53"/>
  <c r="M248" i="53"/>
  <c r="L248" i="53"/>
  <c r="K248" i="53"/>
  <c r="O248" i="53"/>
  <c r="AG248" i="53" s="1"/>
  <c r="E248" i="53"/>
  <c r="H248" i="53"/>
  <c r="C248" i="53"/>
  <c r="J248" i="53"/>
  <c r="G248" i="53"/>
  <c r="P248" i="53"/>
  <c r="I248" i="53"/>
  <c r="N248" i="53"/>
  <c r="AL245" i="32"/>
  <c r="A247" i="32"/>
  <c r="Q247" i="32" s="1"/>
  <c r="P247" i="32" s="1"/>
  <c r="F247" i="32"/>
  <c r="L247" i="32"/>
  <c r="G247" i="32"/>
  <c r="AK247" i="32"/>
  <c r="J247" i="32"/>
  <c r="B247" i="32"/>
  <c r="R247" i="32" s="1"/>
  <c r="S247" i="32" s="1"/>
  <c r="K247" i="32"/>
  <c r="N247" i="32"/>
  <c r="T247" i="32"/>
  <c r="O247" i="32"/>
  <c r="M247" i="32"/>
  <c r="H247" i="32"/>
  <c r="I247" i="32"/>
  <c r="AJ246" i="32"/>
  <c r="C246" i="32"/>
  <c r="Z246" i="32"/>
  <c r="W246" i="32"/>
  <c r="X246" i="32" s="1"/>
  <c r="V246" i="32"/>
  <c r="AN245" i="32"/>
  <c r="AM246" i="32"/>
  <c r="U246" i="32"/>
  <c r="AD246" i="32" s="1"/>
  <c r="AG246" i="32" s="1"/>
  <c r="AH246" i="32" s="1"/>
  <c r="AI246" i="32" s="1"/>
  <c r="E248" i="32"/>
  <c r="AL248" i="11" a="1"/>
  <c r="AL248" i="11" s="1"/>
  <c r="C250" i="65" l="1"/>
  <c r="O250" i="65"/>
  <c r="L250" i="65"/>
  <c r="M250" i="65" s="1"/>
  <c r="R248" i="65"/>
  <c r="S248" i="65" s="1"/>
  <c r="Y248" i="65" s="1"/>
  <c r="AB248" i="65" s="1"/>
  <c r="AC248" i="65" s="1"/>
  <c r="AD248" i="65" s="1"/>
  <c r="Q248" i="65"/>
  <c r="AV248" i="65"/>
  <c r="AF248" i="65"/>
  <c r="AE248" i="65"/>
  <c r="AH248" i="65"/>
  <c r="U248" i="65"/>
  <c r="AG247" i="65"/>
  <c r="D249" i="65"/>
  <c r="E249" i="65" s="1"/>
  <c r="F249" i="65" s="1"/>
  <c r="G249" i="65" s="1"/>
  <c r="H249" i="65" s="1"/>
  <c r="I249" i="65" s="1"/>
  <c r="J249" i="65" s="1"/>
  <c r="K249" i="65" s="1"/>
  <c r="N249" i="65"/>
  <c r="P249" i="65"/>
  <c r="AM249" i="65"/>
  <c r="B251" i="65"/>
  <c r="AO250" i="63" a="1"/>
  <c r="AO250" i="63" s="1"/>
  <c r="AA247" i="53"/>
  <c r="AB247" i="53"/>
  <c r="AH248" i="53"/>
  <c r="AD248" i="53"/>
  <c r="AC248" i="53"/>
  <c r="R248" i="53"/>
  <c r="X248" i="53" s="1"/>
  <c r="AT248" i="53"/>
  <c r="AE248" i="53"/>
  <c r="Q248" i="53"/>
  <c r="B250" i="53"/>
  <c r="AK249" i="52" a="1"/>
  <c r="AK249" i="52" s="1"/>
  <c r="AF247" i="53"/>
  <c r="D249" i="53"/>
  <c r="I249" i="53"/>
  <c r="P249" i="53"/>
  <c r="J249" i="53"/>
  <c r="F249" i="53"/>
  <c r="L249" i="53"/>
  <c r="N249" i="53"/>
  <c r="K249" i="53"/>
  <c r="M249" i="53"/>
  <c r="E249" i="53"/>
  <c r="G249" i="53"/>
  <c r="O249" i="53"/>
  <c r="AG249" i="53" s="1"/>
  <c r="C249" i="53"/>
  <c r="H249" i="53"/>
  <c r="AL246" i="32"/>
  <c r="I248" i="32"/>
  <c r="O248" i="32"/>
  <c r="M248" i="32"/>
  <c r="AK248" i="32"/>
  <c r="N248" i="32"/>
  <c r="G248" i="32"/>
  <c r="A248" i="32"/>
  <c r="Q248" i="32" s="1"/>
  <c r="P248" i="32" s="1"/>
  <c r="B248" i="32"/>
  <c r="R248" i="32" s="1"/>
  <c r="S248" i="32" s="1"/>
  <c r="K248" i="32"/>
  <c r="F248" i="32"/>
  <c r="H248" i="32"/>
  <c r="T248" i="32"/>
  <c r="J248" i="32"/>
  <c r="L248" i="32"/>
  <c r="AJ247" i="32"/>
  <c r="V247" i="32"/>
  <c r="W247" i="32"/>
  <c r="X247" i="32" s="1"/>
  <c r="C247" i="32"/>
  <c r="Z247" i="32"/>
  <c r="AN246" i="32"/>
  <c r="AM247" i="32"/>
  <c r="U247" i="32"/>
  <c r="AD247" i="32" s="1"/>
  <c r="AG247" i="32" s="1"/>
  <c r="AH247" i="32" s="1"/>
  <c r="AI247" i="32" s="1"/>
  <c r="E249" i="32"/>
  <c r="AL249" i="11" a="1"/>
  <c r="AL249" i="11" s="1"/>
  <c r="AG248" i="65" l="1"/>
  <c r="Q249" i="65"/>
  <c r="AF249" i="65"/>
  <c r="AH249" i="65"/>
  <c r="AV249" i="65"/>
  <c r="R249" i="65"/>
  <c r="S249" i="65" s="1"/>
  <c r="Y249" i="65" s="1"/>
  <c r="AB249" i="65" s="1"/>
  <c r="AC249" i="65" s="1"/>
  <c r="AD249" i="65" s="1"/>
  <c r="AE249" i="65"/>
  <c r="U249" i="65"/>
  <c r="B252" i="65"/>
  <c r="AO251" i="63" a="1"/>
  <c r="AO251" i="63" s="1"/>
  <c r="D250" i="65"/>
  <c r="E250" i="65" s="1"/>
  <c r="F250" i="65" s="1"/>
  <c r="G250" i="65" s="1"/>
  <c r="H250" i="65" s="1"/>
  <c r="I250" i="65" s="1"/>
  <c r="J250" i="65" s="1"/>
  <c r="K250" i="65" s="1"/>
  <c r="AM250" i="65"/>
  <c r="P250" i="65"/>
  <c r="N250" i="65"/>
  <c r="O251" i="65"/>
  <c r="L251" i="65"/>
  <c r="M251" i="65" s="1"/>
  <c r="C251" i="65"/>
  <c r="E250" i="53"/>
  <c r="D250" i="53"/>
  <c r="M250" i="53"/>
  <c r="L250" i="53"/>
  <c r="O250" i="53"/>
  <c r="AG250" i="53" s="1"/>
  <c r="C250" i="53"/>
  <c r="J250" i="53"/>
  <c r="G250" i="53"/>
  <c r="H250" i="53"/>
  <c r="P250" i="53"/>
  <c r="I250" i="53"/>
  <c r="K250" i="53"/>
  <c r="N250" i="53"/>
  <c r="F250" i="53"/>
  <c r="AF248" i="53"/>
  <c r="AA248" i="53"/>
  <c r="AB248" i="53"/>
  <c r="AH249" i="53"/>
  <c r="R249" i="53"/>
  <c r="X249" i="53" s="1"/>
  <c r="AT249" i="53"/>
  <c r="AC249" i="53"/>
  <c r="Q249" i="53"/>
  <c r="AE249" i="53"/>
  <c r="AD249" i="53"/>
  <c r="B251" i="53"/>
  <c r="AK250" i="52" a="1"/>
  <c r="AK250" i="52" s="1"/>
  <c r="AL247" i="32"/>
  <c r="C248" i="32"/>
  <c r="W248" i="32"/>
  <c r="X248" i="32" s="1"/>
  <c r="Z248" i="32"/>
  <c r="AJ248" i="32"/>
  <c r="V248" i="32"/>
  <c r="AN247" i="32"/>
  <c r="AM248" i="32"/>
  <c r="U248" i="32"/>
  <c r="AD248" i="32" s="1"/>
  <c r="AG248" i="32" s="1"/>
  <c r="AH248" i="32" s="1"/>
  <c r="AI248" i="32" s="1"/>
  <c r="E250" i="32"/>
  <c r="AL250" i="11" a="1"/>
  <c r="AL250" i="11" s="1"/>
  <c r="B249" i="32"/>
  <c r="R249" i="32" s="1"/>
  <c r="S249" i="32" s="1"/>
  <c r="M249" i="32"/>
  <c r="I249" i="32"/>
  <c r="H249" i="32"/>
  <c r="L249" i="32"/>
  <c r="A249" i="32"/>
  <c r="Q249" i="32" s="1"/>
  <c r="P249" i="32" s="1"/>
  <c r="K249" i="32"/>
  <c r="J249" i="32"/>
  <c r="N249" i="32"/>
  <c r="T249" i="32"/>
  <c r="F249" i="32"/>
  <c r="O249" i="32"/>
  <c r="G249" i="32"/>
  <c r="AK249" i="32"/>
  <c r="C252" i="65" l="1"/>
  <c r="L252" i="65"/>
  <c r="M252" i="65" s="1"/>
  <c r="O252" i="65"/>
  <c r="N251" i="65"/>
  <c r="P251" i="65"/>
  <c r="AM251" i="65"/>
  <c r="D251" i="65"/>
  <c r="E251" i="65" s="1"/>
  <c r="F251" i="65" s="1"/>
  <c r="G251" i="65" s="1"/>
  <c r="H251" i="65" s="1"/>
  <c r="I251" i="65" s="1"/>
  <c r="J251" i="65" s="1"/>
  <c r="K251" i="65" s="1"/>
  <c r="U250" i="65"/>
  <c r="Q250" i="65"/>
  <c r="R250" i="65"/>
  <c r="S250" i="65" s="1"/>
  <c r="Y250" i="65" s="1"/>
  <c r="AB250" i="65" s="1"/>
  <c r="AC250" i="65" s="1"/>
  <c r="AD250" i="65" s="1"/>
  <c r="AV250" i="65"/>
  <c r="AF250" i="65"/>
  <c r="AH250" i="65"/>
  <c r="AE250" i="65"/>
  <c r="AG249" i="65"/>
  <c r="B253" i="65"/>
  <c r="AO252" i="63" a="1"/>
  <c r="AO252" i="63" s="1"/>
  <c r="B252" i="53"/>
  <c r="AK251" i="52" a="1"/>
  <c r="AK251" i="52" s="1"/>
  <c r="I251" i="53"/>
  <c r="C251" i="53"/>
  <c r="M251" i="53"/>
  <c r="J251" i="53"/>
  <c r="E251" i="53"/>
  <c r="O251" i="53"/>
  <c r="AG251" i="53" s="1"/>
  <c r="K251" i="53"/>
  <c r="F251" i="53"/>
  <c r="P251" i="53"/>
  <c r="L251" i="53"/>
  <c r="D251" i="53"/>
  <c r="N251" i="53"/>
  <c r="G251" i="53"/>
  <c r="H251" i="53"/>
  <c r="AF249" i="53"/>
  <c r="AA249" i="53"/>
  <c r="AB249" i="53"/>
  <c r="AE250" i="53"/>
  <c r="Q250" i="53"/>
  <c r="R250" i="53"/>
  <c r="X250" i="53" s="1"/>
  <c r="AC250" i="53"/>
  <c r="AH250" i="53"/>
  <c r="AT250" i="53"/>
  <c r="AD250" i="53"/>
  <c r="AL248" i="32"/>
  <c r="AM249" i="32"/>
  <c r="U249" i="32"/>
  <c r="AD249" i="32" s="1"/>
  <c r="AG249" i="32" s="1"/>
  <c r="AH249" i="32" s="1"/>
  <c r="AI249" i="32" s="1"/>
  <c r="AN249" i="32" s="1"/>
  <c r="E251" i="32"/>
  <c r="AL251" i="11" a="1"/>
  <c r="AL251" i="11" s="1"/>
  <c r="AK250" i="32"/>
  <c r="M250" i="32"/>
  <c r="O250" i="32"/>
  <c r="H250" i="32"/>
  <c r="I250" i="32"/>
  <c r="J250" i="32"/>
  <c r="T250" i="32"/>
  <c r="N250" i="32"/>
  <c r="L250" i="32"/>
  <c r="F250" i="32"/>
  <c r="A250" i="32"/>
  <c r="Q250" i="32" s="1"/>
  <c r="P250" i="32" s="1"/>
  <c r="K250" i="32"/>
  <c r="B250" i="32"/>
  <c r="R250" i="32" s="1"/>
  <c r="S250" i="32" s="1"/>
  <c r="G250" i="32"/>
  <c r="AN248" i="32"/>
  <c r="V249" i="32"/>
  <c r="Z249" i="32"/>
  <c r="AJ249" i="32"/>
  <c r="C249" i="32"/>
  <c r="W249" i="32"/>
  <c r="X249" i="32" s="1"/>
  <c r="B254" i="65" l="1"/>
  <c r="AO253" i="63" a="1"/>
  <c r="AO253" i="63" s="1"/>
  <c r="P252" i="65"/>
  <c r="N252" i="65"/>
  <c r="AM252" i="65"/>
  <c r="D252" i="65"/>
  <c r="E252" i="65" s="1"/>
  <c r="F252" i="65" s="1"/>
  <c r="G252" i="65" s="1"/>
  <c r="H252" i="65" s="1"/>
  <c r="I252" i="65" s="1"/>
  <c r="J252" i="65" s="1"/>
  <c r="K252" i="65" s="1"/>
  <c r="O253" i="65"/>
  <c r="L253" i="65"/>
  <c r="M253" i="65" s="1"/>
  <c r="C253" i="65"/>
  <c r="Y251" i="65"/>
  <c r="AB251" i="65" s="1"/>
  <c r="AC251" i="65" s="1"/>
  <c r="AD251" i="65" s="1"/>
  <c r="AG250" i="65"/>
  <c r="U251" i="65"/>
  <c r="R251" i="65"/>
  <c r="S251" i="65" s="1"/>
  <c r="Q251" i="65"/>
  <c r="AV251" i="65"/>
  <c r="AE251" i="65"/>
  <c r="AF251" i="65"/>
  <c r="AH251" i="65"/>
  <c r="O252" i="53"/>
  <c r="AG252" i="53" s="1"/>
  <c r="G252" i="53"/>
  <c r="I252" i="53"/>
  <c r="K252" i="53"/>
  <c r="C252" i="53"/>
  <c r="F252" i="53"/>
  <c r="J252" i="53"/>
  <c r="N252" i="53"/>
  <c r="L252" i="53"/>
  <c r="H252" i="53"/>
  <c r="D252" i="53"/>
  <c r="M252" i="53"/>
  <c r="E252" i="53"/>
  <c r="P252" i="53"/>
  <c r="AB250" i="53"/>
  <c r="AA250" i="53"/>
  <c r="AC251" i="53"/>
  <c r="AD251" i="53"/>
  <c r="AH251" i="53"/>
  <c r="R251" i="53"/>
  <c r="X251" i="53" s="1"/>
  <c r="Q251" i="53"/>
  <c r="AE251" i="53"/>
  <c r="AT251" i="53"/>
  <c r="B253" i="53"/>
  <c r="AK252" i="52" a="1"/>
  <c r="AK252" i="52" s="1"/>
  <c r="AF250" i="53"/>
  <c r="C250" i="32"/>
  <c r="V250" i="32"/>
  <c r="W250" i="32"/>
  <c r="X250" i="32" s="1"/>
  <c r="Z250" i="32"/>
  <c r="AJ250" i="32"/>
  <c r="E252" i="32"/>
  <c r="AL252" i="11" a="1"/>
  <c r="AL252" i="11" s="1"/>
  <c r="U250" i="32"/>
  <c r="AD250" i="32" s="1"/>
  <c r="AG250" i="32" s="1"/>
  <c r="AH250" i="32" s="1"/>
  <c r="AI250" i="32" s="1"/>
  <c r="AM250" i="32"/>
  <c r="AL249" i="32"/>
  <c r="H251" i="32"/>
  <c r="B251" i="32"/>
  <c r="R251" i="32" s="1"/>
  <c r="S251" i="32" s="1"/>
  <c r="J251" i="32"/>
  <c r="O251" i="32"/>
  <c r="M251" i="32"/>
  <c r="N251" i="32"/>
  <c r="L251" i="32"/>
  <c r="K251" i="32"/>
  <c r="T251" i="32"/>
  <c r="AK251" i="32"/>
  <c r="G251" i="32"/>
  <c r="A251" i="32"/>
  <c r="Q251" i="32" s="1"/>
  <c r="P251" i="32" s="1"/>
  <c r="F251" i="32"/>
  <c r="I251" i="32"/>
  <c r="AG251" i="65" l="1"/>
  <c r="P253" i="65"/>
  <c r="D253" i="65"/>
  <c r="E253" i="65" s="1"/>
  <c r="F253" i="65" s="1"/>
  <c r="G253" i="65" s="1"/>
  <c r="H253" i="65" s="1"/>
  <c r="I253" i="65" s="1"/>
  <c r="J253" i="65" s="1"/>
  <c r="K253" i="65" s="1"/>
  <c r="AM253" i="65"/>
  <c r="N253" i="65"/>
  <c r="C254" i="65"/>
  <c r="L254" i="65"/>
  <c r="M254" i="65" s="1"/>
  <c r="O254" i="65"/>
  <c r="Y252" i="65"/>
  <c r="AB252" i="65" s="1"/>
  <c r="AC252" i="65" s="1"/>
  <c r="AD252" i="65" s="1"/>
  <c r="AF252" i="65"/>
  <c r="AG252" i="65" s="1"/>
  <c r="AV252" i="65"/>
  <c r="AH252" i="65"/>
  <c r="Q252" i="65"/>
  <c r="U252" i="65"/>
  <c r="AE252" i="65"/>
  <c r="R252" i="65"/>
  <c r="S252" i="65" s="1"/>
  <c r="B255" i="65"/>
  <c r="AO254" i="63" a="1"/>
  <c r="AO254" i="63" s="1"/>
  <c r="B254" i="53"/>
  <c r="AK253" i="52" a="1"/>
  <c r="AK253" i="52" s="1"/>
  <c r="N253" i="53"/>
  <c r="C253" i="53"/>
  <c r="H253" i="53"/>
  <c r="I253" i="53"/>
  <c r="L253" i="53"/>
  <c r="M253" i="53"/>
  <c r="P253" i="53"/>
  <c r="D253" i="53"/>
  <c r="O253" i="53"/>
  <c r="G253" i="53"/>
  <c r="F253" i="53"/>
  <c r="J253" i="53"/>
  <c r="E253" i="53"/>
  <c r="K253" i="53"/>
  <c r="AF251" i="53"/>
  <c r="AA251" i="53"/>
  <c r="AB251" i="53"/>
  <c r="Q252" i="53"/>
  <c r="AT252" i="53"/>
  <c r="AD252" i="53"/>
  <c r="R252" i="53"/>
  <c r="X252" i="53" s="1"/>
  <c r="AH252" i="53"/>
  <c r="AE252" i="53"/>
  <c r="AC252" i="53"/>
  <c r="AL250" i="32"/>
  <c r="AN250" i="32"/>
  <c r="U251" i="32"/>
  <c r="AD251" i="32" s="1"/>
  <c r="AG251" i="32" s="1"/>
  <c r="AH251" i="32" s="1"/>
  <c r="AI251" i="32" s="1"/>
  <c r="AM251" i="32"/>
  <c r="E253" i="32"/>
  <c r="AL253" i="11" a="1"/>
  <c r="AL253" i="11" s="1"/>
  <c r="O252" i="32"/>
  <c r="J252" i="32"/>
  <c r="N252" i="32"/>
  <c r="A252" i="32"/>
  <c r="Q252" i="32" s="1"/>
  <c r="P252" i="32" s="1"/>
  <c r="H252" i="32"/>
  <c r="AK252" i="32"/>
  <c r="K252" i="32"/>
  <c r="M252" i="32"/>
  <c r="B252" i="32"/>
  <c r="R252" i="32" s="1"/>
  <c r="S252" i="32" s="1"/>
  <c r="F252" i="32"/>
  <c r="G252" i="32"/>
  <c r="I252" i="32"/>
  <c r="T252" i="32"/>
  <c r="L252" i="32"/>
  <c r="C251" i="32"/>
  <c r="AJ251" i="32"/>
  <c r="Z251" i="32"/>
  <c r="W251" i="32"/>
  <c r="X251" i="32" s="1"/>
  <c r="V251" i="32"/>
  <c r="B256" i="65" l="1"/>
  <c r="AO255" i="63" a="1"/>
  <c r="AO255" i="63" s="1"/>
  <c r="Y253" i="65"/>
  <c r="AB253" i="65" s="1"/>
  <c r="AC253" i="65" s="1"/>
  <c r="AD253" i="65" s="1"/>
  <c r="C255" i="65"/>
  <c r="O255" i="65"/>
  <c r="L255" i="65"/>
  <c r="M255" i="65" s="1"/>
  <c r="D254" i="65"/>
  <c r="E254" i="65" s="1"/>
  <c r="F254" i="65" s="1"/>
  <c r="G254" i="65" s="1"/>
  <c r="H254" i="65" s="1"/>
  <c r="I254" i="65" s="1"/>
  <c r="J254" i="65" s="1"/>
  <c r="K254" i="65" s="1"/>
  <c r="AM254" i="65"/>
  <c r="N254" i="65"/>
  <c r="P254" i="65"/>
  <c r="U253" i="65"/>
  <c r="Q253" i="65"/>
  <c r="AE253" i="65"/>
  <c r="R253" i="65"/>
  <c r="S253" i="65" s="1"/>
  <c r="AV253" i="65"/>
  <c r="AF253" i="65"/>
  <c r="AH253" i="65"/>
  <c r="B255" i="53"/>
  <c r="AK254" i="52" a="1"/>
  <c r="AK254" i="52" s="1"/>
  <c r="AA252" i="53"/>
  <c r="AB252" i="53"/>
  <c r="C254" i="53"/>
  <c r="J254" i="53"/>
  <c r="N254" i="53"/>
  <c r="E254" i="53"/>
  <c r="F254" i="53"/>
  <c r="L254" i="53"/>
  <c r="D254" i="53"/>
  <c r="K254" i="53"/>
  <c r="M254" i="53"/>
  <c r="P254" i="53"/>
  <c r="I254" i="53"/>
  <c r="H254" i="53"/>
  <c r="O254" i="53"/>
  <c r="G254" i="53"/>
  <c r="R253" i="53"/>
  <c r="X253" i="53" s="1"/>
  <c r="Q253" i="53"/>
  <c r="AT253" i="53"/>
  <c r="AC253" i="53"/>
  <c r="AE253" i="53"/>
  <c r="AH253" i="53"/>
  <c r="AD253" i="53"/>
  <c r="AF252" i="53"/>
  <c r="AG253" i="53"/>
  <c r="AM252" i="32"/>
  <c r="U252" i="32"/>
  <c r="AD252" i="32" s="1"/>
  <c r="AG252" i="32" s="1"/>
  <c r="AH252" i="32" s="1"/>
  <c r="AI252" i="32" s="1"/>
  <c r="AN251" i="32"/>
  <c r="E254" i="32"/>
  <c r="AL254" i="11" a="1"/>
  <c r="AL254" i="11" s="1"/>
  <c r="AL251" i="32"/>
  <c r="I253" i="32"/>
  <c r="F253" i="32"/>
  <c r="A253" i="32"/>
  <c r="Q253" i="32" s="1"/>
  <c r="P253" i="32" s="1"/>
  <c r="J253" i="32"/>
  <c r="O253" i="32"/>
  <c r="G253" i="32"/>
  <c r="AK253" i="32"/>
  <c r="N253" i="32"/>
  <c r="B253" i="32"/>
  <c r="R253" i="32" s="1"/>
  <c r="S253" i="32" s="1"/>
  <c r="K253" i="32"/>
  <c r="T253" i="32"/>
  <c r="L253" i="32"/>
  <c r="H253" i="32"/>
  <c r="M253" i="32"/>
  <c r="V252" i="32"/>
  <c r="AJ252" i="32"/>
  <c r="C252" i="32"/>
  <c r="W252" i="32"/>
  <c r="X252" i="32" s="1"/>
  <c r="Z252" i="32"/>
  <c r="Y254" i="65" l="1"/>
  <c r="AB254" i="65" s="1"/>
  <c r="AC254" i="65" s="1"/>
  <c r="AD254" i="65" s="1"/>
  <c r="AF254" i="65"/>
  <c r="AG254" i="65" s="1"/>
  <c r="AH254" i="65"/>
  <c r="Q254" i="65"/>
  <c r="R254" i="65"/>
  <c r="S254" i="65" s="1"/>
  <c r="AV254" i="65"/>
  <c r="AE254" i="65"/>
  <c r="U254" i="65"/>
  <c r="C256" i="65"/>
  <c r="L256" i="65"/>
  <c r="M256" i="65" s="1"/>
  <c r="O256" i="65"/>
  <c r="AG253" i="65"/>
  <c r="N255" i="65"/>
  <c r="AM255" i="65"/>
  <c r="D255" i="65"/>
  <c r="E255" i="65" s="1"/>
  <c r="F255" i="65" s="1"/>
  <c r="G255" i="65" s="1"/>
  <c r="H255" i="65" s="1"/>
  <c r="I255" i="65" s="1"/>
  <c r="J255" i="65" s="1"/>
  <c r="K255" i="65" s="1"/>
  <c r="P255" i="65"/>
  <c r="B257" i="65"/>
  <c r="AO256" i="63" a="1"/>
  <c r="AO256" i="63" s="1"/>
  <c r="AO257" i="63" s="1" a="1"/>
  <c r="AO257" i="63" s="1"/>
  <c r="B256" i="53"/>
  <c r="AK255" i="52" a="1"/>
  <c r="AK255" i="52" s="1"/>
  <c r="E255" i="53"/>
  <c r="G255" i="53"/>
  <c r="F255" i="53"/>
  <c r="H255" i="53"/>
  <c r="K255" i="53"/>
  <c r="N255" i="53"/>
  <c r="L255" i="53"/>
  <c r="I255" i="53"/>
  <c r="P255" i="53"/>
  <c r="D255" i="53"/>
  <c r="J255" i="53"/>
  <c r="O255" i="53"/>
  <c r="C255" i="53"/>
  <c r="M255" i="53"/>
  <c r="AF253" i="53"/>
  <c r="AG254" i="53"/>
  <c r="AE254" i="53"/>
  <c r="AH254" i="53"/>
  <c r="R254" i="53"/>
  <c r="X254" i="53" s="1"/>
  <c r="Q254" i="53"/>
  <c r="AC254" i="53"/>
  <c r="AD254" i="53"/>
  <c r="AT254" i="53"/>
  <c r="AB253" i="53"/>
  <c r="AA253" i="53"/>
  <c r="V253" i="32"/>
  <c r="C253" i="32"/>
  <c r="AJ253" i="32"/>
  <c r="W253" i="32"/>
  <c r="X253" i="32" s="1"/>
  <c r="Z253" i="32"/>
  <c r="AL252" i="32"/>
  <c r="AM253" i="32"/>
  <c r="U253" i="32"/>
  <c r="AD253" i="32" s="1"/>
  <c r="AG253" i="32" s="1"/>
  <c r="AH253" i="32" s="1"/>
  <c r="AI253" i="32" s="1"/>
  <c r="AN252" i="32"/>
  <c r="E255" i="32"/>
  <c r="AL255" i="11" a="1"/>
  <c r="AL255" i="11" s="1"/>
  <c r="T254" i="32"/>
  <c r="L254" i="32"/>
  <c r="B254" i="32"/>
  <c r="R254" i="32" s="1"/>
  <c r="S254" i="32" s="1"/>
  <c r="F254" i="32"/>
  <c r="I254" i="32"/>
  <c r="G254" i="32"/>
  <c r="J254" i="32"/>
  <c r="M254" i="32"/>
  <c r="N254" i="32"/>
  <c r="H254" i="32"/>
  <c r="A254" i="32"/>
  <c r="Q254" i="32" s="1"/>
  <c r="P254" i="32" s="1"/>
  <c r="O254" i="32"/>
  <c r="K254" i="32"/>
  <c r="AK254" i="32"/>
  <c r="C257" i="65" l="1"/>
  <c r="L257" i="65"/>
  <c r="M257" i="65" s="1"/>
  <c r="O257" i="65"/>
  <c r="D256" i="65"/>
  <c r="E256" i="65" s="1"/>
  <c r="F256" i="65" s="1"/>
  <c r="G256" i="65" s="1"/>
  <c r="H256" i="65" s="1"/>
  <c r="I256" i="65" s="1"/>
  <c r="J256" i="65" s="1"/>
  <c r="K256" i="65" s="1"/>
  <c r="N256" i="65"/>
  <c r="P256" i="65"/>
  <c r="AM256" i="65"/>
  <c r="AH255" i="65"/>
  <c r="U255" i="65"/>
  <c r="AV255" i="65"/>
  <c r="AE255" i="65"/>
  <c r="AF255" i="65"/>
  <c r="R255" i="65"/>
  <c r="S255" i="65" s="1"/>
  <c r="Y255" i="65" s="1"/>
  <c r="AB255" i="65" s="1"/>
  <c r="AC255" i="65" s="1"/>
  <c r="AD255" i="65" s="1"/>
  <c r="Q255" i="65"/>
  <c r="AA254" i="53"/>
  <c r="AB254" i="53"/>
  <c r="B257" i="53"/>
  <c r="AK256" i="52" a="1"/>
  <c r="AK256" i="52" s="1"/>
  <c r="AK257" i="52" s="1" a="1"/>
  <c r="AK257" i="52" s="1"/>
  <c r="J256" i="53"/>
  <c r="L256" i="53"/>
  <c r="M256" i="53"/>
  <c r="G256" i="53"/>
  <c r="O256" i="53"/>
  <c r="P256" i="53"/>
  <c r="C256" i="53"/>
  <c r="H256" i="53"/>
  <c r="D256" i="53"/>
  <c r="E256" i="53"/>
  <c r="I256" i="53"/>
  <c r="K256" i="53"/>
  <c r="F256" i="53"/>
  <c r="N256" i="53"/>
  <c r="AC255" i="53"/>
  <c r="AD255" i="53"/>
  <c r="Q255" i="53"/>
  <c r="AH255" i="53"/>
  <c r="AE255" i="53"/>
  <c r="R255" i="53"/>
  <c r="X255" i="53" s="1"/>
  <c r="AT255" i="53"/>
  <c r="AG255" i="53"/>
  <c r="AF254" i="53"/>
  <c r="AL253" i="32"/>
  <c r="T255" i="32"/>
  <c r="I255" i="32"/>
  <c r="A255" i="32"/>
  <c r="Q255" i="32" s="1"/>
  <c r="P255" i="32" s="1"/>
  <c r="N255" i="32"/>
  <c r="F255" i="32"/>
  <c r="B255" i="32"/>
  <c r="R255" i="32" s="1"/>
  <c r="S255" i="32" s="1"/>
  <c r="G255" i="32"/>
  <c r="H255" i="32"/>
  <c r="L255" i="32"/>
  <c r="AK255" i="32"/>
  <c r="J255" i="32"/>
  <c r="K255" i="32"/>
  <c r="M255" i="32"/>
  <c r="O255" i="32"/>
  <c r="U254" i="32"/>
  <c r="AD254" i="32" s="1"/>
  <c r="AG254" i="32" s="1"/>
  <c r="AH254" i="32" s="1"/>
  <c r="AI254" i="32" s="1"/>
  <c r="AM254" i="32"/>
  <c r="C254" i="32"/>
  <c r="AJ254" i="32"/>
  <c r="V254" i="32"/>
  <c r="W254" i="32"/>
  <c r="X254" i="32" s="1"/>
  <c r="Z254" i="32"/>
  <c r="AN253" i="32"/>
  <c r="E256" i="32"/>
  <c r="AL256" i="11" a="1"/>
  <c r="AL256" i="11" s="1"/>
  <c r="Q256" i="65" l="1"/>
  <c r="AV256" i="65"/>
  <c r="AF256" i="65"/>
  <c r="AH256" i="65"/>
  <c r="AE256" i="65"/>
  <c r="U256" i="65"/>
  <c r="R256" i="65"/>
  <c r="S256" i="65" s="1"/>
  <c r="Y256" i="65" s="1"/>
  <c r="AB256" i="65" s="1"/>
  <c r="AC256" i="65" s="1"/>
  <c r="AD256" i="65" s="1"/>
  <c r="AG255" i="65"/>
  <c r="N257" i="65"/>
  <c r="AM257" i="65"/>
  <c r="AM258" i="65" s="1"/>
  <c r="H14" i="73" s="1"/>
  <c r="P257" i="65"/>
  <c r="D257" i="65"/>
  <c r="E257" i="65" s="1"/>
  <c r="F257" i="65" s="1"/>
  <c r="G257" i="65" s="1"/>
  <c r="H257" i="65" s="1"/>
  <c r="I257" i="65" s="1"/>
  <c r="J257" i="65" s="1"/>
  <c r="K257" i="65" s="1"/>
  <c r="AA255" i="53"/>
  <c r="AB255" i="53"/>
  <c r="AF255" i="53"/>
  <c r="AT256" i="53"/>
  <c r="Q256" i="53"/>
  <c r="AC256" i="53"/>
  <c r="R256" i="53"/>
  <c r="X256" i="53" s="1"/>
  <c r="AD256" i="53"/>
  <c r="AE256" i="53"/>
  <c r="AH256" i="53"/>
  <c r="AG256" i="53"/>
  <c r="I257" i="53"/>
  <c r="P257" i="53"/>
  <c r="P258" i="53" s="1"/>
  <c r="H257" i="53"/>
  <c r="N257" i="53"/>
  <c r="K257" i="53"/>
  <c r="M257" i="53"/>
  <c r="D257" i="53"/>
  <c r="O257" i="53"/>
  <c r="AG257" i="53" s="1"/>
  <c r="F257" i="53"/>
  <c r="L257" i="53"/>
  <c r="G257" i="53"/>
  <c r="C257" i="53"/>
  <c r="E257" i="53"/>
  <c r="J257" i="53"/>
  <c r="AL254" i="32"/>
  <c r="E257" i="32"/>
  <c r="AL257" i="11" a="1"/>
  <c r="AL257" i="11" s="1"/>
  <c r="AL258" i="11" s="1" a="1"/>
  <c r="AL258" i="11" s="1"/>
  <c r="K256" i="32"/>
  <c r="L256" i="32"/>
  <c r="H256" i="32"/>
  <c r="T256" i="32"/>
  <c r="A256" i="32"/>
  <c r="Q256" i="32" s="1"/>
  <c r="P256" i="32" s="1"/>
  <c r="M256" i="32"/>
  <c r="B256" i="32"/>
  <c r="R256" i="32" s="1"/>
  <c r="S256" i="32" s="1"/>
  <c r="J256" i="32"/>
  <c r="F256" i="32"/>
  <c r="AK256" i="32"/>
  <c r="N256" i="32"/>
  <c r="O256" i="32"/>
  <c r="G256" i="32"/>
  <c r="I256" i="32"/>
  <c r="C255" i="32"/>
  <c r="V255" i="32"/>
  <c r="W255" i="32"/>
  <c r="X255" i="32" s="1"/>
  <c r="AJ255" i="32"/>
  <c r="Z255" i="32"/>
  <c r="U255" i="32"/>
  <c r="AD255" i="32" s="1"/>
  <c r="AG255" i="32" s="1"/>
  <c r="AH255" i="32" s="1"/>
  <c r="AI255" i="32" s="1"/>
  <c r="AM255" i="32"/>
  <c r="AN254" i="32"/>
  <c r="H18" i="73" l="1"/>
  <c r="H39" i="73" s="1"/>
  <c r="H49" i="73"/>
  <c r="J18" i="73"/>
  <c r="K18" i="73" s="1"/>
  <c r="H63" i="73"/>
  <c r="J63" i="73" s="1"/>
  <c r="AG256" i="65"/>
  <c r="Q257" i="65"/>
  <c r="Q258" i="65" s="1"/>
  <c r="R257" i="65"/>
  <c r="S257" i="65" s="1"/>
  <c r="AV257" i="65"/>
  <c r="AH257" i="65"/>
  <c r="U257" i="65"/>
  <c r="AF257" i="65"/>
  <c r="AE257" i="65"/>
  <c r="M174" i="22"/>
  <c r="O174" i="22" s="1"/>
  <c r="N176" i="22"/>
  <c r="P176" i="22" s="1"/>
  <c r="M175" i="22"/>
  <c r="O175" i="22" s="1"/>
  <c r="N172" i="22"/>
  <c r="P172" i="22" s="1"/>
  <c r="N173" i="22"/>
  <c r="P173" i="22" s="1"/>
  <c r="N174" i="22"/>
  <c r="P174" i="22" s="1"/>
  <c r="N175" i="22"/>
  <c r="P175" i="22" s="1"/>
  <c r="M176" i="22"/>
  <c r="O176" i="22" s="1"/>
  <c r="M172" i="22"/>
  <c r="O172" i="22" s="1"/>
  <c r="M173" i="22"/>
  <c r="O173" i="22" s="1"/>
  <c r="Y257" i="65"/>
  <c r="AF256" i="53"/>
  <c r="AC257" i="53"/>
  <c r="Q257" i="53"/>
  <c r="R257" i="53"/>
  <c r="X257" i="53" s="1"/>
  <c r="AD257" i="53"/>
  <c r="AE257" i="53"/>
  <c r="AH257" i="53"/>
  <c r="AH258" i="53" s="1"/>
  <c r="H13" i="73" s="1"/>
  <c r="AT257" i="53"/>
  <c r="M160" i="22"/>
  <c r="O160" i="22" s="1"/>
  <c r="N159" i="22"/>
  <c r="P159" i="22" s="1"/>
  <c r="M158" i="22"/>
  <c r="O158" i="22" s="1"/>
  <c r="N158" i="22"/>
  <c r="P158" i="22" s="1"/>
  <c r="M153" i="22"/>
  <c r="O153" i="22" s="1"/>
  <c r="M156" i="22"/>
  <c r="O156" i="22" s="1"/>
  <c r="M154" i="22"/>
  <c r="O154" i="22" s="1"/>
  <c r="N150" i="22"/>
  <c r="P150" i="22" s="1"/>
  <c r="M150" i="22"/>
  <c r="O150" i="22" s="1"/>
  <c r="N160" i="22"/>
  <c r="P160" i="22" s="1"/>
  <c r="M162" i="22"/>
  <c r="O162" i="22" s="1"/>
  <c r="N152" i="22"/>
  <c r="P152" i="22" s="1"/>
  <c r="N162" i="22"/>
  <c r="P162" i="22" s="1"/>
  <c r="M159" i="22"/>
  <c r="O159" i="22" s="1"/>
  <c r="M157" i="22"/>
  <c r="O157" i="22" s="1"/>
  <c r="N154" i="22"/>
  <c r="P154" i="22" s="1"/>
  <c r="N157" i="22"/>
  <c r="P157" i="22" s="1"/>
  <c r="N161" i="22"/>
  <c r="P161" i="22" s="1"/>
  <c r="N151" i="22"/>
  <c r="P151" i="22" s="1"/>
  <c r="N153" i="22"/>
  <c r="P153" i="22" s="1"/>
  <c r="M161" i="22"/>
  <c r="O161" i="22" s="1"/>
  <c r="N155" i="22"/>
  <c r="P155" i="22" s="1"/>
  <c r="M155" i="22"/>
  <c r="O155" i="22" s="1"/>
  <c r="N156" i="22"/>
  <c r="P156" i="22" s="1"/>
  <c r="M151" i="22"/>
  <c r="O151" i="22" s="1"/>
  <c r="M152" i="22"/>
  <c r="O152" i="22" s="1"/>
  <c r="AA256" i="53"/>
  <c r="AB256" i="53"/>
  <c r="AN255" i="32"/>
  <c r="AJ256" i="32"/>
  <c r="V256" i="32"/>
  <c r="W256" i="32"/>
  <c r="X256" i="32" s="1"/>
  <c r="Z256" i="32"/>
  <c r="C256" i="32"/>
  <c r="F257" i="32"/>
  <c r="A257" i="32"/>
  <c r="Q257" i="32" s="1"/>
  <c r="M257" i="32"/>
  <c r="I257" i="32"/>
  <c r="N257" i="32"/>
  <c r="G257" i="32"/>
  <c r="H257" i="32"/>
  <c r="J257" i="32"/>
  <c r="T257" i="32"/>
  <c r="K257" i="32"/>
  <c r="O257" i="32"/>
  <c r="B257" i="32"/>
  <c r="R257" i="32" s="1"/>
  <c r="S257" i="32" s="1"/>
  <c r="AK257" i="32"/>
  <c r="L257" i="32"/>
  <c r="AL255" i="32"/>
  <c r="AM256" i="32"/>
  <c r="U256" i="32"/>
  <c r="AD256" i="32" s="1"/>
  <c r="AG256" i="32" s="1"/>
  <c r="AH256" i="32" s="1"/>
  <c r="AI256" i="32" s="1"/>
  <c r="AB257" i="65" l="1"/>
  <c r="AC257" i="65" s="1"/>
  <c r="AD257" i="65" s="1"/>
  <c r="Y2" i="65"/>
  <c r="E166" i="36"/>
  <c r="Q175" i="22"/>
  <c r="AE175" i="22" s="1"/>
  <c r="F167" i="36"/>
  <c r="R176" i="22"/>
  <c r="E165" i="36"/>
  <c r="Q174" i="22"/>
  <c r="AE174" i="22" s="1"/>
  <c r="E164" i="36"/>
  <c r="Q173" i="22"/>
  <c r="AE173" i="22" s="1"/>
  <c r="E167" i="36"/>
  <c r="Q176" i="22"/>
  <c r="AE176" i="22" s="1"/>
  <c r="E163" i="36"/>
  <c r="Q172" i="22"/>
  <c r="AE172" i="22" s="1"/>
  <c r="F166" i="36"/>
  <c r="R175" i="22"/>
  <c r="AG257" i="65"/>
  <c r="F165" i="36"/>
  <c r="R174" i="22"/>
  <c r="R173" i="22"/>
  <c r="F164" i="36"/>
  <c r="I3" i="63"/>
  <c r="P4" i="69"/>
  <c r="M4" i="64"/>
  <c r="K3" i="67"/>
  <c r="P3" i="65"/>
  <c r="H53" i="73"/>
  <c r="L3" i="68"/>
  <c r="H12" i="36"/>
  <c r="F163" i="36"/>
  <c r="R172" i="22"/>
  <c r="E110" i="36"/>
  <c r="Q160" i="22"/>
  <c r="AE160" i="22" s="1"/>
  <c r="F106" i="36"/>
  <c r="R156" i="22"/>
  <c r="F104" i="36"/>
  <c r="R154" i="22"/>
  <c r="F100" i="36"/>
  <c r="R150" i="22"/>
  <c r="E105" i="36"/>
  <c r="Q155" i="22"/>
  <c r="AE155" i="22" s="1"/>
  <c r="Q157" i="22"/>
  <c r="AE157" i="22" s="1"/>
  <c r="E107" i="36"/>
  <c r="E104" i="36"/>
  <c r="Q154" i="22"/>
  <c r="AE154" i="22" s="1"/>
  <c r="J17" i="73"/>
  <c r="K17" i="73" s="1"/>
  <c r="H17" i="73"/>
  <c r="H38" i="73" s="1"/>
  <c r="H62" i="73"/>
  <c r="J62" i="73" s="1"/>
  <c r="H48" i="73"/>
  <c r="F107" i="36"/>
  <c r="R157" i="22"/>
  <c r="F105" i="36"/>
  <c r="R155" i="22"/>
  <c r="E109" i="36"/>
  <c r="Q159" i="22"/>
  <c r="AE159" i="22" s="1"/>
  <c r="E106" i="36"/>
  <c r="Q156" i="22"/>
  <c r="AE156" i="22" s="1"/>
  <c r="AF257" i="53"/>
  <c r="Q151" i="22"/>
  <c r="AE151" i="22" s="1"/>
  <c r="E101" i="36"/>
  <c r="E111" i="36"/>
  <c r="Q161" i="22"/>
  <c r="AE161" i="22" s="1"/>
  <c r="R162" i="22"/>
  <c r="F112" i="36"/>
  <c r="E103" i="36"/>
  <c r="Q153" i="22"/>
  <c r="AE153" i="22" s="1"/>
  <c r="E100" i="36"/>
  <c r="Q150" i="22"/>
  <c r="AE150" i="22" s="1"/>
  <c r="R153" i="22"/>
  <c r="F103" i="36"/>
  <c r="F102" i="36"/>
  <c r="R152" i="22"/>
  <c r="R158" i="22"/>
  <c r="F108" i="36"/>
  <c r="AA257" i="53"/>
  <c r="AB257" i="53"/>
  <c r="X2" i="53"/>
  <c r="R151" i="22"/>
  <c r="F101" i="36"/>
  <c r="E112" i="36"/>
  <c r="Q162" i="22"/>
  <c r="AE162" i="22" s="1"/>
  <c r="Q158" i="22"/>
  <c r="AE158" i="22" s="1"/>
  <c r="E108" i="36"/>
  <c r="Q152" i="22"/>
  <c r="AE152" i="22" s="1"/>
  <c r="E102" i="36"/>
  <c r="R161" i="22"/>
  <c r="F111" i="36"/>
  <c r="R160" i="22"/>
  <c r="F110" i="36"/>
  <c r="R159" i="22"/>
  <c r="F109" i="36"/>
  <c r="AL256" i="32"/>
  <c r="AN256" i="32"/>
  <c r="P257" i="32"/>
  <c r="R6" i="32" a="1"/>
  <c r="R6" i="32" s="1"/>
  <c r="U257" i="32"/>
  <c r="AD257" i="32" s="1"/>
  <c r="AL257" i="32" s="1"/>
  <c r="AM257" i="32"/>
  <c r="AJ257" i="32"/>
  <c r="C257" i="32"/>
  <c r="W257" i="32"/>
  <c r="X257" i="32" s="1"/>
  <c r="Z257" i="32"/>
  <c r="V257" i="32"/>
  <c r="N28" i="22"/>
  <c r="P28" i="22" s="1"/>
  <c r="N27" i="22"/>
  <c r="P27" i="22" s="1"/>
  <c r="M34" i="22"/>
  <c r="O34" i="22" s="1"/>
  <c r="M100" i="22"/>
  <c r="O100" i="22" s="1"/>
  <c r="N73" i="22"/>
  <c r="P73" i="22" s="1"/>
  <c r="N10" i="22"/>
  <c r="P10" i="22" s="1"/>
  <c r="M125" i="22"/>
  <c r="O125" i="22" s="1"/>
  <c r="M33" i="22"/>
  <c r="O33" i="22" s="1"/>
  <c r="N71" i="22"/>
  <c r="P71" i="22" s="1"/>
  <c r="M9" i="22"/>
  <c r="O9" i="22" s="1"/>
  <c r="M57" i="22"/>
  <c r="O57" i="22" s="1"/>
  <c r="M119" i="22"/>
  <c r="O119" i="22" s="1"/>
  <c r="N103" i="22"/>
  <c r="P103" i="22" s="1"/>
  <c r="N41" i="22"/>
  <c r="P41" i="22" s="1"/>
  <c r="M81" i="22"/>
  <c r="O81" i="22" s="1"/>
  <c r="N81" i="22"/>
  <c r="P81" i="22" s="1"/>
  <c r="N16" i="22"/>
  <c r="P16" i="22" s="1"/>
  <c r="N75" i="22"/>
  <c r="P75" i="22" s="1"/>
  <c r="N107" i="22"/>
  <c r="P107" i="22" s="1"/>
  <c r="M109" i="22"/>
  <c r="O109" i="22" s="1"/>
  <c r="N123" i="22"/>
  <c r="P123" i="22" s="1"/>
  <c r="N47" i="22"/>
  <c r="P47" i="22" s="1"/>
  <c r="N45" i="22"/>
  <c r="P45" i="22" s="1"/>
  <c r="M106" i="22"/>
  <c r="O106" i="22" s="1"/>
  <c r="N105" i="22"/>
  <c r="P105" i="22" s="1"/>
  <c r="N42" i="22"/>
  <c r="P42" i="22" s="1"/>
  <c r="M76" i="22"/>
  <c r="O76" i="22" s="1"/>
  <c r="N70" i="22"/>
  <c r="P70" i="22" s="1"/>
  <c r="N125" i="22"/>
  <c r="P125" i="22" s="1"/>
  <c r="M6" i="22"/>
  <c r="O6" i="22" s="1"/>
  <c r="N31" i="22"/>
  <c r="P31" i="22" s="1"/>
  <c r="M29" i="22"/>
  <c r="O29" i="22" s="1"/>
  <c r="M117" i="22"/>
  <c r="O117" i="22" s="1"/>
  <c r="N48" i="22"/>
  <c r="P48" i="22" s="1"/>
  <c r="M98" i="22"/>
  <c r="O98" i="22" s="1"/>
  <c r="M91" i="22"/>
  <c r="O91" i="22" s="1"/>
  <c r="M38" i="22"/>
  <c r="O38" i="22" s="1"/>
  <c r="M74" i="22"/>
  <c r="O74" i="22" s="1"/>
  <c r="M17" i="22"/>
  <c r="O17" i="22" s="1"/>
  <c r="N100" i="22"/>
  <c r="P100" i="22" s="1"/>
  <c r="N62" i="22"/>
  <c r="P62" i="22" s="1"/>
  <c r="M130" i="22"/>
  <c r="O130" i="22" s="1"/>
  <c r="N108" i="22"/>
  <c r="P108" i="22" s="1"/>
  <c r="N122" i="22"/>
  <c r="P122" i="22" s="1"/>
  <c r="M13" i="22"/>
  <c r="O13" i="22" s="1"/>
  <c r="N136" i="22"/>
  <c r="P136" i="22" s="1"/>
  <c r="R136" i="22" s="1"/>
  <c r="AF136" i="22" s="1"/>
  <c r="N132" i="22"/>
  <c r="P132" i="22" s="1"/>
  <c r="N5" i="22"/>
  <c r="P5" i="22" s="1"/>
  <c r="M20" i="22"/>
  <c r="O20" i="22" s="1"/>
  <c r="N72" i="22"/>
  <c r="P72" i="22" s="1"/>
  <c r="M66" i="22"/>
  <c r="O66" i="22" s="1"/>
  <c r="N109" i="22"/>
  <c r="P109" i="22" s="1"/>
  <c r="N44" i="22"/>
  <c r="P44" i="22" s="1"/>
  <c r="N78" i="22"/>
  <c r="P78" i="22" s="1"/>
  <c r="N86" i="22"/>
  <c r="P86" i="22" s="1"/>
  <c r="N113" i="22"/>
  <c r="P113" i="22" s="1"/>
  <c r="N56" i="22"/>
  <c r="P56" i="22" s="1"/>
  <c r="N94" i="22"/>
  <c r="P94" i="22" s="1"/>
  <c r="M54" i="22"/>
  <c r="O54" i="22" s="1"/>
  <c r="N43" i="22"/>
  <c r="P43" i="22" s="1"/>
  <c r="N63" i="22"/>
  <c r="P63" i="22" s="1"/>
  <c r="M107" i="22"/>
  <c r="O107" i="22" s="1"/>
  <c r="N23" i="22"/>
  <c r="P23" i="22" s="1"/>
  <c r="N30" i="22"/>
  <c r="P30" i="22" s="1"/>
  <c r="M137" i="22"/>
  <c r="O137" i="22" s="1"/>
  <c r="Q137" i="22" s="1"/>
  <c r="AE137" i="22" s="1"/>
  <c r="N102" i="22"/>
  <c r="P102" i="22" s="1"/>
  <c r="N92" i="22"/>
  <c r="P92" i="22" s="1"/>
  <c r="N53" i="22"/>
  <c r="P53" i="22" s="1"/>
  <c r="N127" i="22"/>
  <c r="P127" i="22" s="1"/>
  <c r="M85" i="22"/>
  <c r="O85" i="22" s="1"/>
  <c r="N106" i="22"/>
  <c r="P106" i="22" s="1"/>
  <c r="N104" i="22"/>
  <c r="P104" i="22" s="1"/>
  <c r="M73" i="22"/>
  <c r="O73" i="22" s="1"/>
  <c r="M59" i="22"/>
  <c r="O59" i="22" s="1"/>
  <c r="M138" i="22"/>
  <c r="O138" i="22" s="1"/>
  <c r="Q138" i="22" s="1"/>
  <c r="AE138" i="22" s="1"/>
  <c r="N82" i="22"/>
  <c r="P82" i="22" s="1"/>
  <c r="M8" i="22"/>
  <c r="O8" i="22" s="1"/>
  <c r="N120" i="22"/>
  <c r="P120" i="22" s="1"/>
  <c r="M11" i="22"/>
  <c r="O11" i="22" s="1"/>
  <c r="M15" i="22"/>
  <c r="O15" i="22" s="1"/>
  <c r="M133" i="22"/>
  <c r="O133" i="22" s="1"/>
  <c r="N57" i="22"/>
  <c r="P57" i="22" s="1"/>
  <c r="M75" i="22"/>
  <c r="O75" i="22" s="1"/>
  <c r="N58" i="22"/>
  <c r="P58" i="22" s="1"/>
  <c r="M23" i="22"/>
  <c r="O23" i="22" s="1"/>
  <c r="M46" i="22"/>
  <c r="O46" i="22" s="1"/>
  <c r="M96" i="22"/>
  <c r="O96" i="22" s="1"/>
  <c r="N76" i="22"/>
  <c r="P76" i="22" s="1"/>
  <c r="M121" i="22"/>
  <c r="O121" i="22" s="1"/>
  <c r="N24" i="22"/>
  <c r="P24" i="22" s="1"/>
  <c r="N74" i="22"/>
  <c r="P74" i="22" s="1"/>
  <c r="N121" i="22"/>
  <c r="P121" i="22" s="1"/>
  <c r="N111" i="22"/>
  <c r="P111" i="22" s="1"/>
  <c r="M31" i="22"/>
  <c r="O31" i="22" s="1"/>
  <c r="N96" i="22"/>
  <c r="P96" i="22" s="1"/>
  <c r="M39" i="22"/>
  <c r="O39" i="22" s="1"/>
  <c r="M89" i="22"/>
  <c r="O89" i="22" s="1"/>
  <c r="M110" i="22"/>
  <c r="O110" i="22" s="1"/>
  <c r="N67" i="22"/>
  <c r="P67" i="22" s="1"/>
  <c r="N137" i="22"/>
  <c r="P137" i="22" s="1"/>
  <c r="R137" i="22" s="1"/>
  <c r="AF137" i="22" s="1"/>
  <c r="M64" i="22"/>
  <c r="O64" i="22" s="1"/>
  <c r="M114" i="22"/>
  <c r="O114" i="22" s="1"/>
  <c r="N83" i="22"/>
  <c r="P83" i="22" s="1"/>
  <c r="M101" i="22"/>
  <c r="O101" i="22" s="1"/>
  <c r="M120" i="22"/>
  <c r="O120" i="22" s="1"/>
  <c r="N69" i="22"/>
  <c r="P69" i="22" s="1"/>
  <c r="N55" i="22"/>
  <c r="P55" i="22" s="1"/>
  <c r="N11" i="22"/>
  <c r="P11" i="22" s="1"/>
  <c r="N65" i="22"/>
  <c r="P65" i="22" s="1"/>
  <c r="N18" i="22"/>
  <c r="P18" i="22" s="1"/>
  <c r="M103" i="22"/>
  <c r="O103" i="22" s="1"/>
  <c r="N97" i="22"/>
  <c r="P97" i="22" s="1"/>
  <c r="N17" i="22"/>
  <c r="P17" i="22" s="1"/>
  <c r="M40" i="22"/>
  <c r="O40" i="22" s="1"/>
  <c r="M27" i="22"/>
  <c r="O27" i="22" s="1"/>
  <c r="N117" i="22"/>
  <c r="P117" i="22" s="1"/>
  <c r="N95" i="22"/>
  <c r="P95" i="22" s="1"/>
  <c r="M19" i="22"/>
  <c r="O19" i="22" s="1"/>
  <c r="N9" i="22"/>
  <c r="P9" i="22" s="1"/>
  <c r="M104" i="22"/>
  <c r="O104" i="22" s="1"/>
  <c r="N140" i="22"/>
  <c r="P140" i="22" s="1"/>
  <c r="R140" i="22" s="1"/>
  <c r="AF140" i="22" s="1"/>
  <c r="M25" i="22"/>
  <c r="O25" i="22" s="1"/>
  <c r="M108" i="22"/>
  <c r="O108" i="22" s="1"/>
  <c r="M116" i="22"/>
  <c r="O116" i="22" s="1"/>
  <c r="M105" i="22"/>
  <c r="O105" i="22" s="1"/>
  <c r="M60" i="22"/>
  <c r="O60" i="22" s="1"/>
  <c r="N33" i="22"/>
  <c r="P33" i="22" s="1"/>
  <c r="N139" i="22"/>
  <c r="P139" i="22" s="1"/>
  <c r="R139" i="22" s="1"/>
  <c r="AF139" i="22" s="1"/>
  <c r="N128" i="22"/>
  <c r="P128" i="22" s="1"/>
  <c r="N91" i="22"/>
  <c r="P91" i="22" s="1"/>
  <c r="M132" i="22"/>
  <c r="O132" i="22" s="1"/>
  <c r="M49" i="22"/>
  <c r="O49" i="22" s="1"/>
  <c r="M61" i="22"/>
  <c r="O61" i="22" s="1"/>
  <c r="M123" i="22"/>
  <c r="O123" i="22" s="1"/>
  <c r="M92" i="22"/>
  <c r="O92" i="22" s="1"/>
  <c r="M24" i="22"/>
  <c r="O24" i="22" s="1"/>
  <c r="M97" i="22"/>
  <c r="O97" i="22" s="1"/>
  <c r="N89" i="22"/>
  <c r="P89" i="22" s="1"/>
  <c r="M4" i="22"/>
  <c r="O4" i="22" s="1"/>
  <c r="M28" i="22"/>
  <c r="O28" i="22" s="1"/>
  <c r="M52" i="22"/>
  <c r="O52" i="22" s="1"/>
  <c r="N51" i="22"/>
  <c r="P51" i="22" s="1"/>
  <c r="N21" i="22"/>
  <c r="P21" i="22" s="1"/>
  <c r="N46" i="22"/>
  <c r="P46" i="22" s="1"/>
  <c r="M44" i="22"/>
  <c r="O44" i="22" s="1"/>
  <c r="M48" i="22"/>
  <c r="O48" i="22" s="1"/>
  <c r="M90" i="22"/>
  <c r="O90" i="22" s="1"/>
  <c r="M99" i="22"/>
  <c r="O99" i="22" s="1"/>
  <c r="N131" i="22"/>
  <c r="P131" i="22" s="1"/>
  <c r="N133" i="22"/>
  <c r="P133" i="22" s="1"/>
  <c r="N115" i="22"/>
  <c r="P115" i="22" s="1"/>
  <c r="M21" i="22"/>
  <c r="O21" i="22" s="1"/>
  <c r="M7" i="22"/>
  <c r="O7" i="22" s="1"/>
  <c r="N138" i="22"/>
  <c r="P138" i="22" s="1"/>
  <c r="R138" i="22" s="1"/>
  <c r="AF138" i="22" s="1"/>
  <c r="N98" i="22"/>
  <c r="P98" i="22" s="1"/>
  <c r="M67" i="22"/>
  <c r="O67" i="22" s="1"/>
  <c r="M87" i="22"/>
  <c r="O87" i="22" s="1"/>
  <c r="N39" i="22"/>
  <c r="P39" i="22" s="1"/>
  <c r="N85" i="22"/>
  <c r="P85" i="22" s="1"/>
  <c r="N90" i="22"/>
  <c r="P90" i="22" s="1"/>
  <c r="M122" i="22"/>
  <c r="O122" i="22" s="1"/>
  <c r="M95" i="22"/>
  <c r="O95" i="22" s="1"/>
  <c r="N26" i="22"/>
  <c r="P26" i="22" s="1"/>
  <c r="M68" i="22"/>
  <c r="O68" i="22" s="1"/>
  <c r="N79" i="22"/>
  <c r="P79" i="22" s="1"/>
  <c r="M135" i="22"/>
  <c r="O135" i="22" s="1"/>
  <c r="M111" i="22"/>
  <c r="O111" i="22" s="1"/>
  <c r="M56" i="22"/>
  <c r="O56" i="22" s="1"/>
  <c r="N15" i="22"/>
  <c r="P15" i="22" s="1"/>
  <c r="M80" i="22"/>
  <c r="O80" i="22" s="1"/>
  <c r="M42" i="22"/>
  <c r="O42" i="22" s="1"/>
  <c r="N130" i="22"/>
  <c r="P130" i="22" s="1"/>
  <c r="N87" i="22"/>
  <c r="P87" i="22" s="1"/>
  <c r="M83" i="22"/>
  <c r="O83" i="22" s="1"/>
  <c r="M93" i="22"/>
  <c r="O93" i="22" s="1"/>
  <c r="M55" i="22"/>
  <c r="O55" i="22" s="1"/>
  <c r="M43" i="22"/>
  <c r="O43" i="22" s="1"/>
  <c r="N12" i="22"/>
  <c r="P12" i="22" s="1"/>
  <c r="M94" i="22"/>
  <c r="O94" i="22" s="1"/>
  <c r="M51" i="22"/>
  <c r="O51" i="22" s="1"/>
  <c r="N13" i="22"/>
  <c r="P13" i="22" s="1"/>
  <c r="M72" i="22"/>
  <c r="O72" i="22" s="1"/>
  <c r="M65" i="22"/>
  <c r="O65" i="22" s="1"/>
  <c r="N32" i="22"/>
  <c r="P32" i="22" s="1"/>
  <c r="N22" i="22"/>
  <c r="P22" i="22" s="1"/>
  <c r="M126" i="22"/>
  <c r="O126" i="22" s="1"/>
  <c r="N88" i="22"/>
  <c r="P88" i="22" s="1"/>
  <c r="M112" i="22"/>
  <c r="O112" i="22" s="1"/>
  <c r="N135" i="22"/>
  <c r="P135" i="22" s="1"/>
  <c r="N34" i="22"/>
  <c r="P34" i="22" s="1"/>
  <c r="M78" i="22"/>
  <c r="O78" i="22" s="1"/>
  <c r="M77" i="22"/>
  <c r="O77" i="22" s="1"/>
  <c r="M88" i="22"/>
  <c r="O88" i="22" s="1"/>
  <c r="N8" i="22"/>
  <c r="P8" i="22" s="1"/>
  <c r="M136" i="22"/>
  <c r="O136" i="22" s="1"/>
  <c r="Q136" i="22" s="1"/>
  <c r="AE136" i="22" s="1"/>
  <c r="N66" i="22"/>
  <c r="P66" i="22" s="1"/>
  <c r="M124" i="22"/>
  <c r="O124" i="22" s="1"/>
  <c r="N60" i="22"/>
  <c r="P60" i="22" s="1"/>
  <c r="N119" i="22"/>
  <c r="P119" i="22" s="1"/>
  <c r="M50" i="22"/>
  <c r="O50" i="22" s="1"/>
  <c r="N114" i="22"/>
  <c r="P114" i="22" s="1"/>
  <c r="M71" i="22"/>
  <c r="O71" i="22" s="1"/>
  <c r="M14" i="22"/>
  <c r="O14" i="22" s="1"/>
  <c r="M139" i="22"/>
  <c r="O139" i="22" s="1"/>
  <c r="Q139" i="22" s="1"/>
  <c r="AE139" i="22" s="1"/>
  <c r="M118" i="22"/>
  <c r="O118" i="22" s="1"/>
  <c r="N110" i="22"/>
  <c r="P110" i="22" s="1"/>
  <c r="M62" i="22"/>
  <c r="O62" i="22" s="1"/>
  <c r="N126" i="22"/>
  <c r="P126" i="22" s="1"/>
  <c r="N59" i="22"/>
  <c r="P59" i="22" s="1"/>
  <c r="M26" i="22"/>
  <c r="O26" i="22" s="1"/>
  <c r="N118" i="22"/>
  <c r="P118" i="22" s="1"/>
  <c r="M10" i="22"/>
  <c r="O10" i="22" s="1"/>
  <c r="M79" i="22"/>
  <c r="O79" i="22" s="1"/>
  <c r="N80" i="22"/>
  <c r="P80" i="22" s="1"/>
  <c r="N134" i="22"/>
  <c r="P134" i="22" s="1"/>
  <c r="M82" i="22"/>
  <c r="O82" i="22" s="1"/>
  <c r="M32" i="22"/>
  <c r="O32" i="22" s="1"/>
  <c r="M35" i="22"/>
  <c r="O35" i="22" s="1"/>
  <c r="N7" i="22"/>
  <c r="P7" i="22" s="1"/>
  <c r="N35" i="22"/>
  <c r="P35" i="22" s="1"/>
  <c r="M53" i="22"/>
  <c r="O53" i="22" s="1"/>
  <c r="M63" i="22"/>
  <c r="O63" i="22" s="1"/>
  <c r="N40" i="22"/>
  <c r="P40" i="22" s="1"/>
  <c r="M58" i="22"/>
  <c r="O58" i="22" s="1"/>
  <c r="M86" i="22"/>
  <c r="O86" i="22" s="1"/>
  <c r="N29" i="22"/>
  <c r="P29" i="22" s="1"/>
  <c r="M47" i="22"/>
  <c r="O47" i="22" s="1"/>
  <c r="N50" i="22"/>
  <c r="P50" i="22" s="1"/>
  <c r="M22" i="22"/>
  <c r="O22" i="22" s="1"/>
  <c r="M5" i="22"/>
  <c r="O5" i="22" s="1"/>
  <c r="N20" i="22"/>
  <c r="P20" i="22" s="1"/>
  <c r="M70" i="22"/>
  <c r="O70" i="22" s="1"/>
  <c r="N112" i="22"/>
  <c r="P112" i="22" s="1"/>
  <c r="N14" i="22"/>
  <c r="P14" i="22" s="1"/>
  <c r="N25" i="22"/>
  <c r="P25" i="22" s="1"/>
  <c r="N19" i="22"/>
  <c r="P19" i="22" s="1"/>
  <c r="N54" i="22"/>
  <c r="P54" i="22" s="1"/>
  <c r="N52" i="22"/>
  <c r="P52" i="22" s="1"/>
  <c r="M131" i="22"/>
  <c r="O131" i="22" s="1"/>
  <c r="M41" i="22"/>
  <c r="O41" i="22" s="1"/>
  <c r="N124" i="22"/>
  <c r="P124" i="22" s="1"/>
  <c r="N129" i="22"/>
  <c r="P129" i="22" s="1"/>
  <c r="N4" i="22"/>
  <c r="P4" i="22" s="1"/>
  <c r="M129" i="22"/>
  <c r="O129" i="22" s="1"/>
  <c r="N116" i="22"/>
  <c r="P116" i="22" s="1"/>
  <c r="N36" i="22"/>
  <c r="P36" i="22" s="1"/>
  <c r="M69" i="22"/>
  <c r="O69" i="22" s="1"/>
  <c r="M140" i="22"/>
  <c r="O140" i="22" s="1"/>
  <c r="Q140" i="22" s="1"/>
  <c r="AE140" i="22" s="1"/>
  <c r="N77" i="22"/>
  <c r="P77" i="22" s="1"/>
  <c r="N37" i="22"/>
  <c r="P37" i="22" s="1"/>
  <c r="M128" i="22"/>
  <c r="O128" i="22" s="1"/>
  <c r="N68" i="22"/>
  <c r="P68" i="22" s="1"/>
  <c r="M113" i="22"/>
  <c r="O113" i="22" s="1"/>
  <c r="M37" i="22"/>
  <c r="O37" i="22" s="1"/>
  <c r="M134" i="22"/>
  <c r="O134" i="22" s="1"/>
  <c r="M102" i="22"/>
  <c r="O102" i="22" s="1"/>
  <c r="N93" i="22"/>
  <c r="P93" i="22" s="1"/>
  <c r="N101" i="22"/>
  <c r="P101" i="22" s="1"/>
  <c r="N84" i="22"/>
  <c r="P84" i="22" s="1"/>
  <c r="M45" i="22"/>
  <c r="O45" i="22" s="1"/>
  <c r="N61" i="22"/>
  <c r="P61" i="22" s="1"/>
  <c r="N64" i="22"/>
  <c r="P64" i="22" s="1"/>
  <c r="M16" i="22"/>
  <c r="O16" i="22" s="1"/>
  <c r="M12" i="22"/>
  <c r="O12" i="22" s="1"/>
  <c r="M30" i="22"/>
  <c r="O30" i="22" s="1"/>
  <c r="N6" i="22"/>
  <c r="P6" i="22" s="1"/>
  <c r="N38" i="22"/>
  <c r="P38" i="22" s="1"/>
  <c r="M36" i="22"/>
  <c r="O36" i="22" s="1"/>
  <c r="M127" i="22"/>
  <c r="O127" i="22" s="1"/>
  <c r="N99" i="22"/>
  <c r="P99" i="22" s="1"/>
  <c r="M18" i="22"/>
  <c r="O18" i="22" s="1"/>
  <c r="M84" i="22"/>
  <c r="O84" i="22" s="1"/>
  <c r="M115" i="22"/>
  <c r="O115" i="22" s="1"/>
  <c r="N49" i="22"/>
  <c r="P49" i="22" s="1"/>
  <c r="E204" i="36" l="1"/>
  <c r="G164" i="36"/>
  <c r="G204" i="36" s="1"/>
  <c r="C31" i="105"/>
  <c r="AF175" i="22"/>
  <c r="E31" i="105" s="1"/>
  <c r="C13" i="105"/>
  <c r="C14" i="105" s="1"/>
  <c r="AF172" i="22"/>
  <c r="E13" i="105" s="1"/>
  <c r="H166" i="36"/>
  <c r="H206" i="36" s="1"/>
  <c r="F206" i="36"/>
  <c r="G165" i="36"/>
  <c r="G205" i="36" s="1"/>
  <c r="E205" i="36"/>
  <c r="F203" i="36"/>
  <c r="H163" i="36"/>
  <c r="H203" i="36" s="1"/>
  <c r="C42" i="105"/>
  <c r="C43" i="105" s="1"/>
  <c r="AF176" i="22"/>
  <c r="E42" i="105" s="1"/>
  <c r="E43" i="105" s="1"/>
  <c r="H41" i="105" s="1"/>
  <c r="H164" i="36"/>
  <c r="H204" i="36" s="1"/>
  <c r="F204" i="36"/>
  <c r="G163" i="36"/>
  <c r="G203" i="36" s="1"/>
  <c r="E203" i="36"/>
  <c r="H167" i="36"/>
  <c r="H207" i="36" s="1"/>
  <c r="F207" i="36"/>
  <c r="C22" i="105"/>
  <c r="C23" i="105" s="1"/>
  <c r="AF173" i="22"/>
  <c r="E22" i="105" s="1"/>
  <c r="E23" i="105" s="1"/>
  <c r="M5" i="64"/>
  <c r="K4" i="67"/>
  <c r="P4" i="65"/>
  <c r="I4" i="63"/>
  <c r="H16" i="36"/>
  <c r="L4" i="68"/>
  <c r="P5" i="69"/>
  <c r="J53" i="73"/>
  <c r="C30" i="105"/>
  <c r="C32" i="105" s="1"/>
  <c r="AF174" i="22"/>
  <c r="E30" i="105" s="1"/>
  <c r="G167" i="36"/>
  <c r="G207" i="36" s="1"/>
  <c r="E207" i="36"/>
  <c r="E206" i="36"/>
  <c r="G166" i="36"/>
  <c r="G206" i="36" s="1"/>
  <c r="H165" i="36"/>
  <c r="H205" i="36" s="1"/>
  <c r="F205" i="36"/>
  <c r="C24" i="104"/>
  <c r="AF153" i="22"/>
  <c r="E24" i="104" s="1"/>
  <c r="G111" i="36"/>
  <c r="G151" i="36" s="1"/>
  <c r="E151" i="36"/>
  <c r="C33" i="104"/>
  <c r="AF155" i="22"/>
  <c r="E33" i="104" s="1"/>
  <c r="F140" i="36"/>
  <c r="H100" i="36"/>
  <c r="H140" i="36" s="1"/>
  <c r="C22" i="104"/>
  <c r="AF151" i="22"/>
  <c r="E22" i="104" s="1"/>
  <c r="C14" i="104"/>
  <c r="C15" i="104" s="1"/>
  <c r="AF150" i="22"/>
  <c r="E14" i="104" s="1"/>
  <c r="H105" i="36"/>
  <c r="H145" i="36" s="1"/>
  <c r="F145" i="36"/>
  <c r="C32" i="104"/>
  <c r="AF154" i="22"/>
  <c r="E32" i="104" s="1"/>
  <c r="G102" i="36"/>
  <c r="G142" i="36" s="1"/>
  <c r="E142" i="36"/>
  <c r="G101" i="36"/>
  <c r="G141" i="36" s="1"/>
  <c r="E141" i="36"/>
  <c r="H109" i="36"/>
  <c r="H149" i="36" s="1"/>
  <c r="F149" i="36"/>
  <c r="G108" i="36"/>
  <c r="G148" i="36" s="1"/>
  <c r="E148" i="36"/>
  <c r="G100" i="36"/>
  <c r="G140" i="36" s="1"/>
  <c r="E140" i="36"/>
  <c r="AF157" i="22"/>
  <c r="E35" i="104" s="1"/>
  <c r="C35" i="104"/>
  <c r="E144" i="36"/>
  <c r="G104" i="36"/>
  <c r="G144" i="36" s="1"/>
  <c r="H104" i="36"/>
  <c r="H144" i="36" s="1"/>
  <c r="F144" i="36"/>
  <c r="H108" i="36"/>
  <c r="H148" i="36" s="1"/>
  <c r="F148" i="36"/>
  <c r="C46" i="104"/>
  <c r="AF161" i="22"/>
  <c r="E46" i="104" s="1"/>
  <c r="H103" i="36"/>
  <c r="H143" i="36" s="1"/>
  <c r="F143" i="36"/>
  <c r="G109" i="36"/>
  <c r="G149" i="36" s="1"/>
  <c r="E149" i="36"/>
  <c r="C44" i="104"/>
  <c r="AF159" i="22"/>
  <c r="E44" i="104" s="1"/>
  <c r="F147" i="36"/>
  <c r="H107" i="36"/>
  <c r="H147" i="36" s="1"/>
  <c r="E147" i="36"/>
  <c r="G107" i="36"/>
  <c r="G147" i="36" s="1"/>
  <c r="C34" i="104"/>
  <c r="AF156" i="22"/>
  <c r="E34" i="104" s="1"/>
  <c r="H110" i="36"/>
  <c r="H150" i="36" s="1"/>
  <c r="F150" i="36"/>
  <c r="C36" i="104"/>
  <c r="AF158" i="22"/>
  <c r="E36" i="104" s="1"/>
  <c r="G103" i="36"/>
  <c r="G143" i="36" s="1"/>
  <c r="E143" i="36"/>
  <c r="H106" i="36"/>
  <c r="H146" i="36" s="1"/>
  <c r="F146" i="36"/>
  <c r="C45" i="104"/>
  <c r="AF160" i="22"/>
  <c r="E45" i="104" s="1"/>
  <c r="G112" i="36"/>
  <c r="G152" i="36" s="1"/>
  <c r="E152" i="36"/>
  <c r="C23" i="104"/>
  <c r="AF152" i="22"/>
  <c r="E23" i="104" s="1"/>
  <c r="H112" i="36"/>
  <c r="H152" i="36" s="1"/>
  <c r="F152" i="36"/>
  <c r="G106" i="36"/>
  <c r="G146" i="36" s="1"/>
  <c r="E146" i="36"/>
  <c r="I3" i="42"/>
  <c r="O3" i="53"/>
  <c r="J3" i="52"/>
  <c r="H52" i="73"/>
  <c r="I3" i="55"/>
  <c r="O3" i="57"/>
  <c r="H11" i="36"/>
  <c r="M3" i="58"/>
  <c r="H111" i="36"/>
  <c r="H151" i="36" s="1"/>
  <c r="F151" i="36"/>
  <c r="H101" i="36"/>
  <c r="H141" i="36" s="1"/>
  <c r="F141" i="36"/>
  <c r="H102" i="36"/>
  <c r="H142" i="36" s="1"/>
  <c r="F142" i="36"/>
  <c r="AF162" i="22"/>
  <c r="E47" i="104" s="1"/>
  <c r="C47" i="104"/>
  <c r="G105" i="36"/>
  <c r="G145" i="36" s="1"/>
  <c r="E145" i="36"/>
  <c r="G110" i="36"/>
  <c r="G150" i="36" s="1"/>
  <c r="E150" i="36"/>
  <c r="AZ156" i="22"/>
  <c r="R61" i="22"/>
  <c r="AY66" i="22"/>
  <c r="Q113" i="22"/>
  <c r="AZ139" i="22"/>
  <c r="R116" i="22"/>
  <c r="R54" i="22"/>
  <c r="AZ123" i="22"/>
  <c r="AY85" i="22"/>
  <c r="Q22" i="22"/>
  <c r="Q53" i="22"/>
  <c r="AY47" i="22"/>
  <c r="AY136" i="22"/>
  <c r="Q79" i="22"/>
  <c r="Q118" i="22"/>
  <c r="AY24" i="22"/>
  <c r="Q124" i="22"/>
  <c r="AY142" i="22"/>
  <c r="AZ80" i="22"/>
  <c r="R135" i="22"/>
  <c r="R13" i="22"/>
  <c r="AZ117" i="22"/>
  <c r="AZ17" i="22"/>
  <c r="R87" i="22"/>
  <c r="R79" i="22"/>
  <c r="AZ136" i="22"/>
  <c r="Q87" i="22"/>
  <c r="AY17" i="22"/>
  <c r="R131" i="22"/>
  <c r="AZ147" i="22"/>
  <c r="AN16" i="22"/>
  <c r="F51" i="36" s="1"/>
  <c r="Q52" i="22"/>
  <c r="AY46" i="22"/>
  <c r="Q61" i="22"/>
  <c r="AY156" i="22"/>
  <c r="Q105" i="22"/>
  <c r="AY20" i="22"/>
  <c r="AZ98" i="22"/>
  <c r="R95" i="22"/>
  <c r="R65" i="22"/>
  <c r="AZ96" i="22"/>
  <c r="Q64" i="22"/>
  <c r="AY157" i="22"/>
  <c r="R111" i="22"/>
  <c r="AZ23" i="22"/>
  <c r="Q23" i="22"/>
  <c r="AY33" i="22"/>
  <c r="AY113" i="22"/>
  <c r="Q8" i="22"/>
  <c r="R127" i="22"/>
  <c r="AZ145" i="22"/>
  <c r="AZ150" i="22"/>
  <c r="R63" i="22"/>
  <c r="R44" i="22"/>
  <c r="AZ41" i="22"/>
  <c r="AY117" i="22"/>
  <c r="Q13" i="22"/>
  <c r="Q38" i="22"/>
  <c r="AY104" i="22"/>
  <c r="AZ143" i="22"/>
  <c r="R125" i="22"/>
  <c r="R123" i="22"/>
  <c r="AZ141" i="22"/>
  <c r="AZ61" i="22"/>
  <c r="AN15" i="22"/>
  <c r="F50" i="36" s="1"/>
  <c r="R103" i="22"/>
  <c r="R73" i="22"/>
  <c r="AZ50" i="22"/>
  <c r="AY145" i="22"/>
  <c r="Q127" i="22"/>
  <c r="Q36" i="22"/>
  <c r="AY36" i="22"/>
  <c r="Q45" i="22"/>
  <c r="AY42" i="22"/>
  <c r="R68" i="22"/>
  <c r="AZ126" i="22"/>
  <c r="AY102" i="22"/>
  <c r="Q129" i="22"/>
  <c r="AZ6" i="22"/>
  <c r="R19" i="22"/>
  <c r="R50" i="22"/>
  <c r="AZ45" i="22"/>
  <c r="R35" i="22"/>
  <c r="AZ121" i="22"/>
  <c r="Q10" i="22"/>
  <c r="AY114" i="22"/>
  <c r="R66" i="22"/>
  <c r="AZ158" i="22"/>
  <c r="AM12" i="22"/>
  <c r="E47" i="36" s="1"/>
  <c r="Q112" i="22"/>
  <c r="AY101" i="22"/>
  <c r="AY10" i="22"/>
  <c r="AM8" i="22"/>
  <c r="E43" i="36" s="1"/>
  <c r="Q51" i="22"/>
  <c r="R130" i="22"/>
  <c r="AZ72" i="22"/>
  <c r="Q68" i="22"/>
  <c r="AY126" i="22"/>
  <c r="AY129" i="22"/>
  <c r="Q67" i="22"/>
  <c r="Q99" i="22"/>
  <c r="AY58" i="22"/>
  <c r="AY88" i="22"/>
  <c r="Q28" i="22"/>
  <c r="AY94" i="22"/>
  <c r="Q49" i="22"/>
  <c r="AY139" i="22"/>
  <c r="Q116" i="22"/>
  <c r="AZ73" i="22"/>
  <c r="R117" i="22"/>
  <c r="AZ115" i="22"/>
  <c r="R11" i="22"/>
  <c r="AZ71" i="22"/>
  <c r="R121" i="22"/>
  <c r="AZ49" i="22"/>
  <c r="R58" i="22"/>
  <c r="AZ12" i="22"/>
  <c r="R82" i="22"/>
  <c r="AN10" i="22"/>
  <c r="F45" i="36" s="1"/>
  <c r="AZ47" i="22"/>
  <c r="R53" i="22"/>
  <c r="R43" i="22"/>
  <c r="AZ40" i="22"/>
  <c r="AZ22" i="22"/>
  <c r="R109" i="22"/>
  <c r="R122" i="22"/>
  <c r="AZ140" i="22"/>
  <c r="AY53" i="22"/>
  <c r="Q91" i="22"/>
  <c r="R70" i="22"/>
  <c r="AZ128" i="22"/>
  <c r="AY22" i="22"/>
  <c r="Q109" i="22"/>
  <c r="Q119" i="22"/>
  <c r="AY69" i="22"/>
  <c r="AY59" i="22"/>
  <c r="Q100" i="22"/>
  <c r="R38" i="22"/>
  <c r="AZ104" i="22"/>
  <c r="R84" i="22"/>
  <c r="AZ14" i="22"/>
  <c r="Q128" i="22"/>
  <c r="AY146" i="22"/>
  <c r="AZ79" i="22"/>
  <c r="AN4" i="22"/>
  <c r="F39" i="36" s="1"/>
  <c r="R4" i="22"/>
  <c r="AZ34" i="22"/>
  <c r="R25" i="22"/>
  <c r="AY44" i="22"/>
  <c r="Q47" i="22"/>
  <c r="R7" i="22"/>
  <c r="AZ83" i="22"/>
  <c r="R118" i="22"/>
  <c r="AZ24" i="22"/>
  <c r="AM5" i="22"/>
  <c r="E40" i="36" s="1"/>
  <c r="Q14" i="22"/>
  <c r="AY30" i="22"/>
  <c r="R88" i="22"/>
  <c r="AZ51" i="22"/>
  <c r="AY138" i="22"/>
  <c r="Q94" i="22"/>
  <c r="AY39" i="22"/>
  <c r="Q42" i="22"/>
  <c r="R26" i="22"/>
  <c r="AZ7" i="22"/>
  <c r="R98" i="22"/>
  <c r="AZ57" i="22"/>
  <c r="AM11" i="22"/>
  <c r="E46" i="36" s="1"/>
  <c r="Q90" i="22"/>
  <c r="AY52" i="22"/>
  <c r="AM4" i="22"/>
  <c r="E39" i="36" s="1"/>
  <c r="AY79" i="22"/>
  <c r="Q4" i="22"/>
  <c r="Q132" i="22"/>
  <c r="AY148" i="22"/>
  <c r="Q108" i="22"/>
  <c r="AY64" i="22"/>
  <c r="AY87" i="22"/>
  <c r="AM6" i="22"/>
  <c r="E41" i="36" s="1"/>
  <c r="Q27" i="22"/>
  <c r="R55" i="22"/>
  <c r="AZ151" i="22"/>
  <c r="AZ129" i="22"/>
  <c r="R67" i="22"/>
  <c r="R74" i="22"/>
  <c r="AZ131" i="22"/>
  <c r="AY132" i="22"/>
  <c r="Q75" i="22"/>
  <c r="AZ54" i="22"/>
  <c r="R92" i="22"/>
  <c r="AY123" i="22"/>
  <c r="Q54" i="22"/>
  <c r="AY158" i="22"/>
  <c r="Q66" i="22"/>
  <c r="AZ64" i="22"/>
  <c r="R108" i="22"/>
  <c r="Q98" i="22"/>
  <c r="AY57" i="22"/>
  <c r="AY105" i="22"/>
  <c r="Q76" i="22"/>
  <c r="AM17" i="22"/>
  <c r="E53" i="36" s="1"/>
  <c r="AZ21" i="22"/>
  <c r="R107" i="22"/>
  <c r="AY11" i="22"/>
  <c r="Q57" i="22"/>
  <c r="Q34" i="22"/>
  <c r="AY8" i="22"/>
  <c r="AZ94" i="22"/>
  <c r="R49" i="22"/>
  <c r="AZ82" i="22"/>
  <c r="R6" i="22"/>
  <c r="AZ60" i="22"/>
  <c r="R101" i="22"/>
  <c r="AZ149" i="22"/>
  <c r="R37" i="22"/>
  <c r="AZ102" i="22"/>
  <c r="R129" i="22"/>
  <c r="AZ30" i="22"/>
  <c r="R14" i="22"/>
  <c r="AN5" i="22"/>
  <c r="F40" i="36" s="1"/>
  <c r="AZ89" i="22"/>
  <c r="R29" i="22"/>
  <c r="AY121" i="22"/>
  <c r="Q35" i="22"/>
  <c r="AY7" i="22"/>
  <c r="Q26" i="22"/>
  <c r="AY97" i="22"/>
  <c r="Q71" i="22"/>
  <c r="R8" i="22"/>
  <c r="AZ113" i="22"/>
  <c r="Q126" i="22"/>
  <c r="AY144" i="22"/>
  <c r="R12" i="22"/>
  <c r="AZ116" i="22"/>
  <c r="Q80" i="22"/>
  <c r="AY134" i="22"/>
  <c r="AY98" i="22"/>
  <c r="Q95" i="22"/>
  <c r="Q48" i="22"/>
  <c r="AY93" i="22"/>
  <c r="AZ18" i="22"/>
  <c r="R89" i="22"/>
  <c r="AZ53" i="22"/>
  <c r="R91" i="22"/>
  <c r="AY34" i="22"/>
  <c r="Q25" i="22"/>
  <c r="AY9" i="22"/>
  <c r="Q40" i="22"/>
  <c r="AM7" i="22"/>
  <c r="E42" i="36" s="1"/>
  <c r="AZ127" i="22"/>
  <c r="R69" i="22"/>
  <c r="Q110" i="22"/>
  <c r="AY65" i="22"/>
  <c r="R24" i="22"/>
  <c r="AZ86" i="22"/>
  <c r="AZ11" i="22"/>
  <c r="R57" i="22"/>
  <c r="AY95" i="22"/>
  <c r="Q59" i="22"/>
  <c r="AZ19" i="22"/>
  <c r="R102" i="22"/>
  <c r="AZ138" i="22"/>
  <c r="R94" i="22"/>
  <c r="R72" i="22"/>
  <c r="AZ130" i="22"/>
  <c r="Q130" i="22"/>
  <c r="AY72" i="22"/>
  <c r="AZ93" i="22"/>
  <c r="R48" i="22"/>
  <c r="R42" i="22"/>
  <c r="AZ39" i="22"/>
  <c r="AZ132" i="22"/>
  <c r="R75" i="22"/>
  <c r="AY118" i="22"/>
  <c r="Q9" i="22"/>
  <c r="AZ87" i="22"/>
  <c r="AN6" i="22"/>
  <c r="F41" i="36" s="1"/>
  <c r="R27" i="22"/>
  <c r="AM13" i="22"/>
  <c r="E48" i="36" s="1"/>
  <c r="Q115" i="22"/>
  <c r="AY68" i="22"/>
  <c r="Q30" i="22"/>
  <c r="AY90" i="22"/>
  <c r="R93" i="22"/>
  <c r="AZ56" i="22"/>
  <c r="AZ135" i="22"/>
  <c r="R77" i="22"/>
  <c r="AZ142" i="22"/>
  <c r="R124" i="22"/>
  <c r="AN12" i="22"/>
  <c r="F47" i="36" s="1"/>
  <c r="AZ101" i="22"/>
  <c r="R112" i="22"/>
  <c r="Q86" i="22"/>
  <c r="AY16" i="22"/>
  <c r="AY35" i="22"/>
  <c r="Q32" i="22"/>
  <c r="AZ95" i="22"/>
  <c r="R59" i="22"/>
  <c r="R114" i="22"/>
  <c r="AZ67" i="22"/>
  <c r="AY51" i="22"/>
  <c r="Q88" i="22"/>
  <c r="AZ85" i="22"/>
  <c r="R22" i="22"/>
  <c r="AY40" i="22"/>
  <c r="Q43" i="22"/>
  <c r="R15" i="22"/>
  <c r="AZ120" i="22"/>
  <c r="Q122" i="22"/>
  <c r="AY140" i="22"/>
  <c r="Q7" i="22"/>
  <c r="AY83" i="22"/>
  <c r="AY41" i="22"/>
  <c r="Q44" i="22"/>
  <c r="AY100" i="22"/>
  <c r="Q97" i="22"/>
  <c r="AZ146" i="22"/>
  <c r="R128" i="22"/>
  <c r="AZ32" i="22"/>
  <c r="R17" i="22"/>
  <c r="AY70" i="22"/>
  <c r="Q120" i="22"/>
  <c r="AY18" i="22"/>
  <c r="Q89" i="22"/>
  <c r="AY71" i="22"/>
  <c r="Q121" i="22"/>
  <c r="Q133" i="22"/>
  <c r="AY103" i="22"/>
  <c r="Q73" i="22"/>
  <c r="AY50" i="22"/>
  <c r="R56" i="22"/>
  <c r="AZ48" i="22"/>
  <c r="AY119" i="22"/>
  <c r="Q20" i="22"/>
  <c r="AZ124" i="22"/>
  <c r="R62" i="22"/>
  <c r="Q117" i="22"/>
  <c r="AY73" i="22"/>
  <c r="R105" i="22"/>
  <c r="AZ20" i="22"/>
  <c r="R16" i="22"/>
  <c r="AZ31" i="22"/>
  <c r="AZ97" i="22"/>
  <c r="R71" i="22"/>
  <c r="R28" i="22"/>
  <c r="AZ88" i="22"/>
  <c r="AG257" i="32"/>
  <c r="AH257" i="32" s="1"/>
  <c r="AI257" i="32" s="1"/>
  <c r="AN257" i="32" s="1"/>
  <c r="AN258" i="32" s="1"/>
  <c r="H12" i="73" s="1"/>
  <c r="AY116" i="22"/>
  <c r="Q12" i="22"/>
  <c r="Q102" i="22"/>
  <c r="AY19" i="22"/>
  <c r="Q41" i="22"/>
  <c r="AY122" i="22"/>
  <c r="AY128" i="22"/>
  <c r="Q70" i="22"/>
  <c r="Q58" i="22"/>
  <c r="AY49" i="22"/>
  <c r="AM10" i="22"/>
  <c r="E45" i="36" s="1"/>
  <c r="Q82" i="22"/>
  <c r="AY12" i="22"/>
  <c r="R126" i="22"/>
  <c r="AZ144" i="22"/>
  <c r="AY45" i="22"/>
  <c r="Q50" i="22"/>
  <c r="AY135" i="22"/>
  <c r="Q77" i="22"/>
  <c r="R32" i="22"/>
  <c r="AZ35" i="22"/>
  <c r="Q55" i="22"/>
  <c r="AY151" i="22"/>
  <c r="Q56" i="22"/>
  <c r="AY48" i="22"/>
  <c r="R90" i="22"/>
  <c r="AN11" i="22"/>
  <c r="F46" i="36" s="1"/>
  <c r="AZ52" i="22"/>
  <c r="Q21" i="22"/>
  <c r="AY84" i="22"/>
  <c r="AZ43" i="22"/>
  <c r="R46" i="22"/>
  <c r="Q24" i="22"/>
  <c r="AY86" i="22"/>
  <c r="AY62" i="22"/>
  <c r="Q104" i="22"/>
  <c r="AM14" i="22"/>
  <c r="E49" i="36" s="1"/>
  <c r="R97" i="22"/>
  <c r="AZ100" i="22"/>
  <c r="AY60" i="22"/>
  <c r="Q101" i="22"/>
  <c r="AY37" i="22"/>
  <c r="Q39" i="22"/>
  <c r="R76" i="22"/>
  <c r="AZ105" i="22"/>
  <c r="AN17" i="22"/>
  <c r="F53" i="36" s="1"/>
  <c r="AY120" i="22"/>
  <c r="Q15" i="22"/>
  <c r="AZ62" i="22"/>
  <c r="AN14" i="22"/>
  <c r="F49" i="36" s="1"/>
  <c r="R104" i="22"/>
  <c r="AZ90" i="22"/>
  <c r="R30" i="22"/>
  <c r="R113" i="22"/>
  <c r="AZ66" i="22"/>
  <c r="AZ81" i="22"/>
  <c r="R5" i="22"/>
  <c r="AZ59" i="22"/>
  <c r="R100" i="22"/>
  <c r="AY89" i="22"/>
  <c r="Q29" i="22"/>
  <c r="Q106" i="22"/>
  <c r="AY63" i="22"/>
  <c r="AZ137" i="22"/>
  <c r="R81" i="22"/>
  <c r="AY92" i="22"/>
  <c r="Q33" i="22"/>
  <c r="V258" i="32"/>
  <c r="V259" i="32" s="1"/>
  <c r="AY5" i="22"/>
  <c r="Q18" i="22"/>
  <c r="Q16" i="22"/>
  <c r="AY31" i="22"/>
  <c r="Q134" i="22"/>
  <c r="AM18" i="22"/>
  <c r="E52" i="36" s="1"/>
  <c r="AY127" i="22"/>
  <c r="Q69" i="22"/>
  <c r="AY147" i="22"/>
  <c r="Q131" i="22"/>
  <c r="AM16" i="22"/>
  <c r="E51" i="36" s="1"/>
  <c r="AZ119" i="22"/>
  <c r="R20" i="22"/>
  <c r="R40" i="22"/>
  <c r="AN7" i="22"/>
  <c r="F42" i="36" s="1"/>
  <c r="AZ9" i="22"/>
  <c r="R134" i="22"/>
  <c r="AN18" i="22"/>
  <c r="F52" i="36" s="1"/>
  <c r="AY124" i="22"/>
  <c r="Q62" i="22"/>
  <c r="R119" i="22"/>
  <c r="AZ69" i="22"/>
  <c r="Q78" i="22"/>
  <c r="AY159" i="22"/>
  <c r="AY96" i="22"/>
  <c r="Q65" i="22"/>
  <c r="AY56" i="22"/>
  <c r="Q93" i="22"/>
  <c r="Q111" i="22"/>
  <c r="AY23" i="22"/>
  <c r="AZ15" i="22"/>
  <c r="R85" i="22"/>
  <c r="R115" i="22"/>
  <c r="AZ68" i="22"/>
  <c r="AN13" i="22"/>
  <c r="F48" i="36" s="1"/>
  <c r="R21" i="22"/>
  <c r="AZ84" i="22"/>
  <c r="Q92" i="22"/>
  <c r="AY54" i="22"/>
  <c r="R33" i="22"/>
  <c r="AZ92" i="22"/>
  <c r="AZ118" i="22"/>
  <c r="R9" i="22"/>
  <c r="AY61" i="22"/>
  <c r="Q103" i="22"/>
  <c r="AM15" i="22"/>
  <c r="E50" i="36" s="1"/>
  <c r="AZ13" i="22"/>
  <c r="R83" i="22"/>
  <c r="AZ99" i="22"/>
  <c r="R96" i="22"/>
  <c r="AY99" i="22"/>
  <c r="Q96" i="22"/>
  <c r="AY115" i="22"/>
  <c r="Q11" i="22"/>
  <c r="AZ63" i="22"/>
  <c r="R106" i="22"/>
  <c r="AZ33" i="22"/>
  <c r="R23" i="22"/>
  <c r="AZ16" i="22"/>
  <c r="R86" i="22"/>
  <c r="AZ148" i="22"/>
  <c r="R132" i="22"/>
  <c r="AY32" i="22"/>
  <c r="Q17" i="22"/>
  <c r="AZ91" i="22"/>
  <c r="R31" i="22"/>
  <c r="AZ42" i="22"/>
  <c r="R45" i="22"/>
  <c r="AY137" i="22"/>
  <c r="Q81" i="22"/>
  <c r="AY143" i="22"/>
  <c r="Q125" i="22"/>
  <c r="AY14" i="22"/>
  <c r="Q84" i="22"/>
  <c r="AZ58" i="22"/>
  <c r="R99" i="22"/>
  <c r="AZ157" i="22"/>
  <c r="R64" i="22"/>
  <c r="AY149" i="22"/>
  <c r="Q37" i="22"/>
  <c r="R36" i="22"/>
  <c r="AZ36" i="22"/>
  <c r="AZ46" i="22"/>
  <c r="R52" i="22"/>
  <c r="Q5" i="22"/>
  <c r="AY81" i="22"/>
  <c r="Q63" i="22"/>
  <c r="AY150" i="22"/>
  <c r="R80" i="22"/>
  <c r="AZ134" i="22"/>
  <c r="AZ65" i="22"/>
  <c r="R110" i="22"/>
  <c r="AN9" i="22"/>
  <c r="F44" i="36" s="1"/>
  <c r="R60" i="22"/>
  <c r="AZ125" i="22"/>
  <c r="AZ8" i="22"/>
  <c r="R34" i="22"/>
  <c r="AY130" i="22"/>
  <c r="Q72" i="22"/>
  <c r="Q83" i="22"/>
  <c r="AY13" i="22"/>
  <c r="Q135" i="22"/>
  <c r="AY80" i="22"/>
  <c r="AZ37" i="22"/>
  <c r="R39" i="22"/>
  <c r="AZ103" i="22"/>
  <c r="R133" i="22"/>
  <c r="AZ10" i="22"/>
  <c r="R51" i="22"/>
  <c r="AN8" i="22"/>
  <c r="F43" i="36" s="1"/>
  <c r="AY141" i="22"/>
  <c r="Q123" i="22"/>
  <c r="AY125" i="22"/>
  <c r="AM9" i="22"/>
  <c r="E44" i="36" s="1"/>
  <c r="Q60" i="22"/>
  <c r="AY6" i="22"/>
  <c r="Q19" i="22"/>
  <c r="AZ5" i="22"/>
  <c r="R18" i="22"/>
  <c r="Q114" i="22"/>
  <c r="AY67" i="22"/>
  <c r="AY91" i="22"/>
  <c r="Q31" i="22"/>
  <c r="Q46" i="22"/>
  <c r="AY43" i="22"/>
  <c r="R120" i="22"/>
  <c r="AZ70" i="22"/>
  <c r="AY15" i="22"/>
  <c r="Q85" i="22"/>
  <c r="AY21" i="22"/>
  <c r="Q107" i="22"/>
  <c r="AZ159" i="22"/>
  <c r="R78" i="22"/>
  <c r="AY131" i="22"/>
  <c r="Q74" i="22"/>
  <c r="Q6" i="22"/>
  <c r="AY82" i="22"/>
  <c r="AZ44" i="22"/>
  <c r="R47" i="22"/>
  <c r="AZ122" i="22"/>
  <c r="R41" i="22"/>
  <c r="AZ114" i="22"/>
  <c r="R10" i="22"/>
  <c r="H30" i="105" l="1"/>
  <c r="G7" i="105" s="1"/>
  <c r="E32" i="105"/>
  <c r="H29" i="105" s="1"/>
  <c r="H42" i="105" s="1"/>
  <c r="G8" i="105" s="1"/>
  <c r="H22" i="105"/>
  <c r="G6" i="105" s="1"/>
  <c r="H21" i="105"/>
  <c r="H12" i="105"/>
  <c r="E14" i="105"/>
  <c r="G5" i="105" s="1"/>
  <c r="H21" i="104"/>
  <c r="O4" i="57"/>
  <c r="M4" i="58"/>
  <c r="I4" i="55"/>
  <c r="H15" i="36"/>
  <c r="O4" i="53"/>
  <c r="J4" i="52"/>
  <c r="I4" i="42"/>
  <c r="J52" i="73"/>
  <c r="H13" i="104"/>
  <c r="H22" i="104" s="1"/>
  <c r="E15" i="104"/>
  <c r="H14" i="104"/>
  <c r="G5" i="104" s="1"/>
  <c r="E48" i="104"/>
  <c r="H43" i="104" s="1"/>
  <c r="C48" i="104"/>
  <c r="BB44" i="22"/>
  <c r="AF47" i="22"/>
  <c r="BA21" i="22"/>
  <c r="AE107" i="22"/>
  <c r="AE31" i="22"/>
  <c r="BA91" i="22"/>
  <c r="AE60" i="22"/>
  <c r="BA125" i="22"/>
  <c r="AO9" i="22"/>
  <c r="BB103" i="22"/>
  <c r="AF133" i="22"/>
  <c r="BA130" i="22"/>
  <c r="AE72" i="22"/>
  <c r="BB114" i="22"/>
  <c r="AF10" i="22"/>
  <c r="AE74" i="22"/>
  <c r="BA131" i="22"/>
  <c r="AE78" i="22"/>
  <c r="BA159" i="22"/>
  <c r="F81" i="36"/>
  <c r="H42" i="36"/>
  <c r="H81" i="36" s="1"/>
  <c r="H61" i="73"/>
  <c r="J61" i="73" s="1"/>
  <c r="H47" i="73"/>
  <c r="J16" i="73"/>
  <c r="K16" i="73" s="1"/>
  <c r="H16" i="73"/>
  <c r="H37" i="73" s="1"/>
  <c r="BB105" i="22"/>
  <c r="AF76" i="22"/>
  <c r="AP17" i="22"/>
  <c r="BA62" i="22"/>
  <c r="AO14" i="22"/>
  <c r="AE104" i="22"/>
  <c r="AF32" i="22"/>
  <c r="BB35" i="22"/>
  <c r="AO10" i="22"/>
  <c r="BA12" i="22"/>
  <c r="AE82" i="22"/>
  <c r="AF71" i="22"/>
  <c r="BB97" i="22"/>
  <c r="AF62" i="22"/>
  <c r="BB124" i="22"/>
  <c r="AF17" i="22"/>
  <c r="BB32" i="22"/>
  <c r="AF22" i="22"/>
  <c r="BB85" i="22"/>
  <c r="BA35" i="22"/>
  <c r="AE32" i="22"/>
  <c r="BA68" i="22"/>
  <c r="AE115" i="22"/>
  <c r="AO13" i="22"/>
  <c r="BB130" i="22"/>
  <c r="AF72" i="22"/>
  <c r="BA9" i="22"/>
  <c r="AE40" i="22"/>
  <c r="AO7" i="22"/>
  <c r="BA121" i="22"/>
  <c r="AE35" i="22"/>
  <c r="AO17" i="22"/>
  <c r="AE76" i="22"/>
  <c r="BA105" i="22"/>
  <c r="AE54" i="22"/>
  <c r="BA123" i="22"/>
  <c r="BB129" i="22"/>
  <c r="AF67" i="22"/>
  <c r="BA64" i="22"/>
  <c r="AE108" i="22"/>
  <c r="E85" i="36"/>
  <c r="G46" i="36"/>
  <c r="G85" i="36" s="1"/>
  <c r="BB115" i="22"/>
  <c r="AF11" i="22"/>
  <c r="BA88" i="22"/>
  <c r="AE28" i="22"/>
  <c r="BB6" i="22"/>
  <c r="AF19" i="22"/>
  <c r="BB96" i="22"/>
  <c r="AF65" i="22"/>
  <c r="BA46" i="22"/>
  <c r="AE52" i="22"/>
  <c r="BB17" i="22"/>
  <c r="AF87" i="22"/>
  <c r="BA150" i="22"/>
  <c r="AE63" i="22"/>
  <c r="AF120" i="22"/>
  <c r="BB70" i="22"/>
  <c r="BA80" i="22"/>
  <c r="AE135" i="22"/>
  <c r="AF64" i="22"/>
  <c r="BB157" i="22"/>
  <c r="BE157" i="22" s="1"/>
  <c r="BF157" i="22" s="1"/>
  <c r="AE81" i="22"/>
  <c r="BA137" i="22"/>
  <c r="BB148" i="22"/>
  <c r="AF132" i="22"/>
  <c r="AE11" i="22"/>
  <c r="BA115" i="22"/>
  <c r="H46" i="36"/>
  <c r="H85" i="36" s="1"/>
  <c r="F85" i="36"/>
  <c r="BA135" i="22"/>
  <c r="AE77" i="22"/>
  <c r="G45" i="36"/>
  <c r="G84" i="36" s="1"/>
  <c r="E84" i="36"/>
  <c r="BA19" i="22"/>
  <c r="AE102" i="22"/>
  <c r="AE133" i="22"/>
  <c r="BA103" i="22"/>
  <c r="BA83" i="22"/>
  <c r="AE7" i="22"/>
  <c r="AF77" i="22"/>
  <c r="BB135" i="22"/>
  <c r="G48" i="36"/>
  <c r="G87" i="36" s="1"/>
  <c r="E87" i="36"/>
  <c r="BB138" i="22"/>
  <c r="AF94" i="22"/>
  <c r="BA93" i="22"/>
  <c r="AE48" i="22"/>
  <c r="AE126" i="22"/>
  <c r="BA144" i="22"/>
  <c r="BB149" i="22"/>
  <c r="AF37" i="22"/>
  <c r="AF7" i="22"/>
  <c r="BB83" i="22"/>
  <c r="H45" i="36"/>
  <c r="H84" i="36" s="1"/>
  <c r="F84" i="36"/>
  <c r="BB72" i="22"/>
  <c r="AF130" i="22"/>
  <c r="BB158" i="22"/>
  <c r="BE158" i="22" s="1"/>
  <c r="BF158" i="22" s="1"/>
  <c r="AF66" i="22"/>
  <c r="BA36" i="22"/>
  <c r="AE36" i="22"/>
  <c r="AF95" i="22"/>
  <c r="BB98" i="22"/>
  <c r="H51" i="36"/>
  <c r="H90" i="36" s="1"/>
  <c r="F90" i="36"/>
  <c r="BA24" i="22"/>
  <c r="AE118" i="22"/>
  <c r="AF54" i="22"/>
  <c r="BB123" i="22"/>
  <c r="BB5" i="22"/>
  <c r="AF18" i="22"/>
  <c r="F82" i="36"/>
  <c r="H43" i="36"/>
  <c r="H82" i="36" s="1"/>
  <c r="BB125" i="22"/>
  <c r="AF60" i="22"/>
  <c r="AP9" i="22"/>
  <c r="G50" i="36"/>
  <c r="G89" i="36" s="1"/>
  <c r="E89" i="36"/>
  <c r="BA54" i="22"/>
  <c r="AE92" i="22"/>
  <c r="AP7" i="22"/>
  <c r="AF40" i="22"/>
  <c r="BB9" i="22"/>
  <c r="G52" i="36"/>
  <c r="G91" i="36" s="1"/>
  <c r="E91" i="36"/>
  <c r="AE33" i="22"/>
  <c r="BA92" i="22"/>
  <c r="AF100" i="22"/>
  <c r="BB59" i="22"/>
  <c r="AP14" i="22"/>
  <c r="BB62" i="22"/>
  <c r="AF104" i="22"/>
  <c r="BA37" i="22"/>
  <c r="AE39" i="22"/>
  <c r="BB122" i="22"/>
  <c r="AF41" i="22"/>
  <c r="BB159" i="22"/>
  <c r="BE159" i="22" s="1"/>
  <c r="BF159" i="22" s="1"/>
  <c r="AF78" i="22"/>
  <c r="AE19" i="22"/>
  <c r="BA6" i="22"/>
  <c r="AP8" i="22"/>
  <c r="BB10" i="22"/>
  <c r="AF51" i="22"/>
  <c r="F83" i="36"/>
  <c r="H44" i="36"/>
  <c r="H83" i="36" s="1"/>
  <c r="BA81" i="22"/>
  <c r="AE5" i="22"/>
  <c r="AO15" i="22"/>
  <c r="AE103" i="22"/>
  <c r="BA61" i="22"/>
  <c r="AE111" i="22"/>
  <c r="BA23" i="22"/>
  <c r="BB69" i="22"/>
  <c r="AF119" i="22"/>
  <c r="BB119" i="22"/>
  <c r="AF20" i="22"/>
  <c r="AE134" i="22"/>
  <c r="AO18" i="22"/>
  <c r="F88" i="36"/>
  <c r="H49" i="36"/>
  <c r="H88" i="36" s="1"/>
  <c r="BB52" i="22"/>
  <c r="AF90" i="22"/>
  <c r="AP11" i="22"/>
  <c r="BA116" i="22"/>
  <c r="AE12" i="22"/>
  <c r="BA119" i="22"/>
  <c r="AE20" i="22"/>
  <c r="AE121" i="22"/>
  <c r="BA71" i="22"/>
  <c r="AF128" i="22"/>
  <c r="BB146" i="22"/>
  <c r="BA51" i="22"/>
  <c r="AE88" i="22"/>
  <c r="AF27" i="22"/>
  <c r="BB87" i="22"/>
  <c r="AP6" i="22"/>
  <c r="AF42" i="22"/>
  <c r="BB39" i="22"/>
  <c r="AF24" i="22"/>
  <c r="BB86" i="22"/>
  <c r="BA34" i="22"/>
  <c r="AE25" i="22"/>
  <c r="AE95" i="22"/>
  <c r="BA98" i="22"/>
  <c r="BB89" i="22"/>
  <c r="AF29" i="22"/>
  <c r="AE34" i="22"/>
  <c r="BA8" i="22"/>
  <c r="AF92" i="22"/>
  <c r="BB54" i="22"/>
  <c r="BA148" i="22"/>
  <c r="AE132" i="22"/>
  <c r="BB57" i="22"/>
  <c r="AF98" i="22"/>
  <c r="AF88" i="22"/>
  <c r="BB51" i="22"/>
  <c r="BA44" i="22"/>
  <c r="AE47" i="22"/>
  <c r="BA146" i="22"/>
  <c r="AE128" i="22"/>
  <c r="BA69" i="22"/>
  <c r="AE119" i="22"/>
  <c r="BB140" i="22"/>
  <c r="AF122" i="22"/>
  <c r="BB12" i="22"/>
  <c r="AF82" i="22"/>
  <c r="AP10" i="22"/>
  <c r="BB73" i="22"/>
  <c r="AF117" i="22"/>
  <c r="AO8" i="22"/>
  <c r="BA10" i="22"/>
  <c r="AE51" i="22"/>
  <c r="BA102" i="22"/>
  <c r="AE129" i="22"/>
  <c r="AE127" i="22"/>
  <c r="BA145" i="22"/>
  <c r="AF123" i="22"/>
  <c r="BB141" i="22"/>
  <c r="AF44" i="22"/>
  <c r="BB41" i="22"/>
  <c r="BA33" i="22"/>
  <c r="AE23" i="22"/>
  <c r="BA136" i="22"/>
  <c r="AE79" i="22"/>
  <c r="AF116" i="22"/>
  <c r="BB139" i="22"/>
  <c r="BA43" i="22"/>
  <c r="AE46" i="22"/>
  <c r="BA13" i="22"/>
  <c r="AE83" i="22"/>
  <c r="BB65" i="22"/>
  <c r="AF110" i="22"/>
  <c r="AF52" i="22"/>
  <c r="BB46" i="22"/>
  <c r="AF99" i="22"/>
  <c r="BB58" i="22"/>
  <c r="BB42" i="22"/>
  <c r="AF45" i="22"/>
  <c r="AF86" i="22"/>
  <c r="BB16" i="22"/>
  <c r="BA99" i="22"/>
  <c r="AE96" i="22"/>
  <c r="AF21" i="22"/>
  <c r="BB84" i="22"/>
  <c r="AE93" i="22"/>
  <c r="BA56" i="22"/>
  <c r="BA124" i="22"/>
  <c r="AE62" i="22"/>
  <c r="BB137" i="22"/>
  <c r="AF81" i="22"/>
  <c r="BB81" i="22"/>
  <c r="AF5" i="22"/>
  <c r="BA60" i="22"/>
  <c r="AE101" i="22"/>
  <c r="BA86" i="22"/>
  <c r="AE24" i="22"/>
  <c r="BA45" i="22"/>
  <c r="AE50" i="22"/>
  <c r="BA49" i="22"/>
  <c r="AE58" i="22"/>
  <c r="AF16" i="22"/>
  <c r="BB31" i="22"/>
  <c r="AE122" i="22"/>
  <c r="BA140" i="22"/>
  <c r="BA16" i="22"/>
  <c r="AE86" i="22"/>
  <c r="H41" i="36"/>
  <c r="H80" i="36" s="1"/>
  <c r="F80" i="36"/>
  <c r="BB93" i="22"/>
  <c r="AF48" i="22"/>
  <c r="BB19" i="22"/>
  <c r="AF102" i="22"/>
  <c r="AF8" i="22"/>
  <c r="BB113" i="22"/>
  <c r="BB60" i="22"/>
  <c r="AF101" i="22"/>
  <c r="AE57" i="22"/>
  <c r="BA11" i="22"/>
  <c r="BA57" i="22"/>
  <c r="AE98" i="22"/>
  <c r="AF55" i="22"/>
  <c r="BB151" i="22"/>
  <c r="BA79" i="22"/>
  <c r="AO4" i="22"/>
  <c r="AE4" i="22"/>
  <c r="AE109" i="22"/>
  <c r="BA22" i="22"/>
  <c r="BB22" i="22"/>
  <c r="AF109" i="22"/>
  <c r="AE99" i="22"/>
  <c r="BA58" i="22"/>
  <c r="E82" i="36"/>
  <c r="G43" i="36"/>
  <c r="G82" i="36" s="1"/>
  <c r="AE10" i="22"/>
  <c r="BA114" i="22"/>
  <c r="AF125" i="22"/>
  <c r="BB143" i="22"/>
  <c r="AF63" i="22"/>
  <c r="BB150" i="22"/>
  <c r="BB147" i="22"/>
  <c r="AP16" i="22"/>
  <c r="AF131" i="22"/>
  <c r="BB117" i="22"/>
  <c r="AF13" i="22"/>
  <c r="AF9" i="22"/>
  <c r="BB118" i="22"/>
  <c r="F87" i="36"/>
  <c r="H48" i="36"/>
  <c r="H87" i="36" s="1"/>
  <c r="E90" i="36"/>
  <c r="G51" i="36"/>
  <c r="G90" i="36" s="1"/>
  <c r="AE16" i="22"/>
  <c r="BA31" i="22"/>
  <c r="BA120" i="22"/>
  <c r="AE15" i="22"/>
  <c r="BB43" i="22"/>
  <c r="AF46" i="22"/>
  <c r="BA48" i="22"/>
  <c r="AE56" i="22"/>
  <c r="AE70" i="22"/>
  <c r="BA128" i="22"/>
  <c r="AD2" i="32"/>
  <c r="AE89" i="22"/>
  <c r="BA18" i="22"/>
  <c r="BA100" i="22"/>
  <c r="AE97" i="22"/>
  <c r="AF112" i="22"/>
  <c r="AP12" i="22"/>
  <c r="BB101" i="22"/>
  <c r="AF93" i="22"/>
  <c r="BB56" i="22"/>
  <c r="AE110" i="22"/>
  <c r="BA65" i="22"/>
  <c r="BB53" i="22"/>
  <c r="AF91" i="22"/>
  <c r="BA97" i="22"/>
  <c r="AE71" i="22"/>
  <c r="H40" i="36"/>
  <c r="H79" i="36" s="1"/>
  <c r="F79" i="36"/>
  <c r="AF108" i="22"/>
  <c r="BB64" i="22"/>
  <c r="BA132" i="22"/>
  <c r="AE75" i="22"/>
  <c r="AE27" i="22"/>
  <c r="AO6" i="22"/>
  <c r="BA87" i="22"/>
  <c r="AF26" i="22"/>
  <c r="BB7" i="22"/>
  <c r="BA30" i="22"/>
  <c r="AE14" i="22"/>
  <c r="AO5" i="22"/>
  <c r="AF25" i="22"/>
  <c r="BB34" i="22"/>
  <c r="AF84" i="22"/>
  <c r="BB14" i="22"/>
  <c r="BB49" i="22"/>
  <c r="AF58" i="22"/>
  <c r="BA139" i="22"/>
  <c r="AE116" i="22"/>
  <c r="BA129" i="22"/>
  <c r="AE67" i="22"/>
  <c r="AF111" i="22"/>
  <c r="BB23" i="22"/>
  <c r="AE105" i="22"/>
  <c r="BA20" i="22"/>
  <c r="AF135" i="22"/>
  <c r="BB80" i="22"/>
  <c r="AE113" i="22"/>
  <c r="BA66" i="22"/>
  <c r="G44" i="36"/>
  <c r="G83" i="36" s="1"/>
  <c r="E83" i="36"/>
  <c r="BB120" i="22"/>
  <c r="AF15" i="22"/>
  <c r="BB67" i="22"/>
  <c r="AF114" i="22"/>
  <c r="AE9" i="22"/>
  <c r="BA118" i="22"/>
  <c r="AE59" i="22"/>
  <c r="BA95" i="22"/>
  <c r="BB127" i="22"/>
  <c r="AF69" i="22"/>
  <c r="AE80" i="22"/>
  <c r="BA134" i="22"/>
  <c r="AF14" i="22"/>
  <c r="BB30" i="22"/>
  <c r="AP5" i="22"/>
  <c r="BB82" i="22"/>
  <c r="AF6" i="22"/>
  <c r="BB21" i="22"/>
  <c r="AF107" i="22"/>
  <c r="G41" i="36"/>
  <c r="G80" i="36" s="1"/>
  <c r="E80" i="36"/>
  <c r="E78" i="36"/>
  <c r="G39" i="36"/>
  <c r="G78" i="36" s="1"/>
  <c r="AE42" i="22"/>
  <c r="BA39" i="22"/>
  <c r="E79" i="36"/>
  <c r="G40" i="36"/>
  <c r="G79" i="36" s="1"/>
  <c r="BB121" i="22"/>
  <c r="AF35" i="22"/>
  <c r="BB126" i="22"/>
  <c r="AF68" i="22"/>
  <c r="BB50" i="22"/>
  <c r="AF73" i="22"/>
  <c r="AE87" i="22"/>
  <c r="BA17" i="22"/>
  <c r="BA47" i="22"/>
  <c r="AE53" i="22"/>
  <c r="AE84" i="22"/>
  <c r="BA14" i="22"/>
  <c r="AF31" i="22"/>
  <c r="BB91" i="22"/>
  <c r="AF23" i="22"/>
  <c r="BB33" i="22"/>
  <c r="BB99" i="22"/>
  <c r="AF96" i="22"/>
  <c r="F91" i="36"/>
  <c r="H52" i="36"/>
  <c r="H91" i="36" s="1"/>
  <c r="BA147" i="22"/>
  <c r="AE131" i="22"/>
  <c r="AO16" i="22"/>
  <c r="AE18" i="22"/>
  <c r="BA5" i="22"/>
  <c r="BB37" i="22"/>
  <c r="AF39" i="22"/>
  <c r="AF34" i="22"/>
  <c r="BB8" i="22"/>
  <c r="AF80" i="22"/>
  <c r="BB134" i="22"/>
  <c r="AF36" i="22"/>
  <c r="BB36" i="22"/>
  <c r="AF115" i="22"/>
  <c r="AP13" i="22"/>
  <c r="BB68" i="22"/>
  <c r="AP18" i="22"/>
  <c r="AF134" i="22"/>
  <c r="BA63" i="22"/>
  <c r="AE106" i="22"/>
  <c r="AF113" i="22"/>
  <c r="BB66" i="22"/>
  <c r="H53" i="36"/>
  <c r="H92" i="36" s="1"/>
  <c r="F92" i="36"/>
  <c r="BB100" i="22"/>
  <c r="AF97" i="22"/>
  <c r="AE55" i="22"/>
  <c r="BA151" i="22"/>
  <c r="BB144" i="22"/>
  <c r="AF126" i="22"/>
  <c r="BA70" i="22"/>
  <c r="AE120" i="22"/>
  <c r="AE44" i="22"/>
  <c r="BA41" i="22"/>
  <c r="BA40" i="22"/>
  <c r="AE43" i="22"/>
  <c r="BB95" i="22"/>
  <c r="AF59" i="22"/>
  <c r="H47" i="36"/>
  <c r="H86" i="36" s="1"/>
  <c r="F86" i="36"/>
  <c r="AE30" i="22"/>
  <c r="BA90" i="22"/>
  <c r="AE130" i="22"/>
  <c r="BA72" i="22"/>
  <c r="BB18" i="22"/>
  <c r="AF89" i="22"/>
  <c r="BA7" i="22"/>
  <c r="AE26" i="22"/>
  <c r="AE66" i="22"/>
  <c r="BA158" i="22"/>
  <c r="BB79" i="22"/>
  <c r="AP4" i="22"/>
  <c r="AF4" i="22"/>
  <c r="AF38" i="22"/>
  <c r="BB104" i="22"/>
  <c r="AF70" i="22"/>
  <c r="BB128" i="22"/>
  <c r="AF43" i="22"/>
  <c r="BB40" i="22"/>
  <c r="BB71" i="22"/>
  <c r="AF121" i="22"/>
  <c r="AE49" i="22"/>
  <c r="BA94" i="22"/>
  <c r="AE112" i="22"/>
  <c r="AO12" i="22"/>
  <c r="BA101" i="22"/>
  <c r="AP15" i="22"/>
  <c r="AF103" i="22"/>
  <c r="BB61" i="22"/>
  <c r="BA104" i="22"/>
  <c r="AE38" i="22"/>
  <c r="BB145" i="22"/>
  <c r="AF127" i="22"/>
  <c r="BA157" i="22"/>
  <c r="AE64" i="22"/>
  <c r="BA156" i="22"/>
  <c r="AE61" i="22"/>
  <c r="AE22" i="22"/>
  <c r="BA85" i="22"/>
  <c r="BB156" i="22"/>
  <c r="BE156" i="22" s="1"/>
  <c r="BF156" i="22" s="1"/>
  <c r="AF61" i="22"/>
  <c r="BA96" i="22"/>
  <c r="AE65" i="22"/>
  <c r="AF105" i="22"/>
  <c r="BB20" i="22"/>
  <c r="BB48" i="22"/>
  <c r="AF56" i="22"/>
  <c r="BA15" i="22"/>
  <c r="AE85" i="22"/>
  <c r="BA82" i="22"/>
  <c r="AE6" i="22"/>
  <c r="BA67" i="22"/>
  <c r="AE114" i="22"/>
  <c r="BA141" i="22"/>
  <c r="AE123" i="22"/>
  <c r="AE37" i="22"/>
  <c r="BA149" i="22"/>
  <c r="BA143" i="22"/>
  <c r="AE125" i="22"/>
  <c r="BA32" i="22"/>
  <c r="AE17" i="22"/>
  <c r="AF106" i="22"/>
  <c r="BB63" i="22"/>
  <c r="BB13" i="22"/>
  <c r="AF83" i="22"/>
  <c r="BB92" i="22"/>
  <c r="AF33" i="22"/>
  <c r="AF85" i="22"/>
  <c r="BB15" i="22"/>
  <c r="BA127" i="22"/>
  <c r="AE69" i="22"/>
  <c r="BA89" i="22"/>
  <c r="AE29" i="22"/>
  <c r="BB90" i="22"/>
  <c r="AF30" i="22"/>
  <c r="G49" i="36"/>
  <c r="G88" i="36" s="1"/>
  <c r="E88" i="36"/>
  <c r="AE21" i="22"/>
  <c r="BA84" i="22"/>
  <c r="AE41" i="22"/>
  <c r="BA122" i="22"/>
  <c r="BB88" i="22"/>
  <c r="AF28" i="22"/>
  <c r="AE117" i="22"/>
  <c r="BA73" i="22"/>
  <c r="BA50" i="22"/>
  <c r="AE73" i="22"/>
  <c r="AF124" i="22"/>
  <c r="BB142" i="22"/>
  <c r="BB132" i="22"/>
  <c r="AF75" i="22"/>
  <c r="AF57" i="22"/>
  <c r="BB11" i="22"/>
  <c r="E81" i="36"/>
  <c r="G42" i="36"/>
  <c r="G81" i="36" s="1"/>
  <c r="AF12" i="22"/>
  <c r="BB116" i="22"/>
  <c r="AF129" i="22"/>
  <c r="BB102" i="22"/>
  <c r="BB94" i="22"/>
  <c r="AF49" i="22"/>
  <c r="E92" i="36"/>
  <c r="G53" i="36"/>
  <c r="G92" i="36" s="1"/>
  <c r="BB131" i="22"/>
  <c r="AF74" i="22"/>
  <c r="AO11" i="22"/>
  <c r="BA52" i="22"/>
  <c r="AE90" i="22"/>
  <c r="AE94" i="22"/>
  <c r="BA138" i="22"/>
  <c r="BB24" i="22"/>
  <c r="AF118" i="22"/>
  <c r="F78" i="36"/>
  <c r="H39" i="36"/>
  <c r="H78" i="36" s="1"/>
  <c r="AE100" i="22"/>
  <c r="BA59" i="22"/>
  <c r="BA53" i="22"/>
  <c r="AE91" i="22"/>
  <c r="BB47" i="22"/>
  <c r="AF53" i="22"/>
  <c r="BA126" i="22"/>
  <c r="AE68" i="22"/>
  <c r="G47" i="36"/>
  <c r="G86" i="36" s="1"/>
  <c r="E86" i="36"/>
  <c r="AF50" i="22"/>
  <c r="BB45" i="22"/>
  <c r="BA42" i="22"/>
  <c r="AE45" i="22"/>
  <c r="F89" i="36"/>
  <c r="H50" i="36"/>
  <c r="H89" i="36" s="1"/>
  <c r="BA117" i="22"/>
  <c r="AE13" i="22"/>
  <c r="AE8" i="22"/>
  <c r="BA113" i="22"/>
  <c r="BB136" i="22"/>
  <c r="AF79" i="22"/>
  <c r="AE124" i="22"/>
  <c r="BA142" i="22"/>
  <c r="I5" i="63" l="1" a="1"/>
  <c r="I5" i="63" s="1"/>
  <c r="L5" i="68" a="1"/>
  <c r="L5" i="68" s="1"/>
  <c r="K5" i="67" a="1"/>
  <c r="K5" i="67" s="1"/>
  <c r="P5" i="65" a="1"/>
  <c r="P5" i="65" s="1"/>
  <c r="P6" i="69" a="1"/>
  <c r="P6" i="69" s="1"/>
  <c r="M6" i="64" a="1"/>
  <c r="M6" i="64" s="1"/>
  <c r="H31" i="104"/>
  <c r="G6" i="104"/>
  <c r="D72" i="72"/>
  <c r="BE63" i="22"/>
  <c r="BE71" i="22"/>
  <c r="D80" i="72"/>
  <c r="BE33" i="22"/>
  <c r="D44" i="72"/>
  <c r="BE67" i="22"/>
  <c r="D76" i="72"/>
  <c r="D63" i="72"/>
  <c r="BE53" i="22"/>
  <c r="BE93" i="22"/>
  <c r="D103" i="72"/>
  <c r="BE42" i="22"/>
  <c r="D52" i="72"/>
  <c r="BE12" i="22"/>
  <c r="D20" i="72"/>
  <c r="D135" i="72"/>
  <c r="BE123" i="22"/>
  <c r="BE83" i="22"/>
  <c r="D92" i="72"/>
  <c r="D104" i="72"/>
  <c r="BE94" i="22"/>
  <c r="BE102" i="22"/>
  <c r="D114" i="72"/>
  <c r="BE40" i="22"/>
  <c r="D50" i="72"/>
  <c r="BE79" i="22"/>
  <c r="D89" i="72"/>
  <c r="BE134" i="22"/>
  <c r="D138" i="72"/>
  <c r="BE21" i="22"/>
  <c r="D29" i="72"/>
  <c r="D73" i="72"/>
  <c r="BE64" i="22"/>
  <c r="D160" i="72"/>
  <c r="BE147" i="22"/>
  <c r="D93" i="72"/>
  <c r="BE84" i="22"/>
  <c r="BE58" i="22"/>
  <c r="D67" i="72"/>
  <c r="D51" i="72"/>
  <c r="BE41" i="22"/>
  <c r="D61" i="72"/>
  <c r="BE51" i="22"/>
  <c r="BE86" i="22"/>
  <c r="D95" i="72"/>
  <c r="BE138" i="22"/>
  <c r="D151" i="72"/>
  <c r="D25" i="72"/>
  <c r="BE17" i="22"/>
  <c r="BE129" i="22"/>
  <c r="D143" i="72"/>
  <c r="D107" i="72"/>
  <c r="BE97" i="22"/>
  <c r="K3" i="46"/>
  <c r="H10" i="36"/>
  <c r="T3" i="50"/>
  <c r="L3" i="11"/>
  <c r="T3" i="32"/>
  <c r="L3" i="71"/>
  <c r="M3" i="59"/>
  <c r="H51" i="73"/>
  <c r="BE45" i="22"/>
  <c r="D55" i="72"/>
  <c r="BE132" i="22"/>
  <c r="D147" i="72"/>
  <c r="D97" i="72"/>
  <c r="BE88" i="22"/>
  <c r="BE90" i="22"/>
  <c r="D99" i="72"/>
  <c r="D102" i="72"/>
  <c r="BE92" i="22"/>
  <c r="BE91" i="22"/>
  <c r="D101" i="72"/>
  <c r="D141" i="72"/>
  <c r="BE127" i="22"/>
  <c r="BE120" i="22"/>
  <c r="D132" i="72"/>
  <c r="BE49" i="22"/>
  <c r="D59" i="72"/>
  <c r="D15" i="72"/>
  <c r="BE7" i="22"/>
  <c r="BE43" i="22"/>
  <c r="D53" i="72"/>
  <c r="D144" i="72"/>
  <c r="BE150" i="22"/>
  <c r="D69" i="72"/>
  <c r="BE60" i="22"/>
  <c r="D90" i="72"/>
  <c r="BE81" i="22"/>
  <c r="D153" i="72"/>
  <c r="BE140" i="22"/>
  <c r="D159" i="72"/>
  <c r="BE146" i="22"/>
  <c r="BE119" i="22"/>
  <c r="D131" i="72"/>
  <c r="BE62" i="22"/>
  <c r="D71" i="72"/>
  <c r="BE9" i="22"/>
  <c r="D17" i="72"/>
  <c r="D126" i="72"/>
  <c r="BE114" i="22"/>
  <c r="BE136" i="22"/>
  <c r="D149" i="72"/>
  <c r="BE116" i="22"/>
  <c r="D128" i="72"/>
  <c r="D155" i="72"/>
  <c r="BE142" i="22"/>
  <c r="BE128" i="22"/>
  <c r="D142" i="72"/>
  <c r="D112" i="72"/>
  <c r="BE100" i="22"/>
  <c r="D16" i="72"/>
  <c r="BE8" i="22"/>
  <c r="D60" i="72"/>
  <c r="BE50" i="22"/>
  <c r="D91" i="72"/>
  <c r="BE82" i="22"/>
  <c r="BE23" i="22"/>
  <c r="D31" i="72"/>
  <c r="BE14" i="22"/>
  <c r="D22" i="72"/>
  <c r="D65" i="72"/>
  <c r="BE56" i="22"/>
  <c r="BE118" i="22"/>
  <c r="D130" i="72"/>
  <c r="BE151" i="22"/>
  <c r="D136" i="72"/>
  <c r="BE113" i="22"/>
  <c r="D125" i="72"/>
  <c r="D56" i="72"/>
  <c r="BE46" i="22"/>
  <c r="BE139" i="22"/>
  <c r="D152" i="72"/>
  <c r="BE141" i="22"/>
  <c r="D154" i="72"/>
  <c r="D49" i="72"/>
  <c r="BE39" i="22"/>
  <c r="D139" i="72"/>
  <c r="BE125" i="22"/>
  <c r="D162" i="72"/>
  <c r="BE149" i="22"/>
  <c r="D127" i="72"/>
  <c r="BE115" i="22"/>
  <c r="D94" i="72"/>
  <c r="BE85" i="22"/>
  <c r="D21" i="72"/>
  <c r="BE13" i="22"/>
  <c r="D158" i="72"/>
  <c r="BE145" i="22"/>
  <c r="D77" i="72"/>
  <c r="BE68" i="22"/>
  <c r="BE143" i="22"/>
  <c r="D156" i="72"/>
  <c r="BE137" i="22"/>
  <c r="D150" i="72"/>
  <c r="D66" i="72"/>
  <c r="BE57" i="22"/>
  <c r="D98" i="72"/>
  <c r="BE89" i="22"/>
  <c r="BE52" i="22"/>
  <c r="D62" i="72"/>
  <c r="D78" i="72"/>
  <c r="BE69" i="22"/>
  <c r="D68" i="72"/>
  <c r="BE59" i="22"/>
  <c r="BE135" i="22"/>
  <c r="D148" i="72"/>
  <c r="D79" i="72"/>
  <c r="BE70" i="22"/>
  <c r="BE24" i="22"/>
  <c r="D32" i="72"/>
  <c r="BE104" i="22"/>
  <c r="D100" i="72"/>
  <c r="D140" i="72"/>
  <c r="BE126" i="22"/>
  <c r="C37" i="104"/>
  <c r="C38" i="104" s="1"/>
  <c r="BE30" i="22"/>
  <c r="D41" i="72"/>
  <c r="D45" i="72"/>
  <c r="BE34" i="22"/>
  <c r="BE101" i="22"/>
  <c r="D113" i="72"/>
  <c r="BE22" i="22"/>
  <c r="D30" i="72"/>
  <c r="D24" i="72"/>
  <c r="BE16" i="22"/>
  <c r="BE73" i="22"/>
  <c r="D82" i="72"/>
  <c r="BE72" i="22"/>
  <c r="D81" i="72"/>
  <c r="BE148" i="22"/>
  <c r="D161" i="72"/>
  <c r="BE96" i="22"/>
  <c r="D106" i="72"/>
  <c r="D145" i="72"/>
  <c r="BE130" i="22"/>
  <c r="BE32" i="22"/>
  <c r="D43" i="72"/>
  <c r="BE105" i="22"/>
  <c r="D108" i="72"/>
  <c r="BE131" i="22"/>
  <c r="D146" i="72"/>
  <c r="D58" i="72"/>
  <c r="BE48" i="22"/>
  <c r="BE66" i="22"/>
  <c r="D75" i="72"/>
  <c r="D48" i="72"/>
  <c r="BE37" i="22"/>
  <c r="BE117" i="22"/>
  <c r="D129" i="72"/>
  <c r="D27" i="72"/>
  <c r="BE19" i="22"/>
  <c r="BE65" i="22"/>
  <c r="D74" i="72"/>
  <c r="D96" i="72"/>
  <c r="BE87" i="22"/>
  <c r="C25" i="104"/>
  <c r="C26" i="104" s="1"/>
  <c r="D134" i="72"/>
  <c r="BE122" i="22"/>
  <c r="D110" i="72"/>
  <c r="BE98" i="22"/>
  <c r="BE35" i="22"/>
  <c r="D46" i="72"/>
  <c r="BE103" i="22"/>
  <c r="D115" i="72"/>
  <c r="BE47" i="22"/>
  <c r="D57" i="72"/>
  <c r="D19" i="72"/>
  <c r="BE11" i="22"/>
  <c r="BE15" i="22"/>
  <c r="D23" i="72"/>
  <c r="D28" i="72"/>
  <c r="BE20" i="22"/>
  <c r="D70" i="72"/>
  <c r="BE61" i="22"/>
  <c r="D26" i="72"/>
  <c r="BE18" i="22"/>
  <c r="D105" i="72"/>
  <c r="BE95" i="22"/>
  <c r="D157" i="72"/>
  <c r="BE144" i="22"/>
  <c r="D47" i="72"/>
  <c r="BE36" i="22"/>
  <c r="D111" i="72"/>
  <c r="BE99" i="22"/>
  <c r="D133" i="72"/>
  <c r="BE121" i="22"/>
  <c r="D109" i="72"/>
  <c r="BE80" i="22"/>
  <c r="BE31" i="22"/>
  <c r="D42" i="72"/>
  <c r="D64" i="72"/>
  <c r="BE54" i="22"/>
  <c r="D18" i="72"/>
  <c r="BE10" i="22"/>
  <c r="BE5" i="22"/>
  <c r="D13" i="72"/>
  <c r="D14" i="72"/>
  <c r="BE6" i="22"/>
  <c r="D137" i="72"/>
  <c r="BE124" i="22"/>
  <c r="BE44" i="22"/>
  <c r="D54" i="72"/>
  <c r="D33" i="72" l="1"/>
  <c r="F109" i="72"/>
  <c r="BF80" i="22"/>
  <c r="BF144" i="22"/>
  <c r="F157" i="72"/>
  <c r="BF20" i="22"/>
  <c r="G28" i="72" s="1"/>
  <c r="F28" i="72"/>
  <c r="BF39" i="22"/>
  <c r="G49" i="72" s="1"/>
  <c r="F49" i="72"/>
  <c r="D163" i="72"/>
  <c r="BF81" i="22"/>
  <c r="F90" i="72"/>
  <c r="F15" i="72"/>
  <c r="BF7" i="22"/>
  <c r="G15" i="72" s="1"/>
  <c r="BF5" i="22"/>
  <c r="G13" i="72" s="1"/>
  <c r="F13" i="72"/>
  <c r="BF103" i="22"/>
  <c r="F115" i="72"/>
  <c r="F96" i="72"/>
  <c r="BF87" i="22"/>
  <c r="E25" i="104"/>
  <c r="F48" i="72"/>
  <c r="BF37" i="22"/>
  <c r="G48" i="72" s="1"/>
  <c r="F156" i="72"/>
  <c r="BF143" i="22"/>
  <c r="F125" i="72"/>
  <c r="BF113" i="22"/>
  <c r="BF14" i="22"/>
  <c r="G22" i="72" s="1"/>
  <c r="F22" i="72"/>
  <c r="BF116" i="22"/>
  <c r="F128" i="72"/>
  <c r="BF91" i="22"/>
  <c r="F101" i="72"/>
  <c r="BF132" i="22"/>
  <c r="F147" i="72"/>
  <c r="BF40" i="22"/>
  <c r="G50" i="72" s="1"/>
  <c r="F50" i="72"/>
  <c r="BF10" i="22"/>
  <c r="G18" i="72" s="1"/>
  <c r="F18" i="72"/>
  <c r="F133" i="72"/>
  <c r="BF121" i="22"/>
  <c r="BF95" i="22"/>
  <c r="F105" i="72"/>
  <c r="G105" i="72" s="1"/>
  <c r="F108" i="72"/>
  <c r="BF105" i="22"/>
  <c r="BF148" i="22"/>
  <c r="F161" i="72"/>
  <c r="F30" i="72"/>
  <c r="BF22" i="22"/>
  <c r="G30" i="72" s="1"/>
  <c r="BF126" i="22"/>
  <c r="F140" i="72"/>
  <c r="F98" i="72"/>
  <c r="BF89" i="22"/>
  <c r="F77" i="72"/>
  <c r="BF68" i="22"/>
  <c r="G77" i="72" s="1"/>
  <c r="BF115" i="22"/>
  <c r="F127" i="72"/>
  <c r="BF100" i="22"/>
  <c r="F112" i="72"/>
  <c r="BF60" i="22"/>
  <c r="G69" i="72" s="1"/>
  <c r="F69" i="72"/>
  <c r="F102" i="72"/>
  <c r="BF92" i="22"/>
  <c r="F42" i="72"/>
  <c r="BF31" i="22"/>
  <c r="G42" i="72" s="1"/>
  <c r="F149" i="72"/>
  <c r="BF136" i="22"/>
  <c r="BF45" i="22"/>
  <c r="G55" i="72" s="1"/>
  <c r="F55" i="72"/>
  <c r="F151" i="72"/>
  <c r="BF138" i="22"/>
  <c r="F67" i="72"/>
  <c r="BF58" i="22"/>
  <c r="G67" i="72" s="1"/>
  <c r="BF21" i="22"/>
  <c r="G29" i="72" s="1"/>
  <c r="F29" i="72"/>
  <c r="BF102" i="22"/>
  <c r="F114" i="72"/>
  <c r="F20" i="72"/>
  <c r="BF12" i="22"/>
  <c r="G20" i="72" s="1"/>
  <c r="F76" i="72"/>
  <c r="BF67" i="22"/>
  <c r="G76" i="72" s="1"/>
  <c r="BF47" i="22"/>
  <c r="G57" i="72" s="1"/>
  <c r="F57" i="72"/>
  <c r="BF16" i="22"/>
  <c r="G24" i="72" s="1"/>
  <c r="F24" i="72"/>
  <c r="BF44" i="22"/>
  <c r="G54" i="72" s="1"/>
  <c r="F54" i="72"/>
  <c r="BF15" i="22"/>
  <c r="G23" i="72" s="1"/>
  <c r="F23" i="72"/>
  <c r="F46" i="72"/>
  <c r="BF35" i="22"/>
  <c r="G46" i="72" s="1"/>
  <c r="F154" i="72"/>
  <c r="BF141" i="22"/>
  <c r="BF23" i="22"/>
  <c r="G31" i="72" s="1"/>
  <c r="F31" i="72"/>
  <c r="F74" i="72"/>
  <c r="BF65" i="22"/>
  <c r="G74" i="72" s="1"/>
  <c r="BF82" i="22"/>
  <c r="F91" i="72"/>
  <c r="F126" i="72"/>
  <c r="BF114" i="22"/>
  <c r="BF150" i="22"/>
  <c r="F144" i="72"/>
  <c r="M4" i="59"/>
  <c r="K4" i="46"/>
  <c r="H14" i="36"/>
  <c r="T4" i="50"/>
  <c r="L4" i="11"/>
  <c r="L4" i="71"/>
  <c r="T4" i="32"/>
  <c r="J51" i="73"/>
  <c r="BF97" i="22"/>
  <c r="F107" i="72"/>
  <c r="BF84" i="22"/>
  <c r="F93" i="72"/>
  <c r="BF94" i="22"/>
  <c r="F104" i="72"/>
  <c r="BF135" i="22"/>
  <c r="F148" i="72"/>
  <c r="F131" i="72"/>
  <c r="BF119" i="22"/>
  <c r="BF49" i="22"/>
  <c r="G59" i="72" s="1"/>
  <c r="F59" i="72"/>
  <c r="BF99" i="22"/>
  <c r="F111" i="72"/>
  <c r="F162" i="72"/>
  <c r="BF149" i="22"/>
  <c r="F136" i="72"/>
  <c r="BF151" i="22"/>
  <c r="BF124" i="22"/>
  <c r="F137" i="72"/>
  <c r="BF54" i="22"/>
  <c r="G64" i="72" s="1"/>
  <c r="F64" i="72"/>
  <c r="F26" i="72"/>
  <c r="BF18" i="22"/>
  <c r="G26" i="72" s="1"/>
  <c r="BF11" i="22"/>
  <c r="G19" i="72" s="1"/>
  <c r="F19" i="72"/>
  <c r="F110" i="72"/>
  <c r="BF98" i="22"/>
  <c r="F75" i="72"/>
  <c r="BF66" i="22"/>
  <c r="G75" i="72" s="1"/>
  <c r="F43" i="72"/>
  <c r="BF32" i="22"/>
  <c r="G43" i="72" s="1"/>
  <c r="BF72" i="22"/>
  <c r="G81" i="72" s="1"/>
  <c r="F81" i="72"/>
  <c r="F113" i="72"/>
  <c r="BF101" i="22"/>
  <c r="BF59" i="22"/>
  <c r="G68" i="72" s="1"/>
  <c r="F68" i="72"/>
  <c r="BF57" i="22"/>
  <c r="G66" i="72" s="1"/>
  <c r="F66" i="72"/>
  <c r="BF145" i="22"/>
  <c r="F158" i="72"/>
  <c r="F159" i="72"/>
  <c r="BF146" i="22"/>
  <c r="BF19" i="22"/>
  <c r="G27" i="72" s="1"/>
  <c r="F27" i="72"/>
  <c r="BF48" i="22"/>
  <c r="G58" i="72" s="1"/>
  <c r="F58" i="72"/>
  <c r="F145" i="72"/>
  <c r="BF130" i="22"/>
  <c r="BF34" i="22"/>
  <c r="G45" i="72" s="1"/>
  <c r="F45" i="72"/>
  <c r="BF104" i="22"/>
  <c r="F100" i="72"/>
  <c r="BF139" i="22"/>
  <c r="F152" i="72"/>
  <c r="BF118" i="22"/>
  <c r="F130" i="72"/>
  <c r="F142" i="72"/>
  <c r="BF128" i="22"/>
  <c r="F132" i="72"/>
  <c r="BF120" i="22"/>
  <c r="F99" i="72"/>
  <c r="BF90" i="22"/>
  <c r="F95" i="72"/>
  <c r="BF86" i="22"/>
  <c r="BF134" i="22"/>
  <c r="F138" i="72"/>
  <c r="BF42" i="22"/>
  <c r="G52" i="72" s="1"/>
  <c r="F52" i="72"/>
  <c r="F44" i="72"/>
  <c r="BF33" i="22"/>
  <c r="G44" i="72" s="1"/>
  <c r="F14" i="72"/>
  <c r="BF6" i="22"/>
  <c r="G14" i="72" s="1"/>
  <c r="F47" i="72"/>
  <c r="BF36" i="22"/>
  <c r="G47" i="72" s="1"/>
  <c r="BF61" i="22"/>
  <c r="G70" i="72" s="1"/>
  <c r="F70" i="72"/>
  <c r="F134" i="72"/>
  <c r="BF122" i="22"/>
  <c r="BF73" i="22"/>
  <c r="G82" i="72" s="1"/>
  <c r="F82" i="72"/>
  <c r="BF69" i="22"/>
  <c r="G78" i="72" s="1"/>
  <c r="F78" i="72"/>
  <c r="BF13" i="22"/>
  <c r="G21" i="72" s="1"/>
  <c r="F21" i="72"/>
  <c r="BF125" i="22"/>
  <c r="F139" i="72"/>
  <c r="BF46" i="22"/>
  <c r="G56" i="72" s="1"/>
  <c r="F56" i="72"/>
  <c r="F65" i="72"/>
  <c r="BF56" i="22"/>
  <c r="G65" i="72" s="1"/>
  <c r="F60" i="72"/>
  <c r="BF50" i="22"/>
  <c r="G60" i="72" s="1"/>
  <c r="F155" i="72"/>
  <c r="BF142" i="22"/>
  <c r="BF140" i="22"/>
  <c r="F153" i="72"/>
  <c r="BF127" i="22"/>
  <c r="F141" i="72"/>
  <c r="BF88" i="22"/>
  <c r="F97" i="72"/>
  <c r="F61" i="72"/>
  <c r="BF51" i="22"/>
  <c r="G61" i="72" s="1"/>
  <c r="BF147" i="22"/>
  <c r="F160" i="72"/>
  <c r="D116" i="72"/>
  <c r="D83" i="72"/>
  <c r="F32" i="72"/>
  <c r="BF24" i="22"/>
  <c r="G32" i="72" s="1"/>
  <c r="F150" i="72"/>
  <c r="BF137" i="22"/>
  <c r="BF9" i="22"/>
  <c r="G17" i="72" s="1"/>
  <c r="F17" i="72"/>
  <c r="F53" i="72"/>
  <c r="BF43" i="22"/>
  <c r="G53" i="72" s="1"/>
  <c r="F143" i="72"/>
  <c r="BF129" i="22"/>
  <c r="BF79" i="22"/>
  <c r="F89" i="72"/>
  <c r="BF83" i="22"/>
  <c r="F92" i="72"/>
  <c r="BF93" i="22"/>
  <c r="F103" i="72"/>
  <c r="G103" i="72" s="1"/>
  <c r="BF71" i="22"/>
  <c r="G80" i="72" s="1"/>
  <c r="F80" i="72"/>
  <c r="BF17" i="22"/>
  <c r="G25" i="72" s="1"/>
  <c r="F25" i="72"/>
  <c r="BF41" i="22"/>
  <c r="G51" i="72" s="1"/>
  <c r="F51" i="72"/>
  <c r="F73" i="72"/>
  <c r="BF64" i="22"/>
  <c r="G73" i="72" s="1"/>
  <c r="BF123" i="22"/>
  <c r="F135" i="72"/>
  <c r="F63" i="72"/>
  <c r="BF53" i="22"/>
  <c r="G63" i="72" s="1"/>
  <c r="F72" i="72"/>
  <c r="BF63" i="22"/>
  <c r="G72" i="72" s="1"/>
  <c r="F129" i="72"/>
  <c r="BF117" i="22"/>
  <c r="BF131" i="22"/>
  <c r="F146" i="72"/>
  <c r="BF96" i="22"/>
  <c r="F106" i="72"/>
  <c r="F41" i="72"/>
  <c r="E37" i="104"/>
  <c r="BF30" i="22"/>
  <c r="G41" i="72" s="1"/>
  <c r="F79" i="72"/>
  <c r="BF70" i="22"/>
  <c r="G79" i="72" s="1"/>
  <c r="F94" i="72"/>
  <c r="BF85" i="22"/>
  <c r="BF8" i="22"/>
  <c r="G16" i="72" s="1"/>
  <c r="F16" i="72"/>
  <c r="F62" i="72"/>
  <c r="BF52" i="22"/>
  <c r="G62" i="72" s="1"/>
  <c r="BF62" i="22"/>
  <c r="G71" i="72" s="1"/>
  <c r="F71" i="72"/>
  <c r="G106" i="72" l="1"/>
  <c r="G113" i="72"/>
  <c r="G96" i="72"/>
  <c r="G110" i="72"/>
  <c r="F163" i="72"/>
  <c r="J125" i="72" s="1"/>
  <c r="G108" i="72"/>
  <c r="G37" i="104"/>
  <c r="E38" i="104"/>
  <c r="H32" i="104" s="1"/>
  <c r="H33" i="104" s="1"/>
  <c r="F33" i="72"/>
  <c r="J12" i="72"/>
  <c r="G33" i="72"/>
  <c r="I13" i="72" s="1"/>
  <c r="G89" i="72"/>
  <c r="F116" i="72"/>
  <c r="F83" i="72"/>
  <c r="J40" i="72"/>
  <c r="G25" i="104"/>
  <c r="E26" i="104"/>
  <c r="G93" i="72"/>
  <c r="G83" i="72"/>
  <c r="J41" i="72" s="1"/>
  <c r="G6" i="72" s="1"/>
  <c r="J88" i="72" l="1"/>
  <c r="J89" i="72"/>
  <c r="J90" i="72" s="1"/>
  <c r="H44" i="104"/>
  <c r="G8" i="104" s="1"/>
  <c r="G7" i="104"/>
  <c r="J91" i="72" l="1"/>
  <c r="J126" i="72" s="1"/>
  <c r="G8" i="72" s="1"/>
  <c r="J5" i="52" a="1"/>
  <c r="J5" i="52" s="1"/>
  <c r="O5" i="57" a="1"/>
  <c r="O5" i="57" s="1"/>
  <c r="O5" i="53" a="1"/>
  <c r="O5" i="53" s="1"/>
  <c r="I5" i="42" a="1"/>
  <c r="I5" i="42" s="1"/>
  <c r="M5" i="58" a="1"/>
  <c r="M5" i="58" s="1"/>
  <c r="I5" i="55" a="1"/>
  <c r="I5" i="55" s="1"/>
  <c r="G7" i="72"/>
  <c r="T5" i="32" l="1" a="1"/>
  <c r="T5" i="32" s="1"/>
  <c r="F55" i="73" a="1"/>
  <c r="F55" i="73" s="1"/>
  <c r="M5" i="59" a="1"/>
  <c r="M5" i="59" s="1"/>
  <c r="L5" i="11" a="1"/>
  <c r="L5" i="11" s="1"/>
  <c r="K5" i="46" a="1"/>
  <c r="K5" i="46" s="1"/>
  <c r="L5" i="71" a="1"/>
  <c r="L5" i="71" s="1"/>
  <c r="T5" i="50" a="1"/>
  <c r="T5" i="50" s="1"/>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<sst xmlns="http://schemas.openxmlformats.org/spreadsheetml/2006/main" count="7821" uniqueCount="1786">
  <si>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</si>
  <si>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</si>
  <si>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</si>
  <si>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</si>
  <si>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</si>
  <si>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</si>
  <si>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</si>
  <si>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</si>
  <si>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</si>
  <si>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</si>
  <si>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</si>
  <si>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</si>
  <si>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</si>
  <si>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</si>
  <si>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</si>
  <si>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</si>
  <si>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</si>
  <si>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</si>
  <si>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</si>
  <si>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</si>
  <si>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</si>
  <si>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</si>
  <si>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</si>
  <si>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</si>
  <si>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</si>
  <si>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</si>
  <si>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</si>
  <si>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</si>
  <si>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</si>
  <si>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</si>
  <si>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</si>
  <si>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</si>
  <si>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</si>
  <si>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</si>
  <si>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</si>
  <si>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</si>
  <si>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</si>
  <si>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</si>
  <si>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</si>
  <si>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</si>
  <si>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</si>
  <si>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</si>
  <si>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</si>
  <si>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</si>
  <si>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</si>
  <si>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</si>
  <si>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</si>
  <si>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</si>
  <si>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</si>
  <si>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</si>
  <si>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</si>
  <si>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</si>
  <si>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</si>
  <si>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</si>
  <si>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</si>
  <si>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</si>
  <si>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</si>
  <si>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</si>
  <si>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</si>
  <si>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</si>
  <si>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</si>
  <si>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</si>
  <si>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</si>
  <si>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</si>
  <si>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</si>
  <si>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</si>
  <si>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</si>
  <si>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</si>
  <si>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</si>
  <si>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</si>
  <si>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</si>
  <si>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</si>
  <si>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</si>
  <si>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</si>
  <si>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</si>
  <si>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</si>
  <si>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</si>
  <si>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</si>
  <si>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</si>
  <si>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</si>
  <si>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</si>
  <si>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</si>
  <si>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</si>
  <si>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</si>
  <si>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</si>
  <si>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</si>
  <si>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</si>
  <si>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</si>
  <si>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</si>
  <si>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</si>
  <si>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</si>
  <si>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</si>
  <si>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</si>
  <si>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</si>
  <si>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</si>
  <si>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</si>
  <si>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</si>
  <si>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</si>
  <si>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</si>
  <si>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</si>
  <si>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</si>
  <si>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</si>
  <si>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</si>
  <si>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</si>
  <si>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</si>
  <si>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</si>
  <si>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</si>
  <si>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</si>
  <si>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</si>
  <si>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</si>
  <si>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</si>
  <si>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</si>
  <si>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</si>
  <si>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</si>
  <si>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</si>
  <si>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</si>
  <si>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</si>
  <si>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</si>
  <si>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</si>
  <si>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</si>
  <si>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</si>
  <si>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</si>
  <si>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</si>
  <si>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</si>
  <si>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</si>
  <si>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</si>
  <si>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</si>
  <si>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</si>
  <si>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</si>
  <si>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</si>
  <si>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</si>
  <si>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</si>
  <si>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</si>
  <si>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</si>
  <si>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</si>
  <si>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</si>
  <si>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</si>
  <si>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</si>
  <si>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</si>
  <si>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</si>
  <si>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</si>
  <si>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</si>
  <si>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</si>
  <si>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</si>
  <si>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</si>
  <si>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</si>
  <si>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</si>
  <si>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</si>
  <si>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</si>
  <si>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</si>
  <si>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</si>
  <si>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</si>
  <si>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</si>
  <si>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</si>
  <si>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</si>
  <si>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</si>
  <si>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</si>
  <si>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</si>
  <si>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</si>
  <si>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</si>
  <si>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</si>
  <si>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</si>
  <si>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</si>
  <si>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</si>
  <si>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</si>
  <si>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</si>
  <si>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</si>
  <si>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</si>
  <si>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</si>
  <si>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</si>
  <si>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</si>
  <si>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</si>
  <si>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</si>
  <si>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</si>
  <si>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</si>
  <si>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</si>
  <si>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</si>
  <si>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</si>
  <si>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</si>
  <si>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</si>
  <si>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</si>
  <si>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</si>
  <si>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</si>
  <si>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</si>
  <si>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</si>
  <si>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</si>
  <si>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</si>
  <si>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</si>
  <si>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</si>
  <si>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</si>
  <si>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</si>
  <si>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</si>
  <si>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</si>
  <si>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</si>
  <si>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</si>
  <si>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</si>
  <si>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</si>
  <si>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</si>
  <si>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</si>
  <si>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</si>
  <si>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</si>
  <si>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</si>
  <si>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</si>
  <si>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</si>
  <si>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</si>
  <si>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</si>
  <si>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</si>
  <si>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</si>
  <si>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</si>
  <si>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</si>
  <si>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</si>
  <si>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</si>
  <si>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</si>
  <si>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</si>
  <si>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</si>
  <si>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</si>
  <si>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</si>
  <si>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</si>
  <si>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</si>
  <si>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</si>
  <si>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</si>
  <si>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</si>
  <si>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</si>
  <si>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</si>
  <si>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</si>
  <si>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</si>
  <si>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</si>
  <si>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</si>
  <si>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</si>
  <si>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</si>
  <si>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</si>
  <si>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</si>
  <si>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</si>
  <si>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</si>
  <si>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</si>
  <si>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</si>
  <si>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</si>
  <si>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</si>
  <si>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</si>
  <si>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</si>
  <si>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</si>
  <si>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</si>
  <si>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</si>
  <si>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</si>
  <si>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 Deficit; Like for like or better not satisfied</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</si>
  <si>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</si>
  <si>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</si>
  <si>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</si>
  <si>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</si>
  <si>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</si>
  <si>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</si>
  <si>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</si>
  <si>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</si>
  <si>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</si>
  <si>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</si>
  <si>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</si>
  <si>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</si>
  <si>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</si>
  <si>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</si>
  <si>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</si>
  <si>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</si>
  <si>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</si>
  <si>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</si>
  <si>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</si>
  <si>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</si>
  <si>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</si>
  <si>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</si>
  <si>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</si>
  <si>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</si>
  <si>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</si>
  <si>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</si>
  <si>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</si>
  <si>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</si>
  <si>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</si>
  <si>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</si>
  <si>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</si>
  <si>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</si>
  <si>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</si>
  <si>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</si>
  <si>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</si>
  <si>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</si>
  <si>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</si>
  <si>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</si>
  <si>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</si>
  <si>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</si>
  <si>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</si>
  <si>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</si>
  <si>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</si>
  <si>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</si>
  <si>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</si>
  <si>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</si>
  <si>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</si>
  <si>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</si>
  <si>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</si>
  <si>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</si>
  <si>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</si>
  <si>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</si>
  <si>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</si>
  <si>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</si>
  <si>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</si>
  <si>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</si>
  <si>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</si>
  <si>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</si>
  <si>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</si>
  <si>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</si>
  <si>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</si>
  <si>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</si>
  <si>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</si>
  <si>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</si>
  <si>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</si>
  <si>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</si>
  <si>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</si>
  <si>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</si>
  <si>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</si>
  <si>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</si>
  <si>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</si>
  <si>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</si>
  <si>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</si>
  <si>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</si>
  <si>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</si>
  <si>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</si>
  <si>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</si>
  <si>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</si>
  <si>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</si>
  <si>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</si>
  <si>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</si>
  <si>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</si>
  <si>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</si>
  <si>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</si>
  <si>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</si>
  <si>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</si>
  <si>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</si>
  <si>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</si>
  <si>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</si>
  <si>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</si>
  <si>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</si>
  <si>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</si>
  <si>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</si>
  <si>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</si>
  <si>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</si>
  <si>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</si>
  <si>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</si>
  <si>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</si>
  <si>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</si>
  <si>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</si>
  <si>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</si>
  <si>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</si>
  <si>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</si>
  <si>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</si>
  <si>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</si>
  <si>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</si>
  <si>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</si>
  <si>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</si>
  <si>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</si>
  <si>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</si>
  <si>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</si>
  <si>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</si>
  <si>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</si>
  <si>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</si>
  <si>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</si>
  <si>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</si>
  <si>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</si>
  <si>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</si>
  <si>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</si>
  <si>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</si>
  <si>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</si>
  <si>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</si>
  <si>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</si>
  <si>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</si>
  <si>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</si>
  <si>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</si>
  <si>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</si>
  <si>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</si>
  <si>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</si>
  <si>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</si>
  <si>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</si>
  <si>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</si>
  <si>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</si>
  <si>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</si>
  <si>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</si>
  <si>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</si>
  <si>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</si>
  <si>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</si>
  <si>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</si>
  <si>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</si>
  <si>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</si>
  <si>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</si>
  <si>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</si>
  <si>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</si>
  <si>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</si>
  <si>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</si>
  <si>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</si>
  <si>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</si>
  <si>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</si>
  <si>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</si>
  <si>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</si>
  <si>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</si>
  <si>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</si>
  <si>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</si>
  <si>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</si>
  <si>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</si>
  <si>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</si>
  <si>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</si>
  <si>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</si>
  <si>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</si>
  <si>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</si>
  <si>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</si>
  <si>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</si>
  <si>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</si>
  <si>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</si>
  <si>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</si>
  <si>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</si>
  <si>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</si>
  <si>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</si>
  <si>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</si>
  <si>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</si>
  <si>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</si>
  <si>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</si>
  <si>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</si>
  <si>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</si>
  <si>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</si>
  <si>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</si>
  <si>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</si>
  <si>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</si>
  <si>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</si>
  <si>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</si>
  <si>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</si>
  <si>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</si>
  <si>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</si>
  <si>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</si>
  <si>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</si>
  <si>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</si>
  <si>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</si>
  <si>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</si>
  <si>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</si>
  <si>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</si>
  <si>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</si>
  <si>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</si>
  <si>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</si>
  <si>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</si>
  <si>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</si>
  <si>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</si>
  <si>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</si>
  <si>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</si>
  <si>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</si>
  <si>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</si>
  <si>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</si>
  <si>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</si>
  <si>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</si>
  <si>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</si>
  <si>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</si>
  <si>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</si>
  <si>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</si>
  <si>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</si>
  <si>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</si>
  <si>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</si>
  <si>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</si>
  <si>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</si>
  <si>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</si>
  <si>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</si>
  <si>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</si>
  <si>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</si>
  <si>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</si>
  <si>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</si>
  <si>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</si>
  <si>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</si>
  <si>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</si>
  <si>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</si>
  <si>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</si>
  <si>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</si>
  <si>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</si>
  <si>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</si>
  <si>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</si>
  <si>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</si>
  <si>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</si>
  <si>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</si>
  <si>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</si>
  <si>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</si>
  <si>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</si>
  <si>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</si>
  <si>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</si>
  <si>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</si>
  <si>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</si>
  <si>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</si>
  <si>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</si>
  <si>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</si>
  <si>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</si>
  <si>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</si>
  <si>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</si>
  <si>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</si>
  <si>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</si>
  <si>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</si>
  <si>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</si>
  <si>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</si>
  <si>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</si>
  <si>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</si>
  <si>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</si>
  <si>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</si>
  <si>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</si>
  <si>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</si>
  <si>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</si>
  <si>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</si>
  <si>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</si>
  <si>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</si>
  <si>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</si>
  <si>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</si>
  <si>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</si>
  <si>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</si>
  <si>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</si>
  <si>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</si>
  <si>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</si>
  <si>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</si>
  <si>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</si>
  <si>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</si>
  <si>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</si>
  <si>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</si>
  <si>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</si>
  <si>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</si>
  <si>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</si>
  <si>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</si>
  <si>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</si>
  <si>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</si>
  <si>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</si>
  <si>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</si>
  <si>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</si>
  <si>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</si>
  <si>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</si>
  <si>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</si>
  <si>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</si>
  <si>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</si>
  <si>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</si>
  <si>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</si>
  <si>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</si>
  <si>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</si>
  <si>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</si>
  <si>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</si>
  <si>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</si>
  <si>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</si>
  <si>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</si>
  <si>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</si>
  <si>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</si>
  <si>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</si>
  <si>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</si>
  <si>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</si>
  <si>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</si>
  <si>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</si>
  <si>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</si>
  <si>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</si>
  <si>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</si>
  <si>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</si>
  <si>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</si>
  <si>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</si>
  <si>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</si>
  <si>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</si>
  <si>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</si>
  <si>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</si>
  <si>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</si>
  <si>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</si>
  <si>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</si>
  <si>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</si>
  <si>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</si>
  <si>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</si>
  <si>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</si>
  <si>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</si>
  <si>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</si>
  <si>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</si>
  <si>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</si>
  <si>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</si>
  <si>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</si>
  <si>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</si>
  <si>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</si>
  <si>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</si>
  <si>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</si>
  <si>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</si>
  <si>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</si>
  <si>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</si>
  <si>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</si>
  <si>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</si>
  <si>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</si>
  <si>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</si>
  <si>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</si>
  <si>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</si>
  <si>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</si>
  <si>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</si>
  <si>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</si>
  <si>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</si>
  <si>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</si>
  <si>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</si>
  <si>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</si>
  <si>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</si>
  <si>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</si>
  <si>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</si>
  <si>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</si>
  <si>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</si>
  <si>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</si>
  <si>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</si>
  <si>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</si>
  <si>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</si>
  <si>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</si>
  <si>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</si>
  <si>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</si>
  <si>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</si>
  <si>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</si>
  <si>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</si>
  <si>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</si>
  <si>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</si>
  <si>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</si>
  <si>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</si>
  <si>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</si>
  <si>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</si>
  <si>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</si>
  <si>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</si>
  <si>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</si>
  <si>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</si>
  <si>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</si>
  <si>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</si>
  <si>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</si>
  <si>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</si>
  <si>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</si>
  <si>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</si>
  <si>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</si>
  <si>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</si>
  <si>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</si>
  <si>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</si>
  <si>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</si>
  <si>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</si>
  <si>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</si>
  <si>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</si>
  <si>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</si>
  <si>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</si>
  <si>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</si>
  <si>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</si>
  <si>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</si>
  <si>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</si>
  <si>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</si>
  <si>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</si>
  <si>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</si>
  <si>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</si>
  <si>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</si>
  <si>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</si>
  <si>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</si>
  <si>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</si>
  <si>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</si>
  <si>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</si>
  <si>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</si>
  <si>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</si>
  <si>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</si>
  <si>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</si>
  <si>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</si>
  <si>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</si>
  <si>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</si>
  <si>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</si>
  <si>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</si>
  <si>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</si>
  <si>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</si>
  <si>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</si>
  <si>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</si>
  <si>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</si>
  <si>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</si>
  <si>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</si>
  <si>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</si>
  <si>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</si>
  <si>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</si>
  <si>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</si>
  <si>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</si>
  <si>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</si>
  <si>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</si>
  <si>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</si>
  <si>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</si>
  <si>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</si>
  <si>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</si>
  <si>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</si>
  <si>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</si>
  <si>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</si>
  <si>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</si>
  <si>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</si>
  <si>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</si>
  <si>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</si>
  <si>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</si>
  <si>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</si>
  <si>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</si>
  <si>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</si>
  <si>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</si>
  <si>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</si>
  <si>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</si>
  <si>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</si>
  <si>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</si>
  <si>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</si>
  <si>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</si>
  <si>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</si>
  <si>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</si>
  <si>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</si>
  <si>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</si>
  <si>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</si>
  <si>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</si>
  <si>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</si>
  <si>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</si>
  <si>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</si>
  <si>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</si>
  <si>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</si>
  <si>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</si>
  <si>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</si>
  <si>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</si>
  <si>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</si>
  <si>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</si>
  <si>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</si>
  <si>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</si>
  <si>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</si>
  <si>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</si>
  <si>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</si>
  <si>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</si>
  <si>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</si>
  <si>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</si>
  <si>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</si>
  <si>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</si>
  <si>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</si>
  <si>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</si>
  <si>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</si>
  <si>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</si>
  <si>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</si>
  <si>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</si>
  <si>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</si>
  <si>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</si>
  <si>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</si>
  <si>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</si>
  <si>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</si>
  <si>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</si>
  <si>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</si>
  <si>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</si>
  <si>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</si>
  <si>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</si>
  <si>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</si>
  <si>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</si>
  <si>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</si>
  <si>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</si>
  <si>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</si>
  <si>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</si>
  <si>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</si>
  <si>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</si>
  <si>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</si>
  <si>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</si>
  <si>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</si>
  <si>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</si>
  <si>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</si>
  <si>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</si>
  <si>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</si>
  <si>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</si>
  <si>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</si>
  <si>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</si>
  <si>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</si>
  <si>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</si>
  <si>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</si>
  <si>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</si>
  <si>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</si>
  <si>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</si>
  <si>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</si>
  <si>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</si>
  <si>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</si>
  <si>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</si>
  <si>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</si>
  <si>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</si>
  <si>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</si>
  <si>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</si>
  <si>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</si>
  <si>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</si>
  <si>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</si>
  <si>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</si>
  <si>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</si>
  <si>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</si>
  <si>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</si>
  <si>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</si>
  <si>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</si>
  <si>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</si>
  <si>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</si>
  <si>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</si>
  <si>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</si>
  <si>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</si>
  <si>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</si>
  <si>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</si>
  <si>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</si>
  <si>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</si>
  <si>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</si>
  <si>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</si>
  <si>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</si>
  <si>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</si>
  <si>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</si>
  <si>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</si>
  <si>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</si>
  <si>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</si>
  <si>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</si>
  <si>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</si>
  <si>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</si>
  <si>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</si>
  <si>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</si>
  <si>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</si>
  <si>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</si>
  <si>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</si>
  <si>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</si>
  <si>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</si>
  <si>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</si>
  <si>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</si>
  <si>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</si>
  <si>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</si>
  <si>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</si>
  <si>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</si>
  <si>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</si>
  <si>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</si>
  <si>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</si>
  <si>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</si>
  <si>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</si>
  <si>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</si>
  <si>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</si>
  <si>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</si>
  <si>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</si>
  <si>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</si>
  <si>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</si>
  <si>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</si>
  <si>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</si>
  <si>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</si>
  <si>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</si>
  <si>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</si>
  <si>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</si>
  <si>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</si>
  <si>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</si>
  <si>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</si>
  <si>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</si>
  <si>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</si>
  <si>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</si>
  <si>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</si>
  <si>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</si>
  <si>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</si>
  <si>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</si>
  <si>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</si>
  <si>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</si>
  <si>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</si>
  <si>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</si>
  <si>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</si>
  <si>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</si>
  <si>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</si>
  <si>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</si>
  <si>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</si>
  <si>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</si>
  <si>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</si>
  <si>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</si>
  <si>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</si>
  <si>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</si>
  <si>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</si>
  <si>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</si>
  <si>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</si>
  <si>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</si>
  <si>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</si>
  <si>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</si>
  <si>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</si>
  <si>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</si>
  <si>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</si>
  <si>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</si>
  <si>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</si>
  <si>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</si>
  <si>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</si>
  <si>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</si>
  <si>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</si>
  <si>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</si>
  <si>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</si>
  <si>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</si>
  <si>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</si>
  <si>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</si>
  <si>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</si>
  <si>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</si>
  <si>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</si>
  <si>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</si>
  <si>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</si>
  <si>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</si>
  <si>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</si>
  <si>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</si>
  <si>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</si>
  <si>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</si>
  <si>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</si>
  <si>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</si>
  <si>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</si>
  <si>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</si>
  <si>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</si>
  <si>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</si>
  <si>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</si>
  <si>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</si>
  <si>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</si>
  <si>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</si>
  <si>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</si>
  <si>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</si>
  <si>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</si>
  <si>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</si>
  <si>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</si>
  <si>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</si>
  <si>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</si>
  <si>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</si>
  <si>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</si>
  <si>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</si>
  <si>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</si>
  <si>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</si>
  <si>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</si>
  <si>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</si>
  <si>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</si>
  <si>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</si>
  <si>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</si>
  <si>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</si>
  <si>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</si>
  <si>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</si>
  <si>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</si>
  <si>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</si>
  <si>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</si>
  <si>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</si>
  <si>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</si>
  <si>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</si>
  <si>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</si>
  <si>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</si>
  <si>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</si>
  <si>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</si>
  <si>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</si>
  <si>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</si>
  <si>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</si>
  <si>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</si>
  <si>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</si>
  <si>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</si>
  <si>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</si>
  <si>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</si>
  <si>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</si>
  <si>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</si>
  <si>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</si>
  <si>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</si>
  <si>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</si>
  <si>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</si>
  <si>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</si>
  <si>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</si>
  <si>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</si>
  <si>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</si>
  <si>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</si>
  <si>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</si>
  <si>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</si>
  <si>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</si>
  <si>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</si>
  <si>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</si>
  <si>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</si>
  <si>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</si>
  <si>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</si>
  <si>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</si>
  <si>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</si>
  <si>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</si>
  <si>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</si>
  <si>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</si>
  <si>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</si>
  <si>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</si>
  <si>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</si>
  <si>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</si>
  <si>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</si>
  <si>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</si>
  <si>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</si>
  <si>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</si>
  <si>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</si>
  <si>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</si>
  <si>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</si>
  <si>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</si>
  <si>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</si>
  <si>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</si>
  <si>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</si>
  <si>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</si>
  <si>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</si>
  <si>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</si>
  <si>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</si>
  <si>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</si>
  <si>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</si>
  <si>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</si>
  <si>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</si>
  <si>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</si>
  <si>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</si>
  <si>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</si>
  <si>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</si>
  <si>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</si>
  <si>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</si>
  <si>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</si>
  <si>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</si>
  <si>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</si>
  <si>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</si>
  <si>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</si>
  <si>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</si>
  <si>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</si>
  <si>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</si>
  <si>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</si>
  <si>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</si>
  <si>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</si>
  <si>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</si>
  <si>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</si>
  <si>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</si>
  <si>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</si>
  <si>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</si>
  <si>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</si>
  <si>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</si>
  <si>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</si>
  <si>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</si>
  <si>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</si>
  <si>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</si>
  <si>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</si>
  <si>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</si>
  <si>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</si>
  <si>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</si>
  <si>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</si>
  <si>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</si>
  <si>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</si>
  <si>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</si>
  <si>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</si>
  <si>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</si>
  <si>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</si>
  <si>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</si>
  <si>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</si>
  <si>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</si>
  <si>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</si>
  <si>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</si>
  <si>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</si>
  <si>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</si>
  <si>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</si>
  <si>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</si>
  <si>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</si>
  <si>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</si>
  <si>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</si>
  <si>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</si>
  <si>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</si>
  <si>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</si>
  <si>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</si>
  <si>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</si>
  <si>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</si>
  <si>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</si>
  <si>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</si>
  <si>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</si>
  <si>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</si>
  <si>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</si>
  <si>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</si>
  <si>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</si>
  <si>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</si>
  <si>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</si>
  <si>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</si>
  <si>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</si>
  <si>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</si>
  <si>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</si>
  <si>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</si>
  <si>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</si>
  <si>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</si>
  <si>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</si>
  <si>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</si>
  <si>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</si>
  <si>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</si>
  <si>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</si>
  <si>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</si>
  <si>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</si>
  <si>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</si>
  <si>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</si>
  <si>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</si>
  <si>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</si>
  <si>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</si>
  <si>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</si>
  <si>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</si>
  <si>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</si>
  <si>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</si>
  <si>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</si>
  <si>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</si>
  <si>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</si>
  <si>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</si>
  <si>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</si>
  <si>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</si>
  <si>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</si>
  <si>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</si>
  <si>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</si>
  <si>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</si>
  <si>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</si>
  <si>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</si>
  <si>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</si>
  <si>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</si>
  <si>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</si>
  <si>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</si>
  <si>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</si>
  <si>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</si>
  <si>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</si>
  <si>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</si>
  <si>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</si>
  <si>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</si>
  <si>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</si>
  <si>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</si>
  <si>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</si>
  <si>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</si>
  <si>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</si>
  <si>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</si>
  <si>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</si>
  <si>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</si>
  <si>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</si>
  <si>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</si>
  <si>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</si>
  <si>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</si>
  <si>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</si>
  <si>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</si>
  <si>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</si>
  <si>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</si>
  <si>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</si>
  <si>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</si>
  <si>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</si>
  <si>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</si>
  <si>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</si>
  <si>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</si>
  <si>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</si>
  <si>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</si>
  <si>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</si>
  <si>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</si>
  <si>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</si>
  <si>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</si>
  <si>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</si>
  <si>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</si>
  <si>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</si>
  <si>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</si>
  <si>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</si>
  <si>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</si>
  <si>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</si>
  <si>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</si>
  <si>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</si>
  <si>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</si>
  <si>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</si>
  <si>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</si>
  <si>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</si>
  <si>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</si>
  <si>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</si>
  <si>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</si>
  <si>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</si>
  <si>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</si>
  <si>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</si>
  <si>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</si>
  <si>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</si>
  <si>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</si>
  <si>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</si>
  <si>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</si>
  <si>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</si>
  <si>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</si>
  <si>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</si>
  <si>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</si>
  <si>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</si>
  <si>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</si>
  <si>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</si>
  <si>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</si>
  <si>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</si>
  <si>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</si>
  <si>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</si>
  <si>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</si>
  <si>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</si>
  <si>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</si>
  <si>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</si>
  <si>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</si>
  <si>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</si>
  <si>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</si>
  <si>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</si>
  <si>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</si>
  <si>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</si>
  <si>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</si>
  <si>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</si>
  <si>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</si>
  <si>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</si>
  <si>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</si>
  <si>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</si>
  <si>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</si>
  <si>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</si>
  <si>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</si>
  <si>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</si>
  <si>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</si>
  <si>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</si>
  <si>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</si>
  <si>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</si>
  <si>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</si>
  <si>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</si>
  <si>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</si>
  <si>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</si>
  <si>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</si>
  <si>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</si>
  <si>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</si>
  <si>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</si>
  <si>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</si>
  <si>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</si>
  <si>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</si>
  <si>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</si>
  <si>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</si>
  <si>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</si>
  <si>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</si>
  <si>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</si>
  <si>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</si>
  <si>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</si>
  <si>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</si>
  <si>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</si>
  <si>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</si>
  <si>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</si>
  <si>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</si>
  <si>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</si>
  <si>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</si>
  <si>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</si>
  <si>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</si>
  <si>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</si>
  <si>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</si>
  <si>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</si>
  <si>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</si>
  <si>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</si>
  <si>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</si>
  <si>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</si>
  <si>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</si>
  <si>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</si>
  <si>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</si>
  <si>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</si>
  <si>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</si>
  <si>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</si>
  <si>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</si>
  <si>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</si>
  <si>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</si>
  <si>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</si>
  <si>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</si>
  <si>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</si>
  <si>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</si>
  <si>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</si>
  <si>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</si>
  <si>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</si>
  <si>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</si>
  <si>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</si>
  <si>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</si>
  <si>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</si>
  <si>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</si>
  <si>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</si>
  <si>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</si>
  <si>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</si>
  <si>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</si>
  <si>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</si>
  <si>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</si>
  <si>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</si>
  <si>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</si>
  <si>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</si>
  <si>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</si>
  <si>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</si>
  <si>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</si>
  <si>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</si>
  <si>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</si>
  <si>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</si>
  <si>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</si>
  <si>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</si>
  <si>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</si>
  <si>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</si>
  <si>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</si>
  <si>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</si>
  <si>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</si>
  <si>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</si>
  <si>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</si>
  <si>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</si>
  <si>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</si>
  <si>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</si>
  <si>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</si>
  <si>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</si>
  <si>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</si>
  <si>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</si>
  <si>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</si>
  <si>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</si>
  <si>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</si>
  <si>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</si>
  <si>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</si>
  <si>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</si>
  <si>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</si>
  <si>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</si>
  <si>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</si>
  <si>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</si>
  <si>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</si>
  <si>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</si>
  <si>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</si>
  <si>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</si>
  <si>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</si>
  <si>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</si>
  <si>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</si>
  <si>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</si>
  <si>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</si>
  <si>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</si>
  <si>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</si>
  <si>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</si>
  <si>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</si>
  <si>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</si>
  <si>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</si>
  <si>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</si>
  <si>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</si>
  <si>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</si>
  <si>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</si>
  <si>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</si>
  <si>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</si>
  <si>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</si>
  <si>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</si>
  <si>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</si>
  <si>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</si>
  <si>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</si>
  <si>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</si>
  <si>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</si>
  <si>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</si>
  <si>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</si>
  <si>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</si>
  <si>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</si>
  <si>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</si>
  <si>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</si>
  <si>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</si>
  <si>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</si>
  <si>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</si>
  <si>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</si>
  <si>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</si>
  <si>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</si>
  <si>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</si>
  <si>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</si>
  <si>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</si>
  <si>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</si>
  <si>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</si>
  <si>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</si>
  <si>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</si>
  <si>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</si>
  <si>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</si>
  <si>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</si>
  <si>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</si>
  <si>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</si>
  <si>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</si>
  <si>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</si>
  <si>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</si>
  <si>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</si>
  <si>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</si>
  <si>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</si>
  <si>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</si>
  <si>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</si>
  <si>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</si>
  <si>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</si>
  <si>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</si>
  <si>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</si>
  <si>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</si>
  <si>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</si>
  <si>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</si>
  <si>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</si>
  <si>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</si>
  <si>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</si>
  <si>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</si>
  <si>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</si>
  <si>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</si>
  <si>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</si>
  <si>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</si>
  <si>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</si>
  <si>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</si>
  <si>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</si>
  <si>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</si>
  <si>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</si>
  <si>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</si>
  <si>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</si>
  <si>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</si>
  <si>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</si>
  <si>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</si>
  <si>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</si>
  <si>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</si>
  <si>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</si>
  <si>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</si>
  <si>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</si>
  <si>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</si>
  <si>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</si>
  <si>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</si>
  <si>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</si>
  <si>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</si>
  <si>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</si>
  <si>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</si>
  <si>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</si>
  <si>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</si>
  <si>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</si>
  <si>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</si>
  <si>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</si>
  <si>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</si>
  <si>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</si>
  <si>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</si>
  <si>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</si>
  <si>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</si>
  <si>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</si>
  <si>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</si>
  <si>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</si>
  <si>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</si>
  <si>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</si>
  <si>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</si>
  <si>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</si>
  <si>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</si>
  <si>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</si>
  <si>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</si>
  <si>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</si>
  <si>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</si>
  <si>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</si>
  <si>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</si>
  <si>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</si>
  <si>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</si>
  <si>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</si>
  <si>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</si>
  <si>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</si>
  <si>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</si>
  <si>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</si>
  <si>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</si>
  <si>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</si>
  <si>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</si>
  <si>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</si>
  <si>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</si>
  <si>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</si>
  <si>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</si>
  <si>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</si>
  <si>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</si>
  <si>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</si>
  <si>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</si>
  <si>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</si>
  <si>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</si>
  <si>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</si>
  <si>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</si>
  <si>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</si>
  <si>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</si>
  <si>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</si>
  <si>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</si>
  <si>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</si>
  <si>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</si>
  <si>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</si>
  <si>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</si>
  <si>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</si>
  <si>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</si>
  <si>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</si>
  <si>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</si>
  <si>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</si>
  <si>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</si>
  <si>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</si>
  <si>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</si>
  <si>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</si>
  <si>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</si>
  <si>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</si>
  <si>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</si>
  <si>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</si>
  <si>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</si>
  <si>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</si>
  <si>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</si>
  <si>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</si>
  <si>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</si>
  <si>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</si>
  <si>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</si>
  <si>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</si>
  <si>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</si>
  <si>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</si>
  <si>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</si>
  <si>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</si>
  <si>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</si>
  <si>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</si>
  <si>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</si>
  <si>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</si>
  <si>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</si>
  <si>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</si>
  <si>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</si>
  <si>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</si>
  <si>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</si>
  <si>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</si>
  <si>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</si>
  <si>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</si>
  <si>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</si>
  <si>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</si>
  <si>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</si>
  <si>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</si>
  <si>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</si>
  <si>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</si>
  <si>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</si>
  <si>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</si>
  <si>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</si>
  <si>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</si>
  <si>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</si>
  <si>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</si>
  <si>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</si>
  <si>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</si>
  <si>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</si>
  <si>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</si>
  <si>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</si>
  <si>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</si>
  <si>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</si>
  <si>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</si>
  <si>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</si>
  <si>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</si>
  <si>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</si>
  <si>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</si>
  <si>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</si>
  <si>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</si>
  <si>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</si>
  <si>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</si>
  <si>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</si>
  <si>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</si>
  <si>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</si>
  <si>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</si>
  <si>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</si>
  <si>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</si>
  <si>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</si>
  <si>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</si>
  <si>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</si>
  <si>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</si>
  <si>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</si>
  <si>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</si>
  <si>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</si>
  <si>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</si>
  <si>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</si>
  <si>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</si>
  <si>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</si>
  <si>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</si>
  <si>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</si>
  <si>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</si>
  <si>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</si>
  <si>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</si>
  <si>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</si>
  <si>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</si>
  <si>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</si>
  <si>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</si>
  <si>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</si>
  <si>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</si>
  <si>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</si>
  <si>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</si>
  <si>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</si>
  <si>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</si>
  <si>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</si>
  <si>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</si>
  <si>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</si>
  <si>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</si>
  <si>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</si>
  <si>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</si>
  <si>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</si>
  <si>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</si>
  <si>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</si>
  <si>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</si>
  <si>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</si>
  <si>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</si>
  <si>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</si>
  <si>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</si>
  <si>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</si>
  <si>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</si>
  <si>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</si>
  <si>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</si>
  <si>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</si>
  <si>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</si>
  <si>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</si>
  <si>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</si>
  <si>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</si>
  <si>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</si>
  <si>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</si>
  <si>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</si>
  <si>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</si>
  <si>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</si>
  <si>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</si>
  <si>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</si>
  <si>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</si>
  <si>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</si>
  <si>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</si>
  <si>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</si>
  <si>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</si>
  <si>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</si>
  <si>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</si>
  <si>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</si>
  <si>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</si>
  <si>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</si>
  <si>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</si>
  <si>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</si>
  <si>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</si>
  <si>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</si>
  <si>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</si>
  <si>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</si>
  <si>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</si>
  <si>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</si>
  <si>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</si>
  <si>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</si>
  <si>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</si>
  <si>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</si>
  <si>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</si>
  <si>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</si>
  <si>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</si>
  <si>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</si>
  <si>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</si>
  <si>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</si>
  <si>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</si>
  <si>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</si>
  <si>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</si>
  <si>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</si>
  <si>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</si>
  <si>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</si>
  <si>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</si>
  <si>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</si>
  <si>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</si>
  <si>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</si>
  <si>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</si>
  <si>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</si>
  <si>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</si>
  <si>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</si>
  <si>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</si>
  <si>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</si>
  <si>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</si>
  <si>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</si>
  <si>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</si>
  <si>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</si>
  <si>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</si>
  <si>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</si>
  <si>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</si>
  <si>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</si>
  <si>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</si>
  <si>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</si>
  <si>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</si>
  <si>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</si>
  <si>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</si>
  <si>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</si>
  <si>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</si>
  <si>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</si>
  <si>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</si>
  <si>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</si>
  <si>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</si>
  <si>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</si>
  <si>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</si>
  <si>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</si>
  <si>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</si>
  <si>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</si>
  <si>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</si>
  <si>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</si>
  <si>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</si>
  <si>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</si>
  <si>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</si>
  <si>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</si>
  <si>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</si>
  <si>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</si>
  <si>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</si>
  <si>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</si>
  <si>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</si>
  <si>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</si>
  <si>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</si>
  <si>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</si>
  <si>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</si>
  <si>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</si>
  <si>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</si>
  <si>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</si>
  <si>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</si>
  <si>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</si>
  <si>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</si>
  <si>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</si>
  <si>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</si>
  <si>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</si>
  <si>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</si>
  <si>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</si>
  <si>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</si>
  <si>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</si>
  <si>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</si>
  <si>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</si>
  <si>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</si>
  <si>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</si>
  <si>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</si>
  <si>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</si>
  <si>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</si>
  <si>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</si>
  <si>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</si>
  <si>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</si>
  <si>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</si>
  <si>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</si>
  <si>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</si>
  <si>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</si>
  <si>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</si>
  <si>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</si>
  <si>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</si>
  <si>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</si>
  <si>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</si>
  <si>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</si>
  <si>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</si>
  <si>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</si>
  <si>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</si>
  <si>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</si>
  <si>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</si>
  <si>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</si>
  <si>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</si>
  <si>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</si>
  <si>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</si>
  <si>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</si>
  <si>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</si>
  <si>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</si>
  <si>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</si>
  <si>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</si>
  <si>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</si>
  <si>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</si>
  <si>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</si>
  <si>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</si>
  <si>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</si>
  <si>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</si>
  <si>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</si>
  <si>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</si>
  <si>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</si>
  <si>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</si>
  <si>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</si>
  <si>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Strata Sterling Barnsley West Ltd</t>
  </si>
  <si>
    <t>Outline</t>
  </si>
  <si>
    <t>A1, Commercial</t>
  </si>
  <si>
    <t>A2, Commercial</t>
  </si>
  <si>
    <t>A3, Commercial</t>
  </si>
  <si>
    <t>BG2, Commercial</t>
  </si>
  <si>
    <t>G7, Commercial, LBAP, Condition Criteria = PFPPFP Moderate</t>
  </si>
  <si>
    <t>P2, Commercial, LBAP, Condition Criteria PPFFPPPPP Moderate</t>
  </si>
  <si>
    <t>P3, Commercial, LBAP, Condition Criteria PFFPPPPFP Moderate</t>
  </si>
  <si>
    <t>S1, Commercial, Condition Criteria NYY Moderate</t>
  </si>
  <si>
    <t>S3, Commercial, Condition Criteria YYY Good</t>
  </si>
  <si>
    <t>S2, Commercial, Condition Criteria YYY Good</t>
  </si>
  <si>
    <t>SC5, Commercial, Condition Criteria PPFFP Moderate</t>
  </si>
  <si>
    <t>W3, Commercial, LBAP, Condition Criteria 3,2,3,3,3,2,3,2,3,2,1,2,1. Total 30 Moderate</t>
  </si>
  <si>
    <t>H1</t>
  </si>
  <si>
    <t>H18</t>
  </si>
  <si>
    <t>H20</t>
  </si>
  <si>
    <t>H21</t>
  </si>
  <si>
    <t>H22</t>
  </si>
  <si>
    <t>H23</t>
  </si>
  <si>
    <t>H24</t>
  </si>
  <si>
    <t>H25</t>
  </si>
  <si>
    <t>H26</t>
  </si>
  <si>
    <t>H27</t>
  </si>
  <si>
    <t>H28</t>
  </si>
  <si>
    <t>H29</t>
  </si>
  <si>
    <t>H30</t>
  </si>
  <si>
    <t>H31</t>
  </si>
  <si>
    <t>H32</t>
  </si>
  <si>
    <t>H34</t>
  </si>
  <si>
    <t>H35</t>
  </si>
  <si>
    <t>H17c</t>
  </si>
  <si>
    <t>H20a</t>
  </si>
  <si>
    <t>H1, Commercial, LBAP, Condition Criteria PFFFPFPP Moderate</t>
  </si>
  <si>
    <t>H18, Commercial, LBAP, Condition Criteria PPPPFPPF Moderate</t>
  </si>
  <si>
    <t>H20, Commercial, LBAP, Condition Criteria PPPFFPPF Moderate</t>
  </si>
  <si>
    <t>H17c, Commercial, LBAP, Condition Criteria FFPPFPPF Moderate</t>
  </si>
  <si>
    <t>H20a, Commercial, Condition Criteria PFPFP Moderate</t>
  </si>
  <si>
    <t>D4. Commerical.Condition Critera = FFPFPF Poor.</t>
  </si>
  <si>
    <t>D5. Commerical. Condition Critera = FFPFPF Poor.</t>
  </si>
  <si>
    <t xml:space="preserve">D6. Commerical. LBAP. See River Condition Assessment for full details. </t>
  </si>
  <si>
    <t>Commercial. 6 large trees. Condition critera PPPPPP Good</t>
  </si>
  <si>
    <t>G33, Commercial. LBAP. Condition critera PFPPPF Moderate</t>
  </si>
  <si>
    <t>G34, Commercial. LBAP. Condition critera PFPPPF Moderate</t>
  </si>
  <si>
    <t>G36, Commercial. LBAP. Condition critera PFPPPF Moderate</t>
  </si>
  <si>
    <t xml:space="preserve">SC9, Commercial. LBAP. Condition critera PFPPF Moderate </t>
  </si>
  <si>
    <t xml:space="preserve">SC10, Commercial. LBAP. Condition critera PFPPF Moderate </t>
  </si>
  <si>
    <t xml:space="preserve">W6, Commerical.  Condition criteria 1333331311112 26/29 Moderate </t>
  </si>
  <si>
    <t>U15, Commerical.</t>
  </si>
  <si>
    <t>U16, Commerical.</t>
  </si>
  <si>
    <t>U17, Commerical.</t>
  </si>
  <si>
    <t>U18, Commerical.</t>
  </si>
  <si>
    <t>U19, Commerical.</t>
  </si>
  <si>
    <t>U20, Commerical.</t>
  </si>
  <si>
    <t>U21, Commerical.</t>
  </si>
  <si>
    <t>U22, Commerical.</t>
  </si>
  <si>
    <t>U10, Commercial</t>
  </si>
  <si>
    <t>U11, Commercial,</t>
  </si>
  <si>
    <t>U12, Commercial</t>
  </si>
  <si>
    <t>U13, Commercial</t>
  </si>
  <si>
    <t>152 Large Trees, Type 1, Commercial, PPFPFP Moderate</t>
  </si>
  <si>
    <t xml:space="preserve">91 Medium Trees. Type 2. Commerical. PPFPFP Moderate </t>
  </si>
  <si>
    <t xml:space="preserve">120 Medium Trees. Type 3. Commerical. PPFPFP Moderate </t>
  </si>
  <si>
    <t>H36</t>
  </si>
  <si>
    <t>H38</t>
  </si>
  <si>
    <t>H40</t>
  </si>
  <si>
    <t>Olivia Satur</t>
  </si>
  <si>
    <t>17.10.2023</t>
  </si>
  <si>
    <t>Tim Palmer</t>
  </si>
  <si>
    <t xml:space="preserve">Ancient Woodland </t>
  </si>
  <si>
    <t>Barnsley West Commerical</t>
  </si>
  <si>
    <t>Commercial. S41 and LBAP. Condition critera PPPPPPPP Good</t>
  </si>
  <si>
    <t>H21, Commercial, S41 and LBAP, Condition Criteria PPPFFPPF Moderate</t>
  </si>
  <si>
    <t>H22, Commercial, S41 and LBAP, Condition Criteria PPPFFPPPP F Moderate</t>
  </si>
  <si>
    <t>H23, Commercial, S41 and LBAP, Condition Criteria PPPPFPPF Good</t>
  </si>
  <si>
    <t>H24, Commercial,  S41 and LBAP, Condition Criteria PFFFFPPP Moderate</t>
  </si>
  <si>
    <t>H25, Commercial, S41 and LBAP, Condition Criteria PPFFPFPF Moderate</t>
  </si>
  <si>
    <t>H26, Commerical, S41 and LBAP Condition Criteria PPFFPFPF Moderate</t>
  </si>
  <si>
    <t>H27, Commercial, S41 and LBAP, Condition Criteria PPPFPFPF Moderate</t>
  </si>
  <si>
    <t>H28, Commercial, S41 and LBAP, Condition Criteria PPFFPFPF Moderate</t>
  </si>
  <si>
    <t>H29, Commercial, S41 and LBAP, Condition Criteria PPFFFFPF Poor</t>
  </si>
  <si>
    <t>H30, Commercial, S41 and LBAP, Condition Criteria FFFFPFPP Poor</t>
  </si>
  <si>
    <t>H31, Commercial, S41 and LBAP, Condition Criteria FFFFPFPP Poor</t>
  </si>
  <si>
    <t>H32, Commercial, S41 and LBAP, Condition Criteria FFFFPFPP Poor</t>
  </si>
  <si>
    <t>H34, Commercial, S41 and LBAP, Condition Criteria PPFFPFPP Moderate</t>
  </si>
  <si>
    <t>H35, Commercial, S41 and LBAP, Condition Criteria PPFFFFPFPP Poor</t>
  </si>
  <si>
    <t>Hedgerows to gapped up using a mix of native species and maintained at 3m height. RPA outlined in BEMP.</t>
  </si>
  <si>
    <t>G32, Commercial. LBAP. Condition critera FFPPFPPP Moderate</t>
  </si>
  <si>
    <t>SUD1, Commerical. LBAP. Condition critera PPPPP Good</t>
  </si>
  <si>
    <t>G10, Commercial, LBAP. Condition Criteria FPFPFPP Poor</t>
  </si>
  <si>
    <t>G15,Commercial, LBAP. Condition Criteria FFPFFPP Poor</t>
  </si>
  <si>
    <t>G16, Commercial, LBAP. Condition Criteria FFPFFPP Poor</t>
  </si>
  <si>
    <t>G17, Commercial, LBAP. Condition Criteria FPFPFPP Poor</t>
  </si>
  <si>
    <t>G18, Commercial, LBAP. Condition Criteria FPFPFPP Poor</t>
  </si>
  <si>
    <t>G19, Commercial, LBAP.  Condition Criteria FPFPFPP Poor</t>
  </si>
  <si>
    <t>G20, Commercial, LBAP. Condition Criteria FPFPFPP Poor</t>
  </si>
  <si>
    <t>G21, Commercial, LBAP. Condition Criteria FPFPFPP Poor</t>
  </si>
  <si>
    <t>G22, Commercial, LBAP. Condition Criteria FPFPFPP Poor</t>
  </si>
  <si>
    <t>G23, Commercial ,LBAP.  Condition Criteria FPFPFPP Poor</t>
  </si>
  <si>
    <t>G24, Commercial,LBAP.  Condition  Criteria FPFPFPP Poor</t>
  </si>
  <si>
    <t>G25, Commercial, LBAP. Condition Criteria FPFPFPP Poor</t>
  </si>
  <si>
    <t>G26, Commercial, LBAP. Condition Criteria FPFPFPP Poor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</si>
</sst>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5">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cellStyle name="Comma 2 2" xfId="4"/>
    <cellStyle name="Comma 2 2 2" xfId="17"/>
    <cellStyle name="Comma 2 2 2 2" xfId="28"/>
    <cellStyle name="Comma 2 2 3" xfId="23"/>
    <cellStyle name="Comma 2 3" xfId="5"/>
    <cellStyle name="Comma 3" xfId="6"/>
    <cellStyle name="Comma 3 2" xfId="7"/>
    <cellStyle name="Comma 3 2 2" xfId="19"/>
    <cellStyle name="Comma 3 2 2 2" xfId="30"/>
    <cellStyle name="Comma 3 2 3" xfId="25"/>
    <cellStyle name="Comma 3 3" xfId="18"/>
    <cellStyle name="Comma 3 3 2" xfId="29"/>
    <cellStyle name="Comma 3 4" xfId="24"/>
    <cellStyle name="Comma 4" xfId="8"/>
    <cellStyle name="Comma 4 2" xfId="20"/>
    <cellStyle name="Comma 4 2 2" xfId="31"/>
    <cellStyle name="Comma 4 3" xfId="26"/>
    <cellStyle name="Comma 5" xfId="2"/>
    <cellStyle name="Comma 5 2" xfId="16"/>
    <cellStyle name="Comma 5 2 2" xfId="27"/>
    <cellStyle name="Comma 5 3" xfId="22"/>
    <cellStyle name="Hyperlink" xfId="21" builtin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
    <cellStyle name="Percent" xfId="32" builtinId="5"/>
  </cellStyles>
  <dxfs count="9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color rgb="FF383745"/>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ABC3C9"/>
      <color rgb="FFFFFF99"/>
      <color rgb="FF000000"/>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57"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0.63488396625999999</c:v>
                </c:pt>
                <c:pt idx="1">
                  <c:v>0</c:v>
                </c:pt>
                <c:pt idx="2">
                  <c:v>39.941051632259999</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977760768"/>
        <c:axId val="-977759136"/>
      </c:barChart>
      <c:catAx>
        <c:axId val="-977760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977759136"/>
        <c:crosses val="autoZero"/>
        <c:auto val="1"/>
        <c:lblAlgn val="ctr"/>
        <c:lblOffset val="100"/>
        <c:noMultiLvlLbl val="0"/>
      </c:catAx>
      <c:valAx>
        <c:axId val="-977759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6076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0.21692453</c:v>
                </c:pt>
                <c:pt idx="4">
                  <c:v>1.088214572</c:v>
                </c:pt>
                <c:pt idx="5">
                  <c:v>0</c:v>
                </c:pt>
                <c:pt idx="6">
                  <c:v>0.29754417700000002</c:v>
                </c:pt>
                <c:pt idx="7">
                  <c:v>7.5219306999999999E-2</c:v>
                </c:pt>
                <c:pt idx="8">
                  <c:v>0</c:v>
                </c:pt>
                <c:pt idx="9">
                  <c:v>1.5255518669999999</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3.8862436389999995</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-0.21692453</c:v>
                </c:pt>
                <c:pt idx="4">
                  <c:v>2.7980290669999994</c:v>
                </c:pt>
                <c:pt idx="5">
                  <c:v>0</c:v>
                </c:pt>
                <c:pt idx="6">
                  <c:v>-0.29754417700000002</c:v>
                </c:pt>
                <c:pt idx="7">
                  <c:v>-7.5219306999999999E-2</c:v>
                </c:pt>
                <c:pt idx="8">
                  <c:v>0</c:v>
                </c:pt>
                <c:pt idx="9">
                  <c:v>-1.5255518669999999</c:v>
                </c:pt>
                <c:pt idx="10">
                  <c:v>0</c:v>
                </c:pt>
                <c:pt idx="11">
                  <c:v>0</c:v>
                </c:pt>
                <c:pt idx="12">
                  <c:v>0</c:v>
                </c:pt>
              </c:numCache>
            </c:numRef>
          </c:val>
          <c:extLst xmlns:c16r2="http://schemas.microsoft.com/office/drawing/2015/06/char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977761312"/>
        <c:axId val="-977750976"/>
      </c:barChart>
      <c:catAx>
        <c:axId val="-97776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0976"/>
        <c:crosses val="autoZero"/>
        <c:auto val="1"/>
        <c:lblAlgn val="ctr"/>
        <c:lblOffset val="100"/>
        <c:noMultiLvlLbl val="0"/>
      </c:catAx>
      <c:valAx>
        <c:axId val="-97775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61312"/>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8E8B-476C-8614-DB87123C0D33}"/>
              </c:ext>
            </c:extLst>
          </c:dPt>
          <c:dPt>
            <c:idx val="2"/>
            <c:bubble3D val="0"/>
            <c:spPr>
              <a:solidFill>
                <a:schemeClr val="accent3">
                  <a:lumMod val="9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9799-4F43-95CF-D5064FD9E30F}"/>
              </c:ext>
            </c:extLst>
          </c:dPt>
          <c:dPt>
            <c:idx val="3"/>
            <c:bubble3D val="0"/>
            <c:spPr>
              <a:solidFill>
                <a:schemeClr val="accent6">
                  <a:lumMod val="20000"/>
                  <a:lumOff val="80000"/>
                </a:schemeClr>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0.1028340769605</c:v>
                </c:pt>
                <c:pt idx="2">
                  <c:v>0.40592876099999997</c:v>
                </c:pt>
                <c:pt idx="3">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8.2427561039500011E-2</c:v>
                </c:pt>
                <c:pt idx="1">
                  <c:v>0</c:v>
                </c:pt>
                <c:pt idx="2">
                  <c:v>0.50876283796049993</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977755872"/>
        <c:axId val="-977752064"/>
      </c:barChart>
      <c:catAx>
        <c:axId val="-977755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977752064"/>
        <c:crosses val="autoZero"/>
        <c:auto val="1"/>
        <c:lblAlgn val="ctr"/>
        <c:lblOffset val="100"/>
        <c:noMultiLvlLbl val="0"/>
      </c:catAx>
      <c:valAx>
        <c:axId val="-977752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587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1.421875427931375</c:v>
                </c:pt>
                <c:pt idx="1">
                  <c:v>0</c:v>
                </c:pt>
                <c:pt idx="2">
                  <c:v>3.5599743759686246</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977756960"/>
        <c:axId val="-977760224"/>
      </c:barChart>
      <c:catAx>
        <c:axId val="-97775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60224"/>
        <c:crosses val="autoZero"/>
        <c:auto val="1"/>
        <c:lblAlgn val="ctr"/>
        <c:lblOffset val="100"/>
        <c:noMultiLvlLbl val="0"/>
      </c:catAx>
      <c:valAx>
        <c:axId val="-977760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569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3.1957632554999997</c:v>
                </c:pt>
                <c:pt idx="2">
                  <c:v>1.7860865484000001</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1.421875427931375</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-1.7738878275686247</c:v>
                </c:pt>
                <c:pt idx="2">
                  <c:v>-1.7860865484000001</c:v>
                </c:pt>
                <c:pt idx="3">
                  <c:v>0</c:v>
                </c:pt>
                <c:pt idx="4">
                  <c:v>0</c:v>
                </c:pt>
              </c:numCache>
            </c:numRef>
          </c:val>
          <c:extLst xmlns:c16r2="http://schemas.microsoft.com/office/drawing/2015/06/char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977759680"/>
        <c:axId val="-977754784"/>
      </c:barChart>
      <c:catAx>
        <c:axId val="-97775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4784"/>
        <c:crosses val="autoZero"/>
        <c:auto val="1"/>
        <c:lblAlgn val="ctr"/>
        <c:lblOffset val="100"/>
        <c:noMultiLvlLbl val="0"/>
      </c:catAx>
      <c:valAx>
        <c:axId val="-977754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9680"/>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0.18526163800000001</c:v>
                </c:pt>
                <c:pt idx="2">
                  <c:v>0.40592876099999997</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8.2427561039500011E-2</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-0.1028340769605</c:v>
                </c:pt>
                <c:pt idx="2">
                  <c:v>-0.40592876099999997</c:v>
                </c:pt>
                <c:pt idx="3">
                  <c:v>0</c:v>
                </c:pt>
                <c:pt idx="4">
                  <c:v>0</c:v>
                </c:pt>
              </c:numCache>
            </c:numRef>
          </c:val>
          <c:extLst xmlns:c16r2="http://schemas.microsoft.com/office/drawing/2015/06/char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977753696"/>
        <c:axId val="-977753152"/>
      </c:barChart>
      <c:catAx>
        <c:axId val="-97775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3152"/>
        <c:crosses val="autoZero"/>
        <c:auto val="1"/>
        <c:lblAlgn val="ctr"/>
        <c:lblOffset val="100"/>
        <c:noMultiLvlLbl val="0"/>
      </c:catAx>
      <c:valAx>
        <c:axId val="-9777531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3696"/>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8.4861787343880017</c:v>
                </c:pt>
                <c:pt idx="1">
                  <c:v>0</c:v>
                </c:pt>
                <c:pt idx="2">
                  <c:v>99.933278845969994</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977755328"/>
        <c:axId val="-977749888"/>
      </c:barChart>
      <c:catAx>
        <c:axId val="-97775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49888"/>
        <c:crosses val="autoZero"/>
        <c:auto val="1"/>
        <c:lblAlgn val="ctr"/>
        <c:lblOffset val="100"/>
        <c:noMultiLvlLbl val="0"/>
      </c:catAx>
      <c:valAx>
        <c:axId val="-977749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553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5.1315762194100003</c:v>
                </c:pt>
                <c:pt idx="1">
                  <c:v>31.392354072550006</c:v>
                </c:pt>
                <c:pt idx="2">
                  <c:v>0.10080275859</c:v>
                </c:pt>
                <c:pt idx="3">
                  <c:v>0.21312217813999998</c:v>
                </c:pt>
                <c:pt idx="4">
                  <c:v>2.5625132943</c:v>
                </c:pt>
                <c:pt idx="5">
                  <c:v>0.54068310926999996</c:v>
                </c:pt>
                <c:pt idx="6">
                  <c:v>0</c:v>
                </c:pt>
                <c:pt idx="7">
                  <c:v>0.17618396625999999</c:v>
                </c:pt>
                <c:pt idx="8">
                  <c:v>0</c:v>
                </c:pt>
                <c:pt idx="9">
                  <c:v>0</c:v>
                </c:pt>
                <c:pt idx="10">
                  <c:v>0</c:v>
                </c:pt>
                <c:pt idx="11">
                  <c:v>0</c:v>
                </c:pt>
                <c:pt idx="12">
                  <c:v>0</c:v>
                </c:pt>
                <c:pt idx="13">
                  <c:v>0</c:v>
                </c:pt>
                <c:pt idx="14">
                  <c:v>0.4587</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5.2908018892399999</c:v>
                </c:pt>
                <c:pt idx="2">
                  <c:v>1.1683930548700001</c:v>
                </c:pt>
                <c:pt idx="3">
                  <c:v>0</c:v>
                </c:pt>
                <c:pt idx="4">
                  <c:v>0</c:v>
                </c:pt>
                <c:pt idx="5">
                  <c:v>28.344977931869995</c:v>
                </c:pt>
                <c:pt idx="6">
                  <c:v>0</c:v>
                </c:pt>
                <c:pt idx="7">
                  <c:v>5.3134616154899996</c:v>
                </c:pt>
                <c:pt idx="8">
                  <c:v>0</c:v>
                </c:pt>
                <c:pt idx="9">
                  <c:v>0</c:v>
                </c:pt>
                <c:pt idx="10">
                  <c:v>0</c:v>
                </c:pt>
                <c:pt idx="11">
                  <c:v>0</c:v>
                </c:pt>
                <c:pt idx="12">
                  <c:v>0</c:v>
                </c:pt>
                <c:pt idx="13">
                  <c:v>0</c:v>
                </c:pt>
                <c:pt idx="14">
                  <c:v>19.811500000000002</c:v>
                </c:pt>
              </c:numCache>
            </c:numRef>
          </c:val>
          <c:extLst xmlns:c16r2="http://schemas.microsoft.com/office/drawing/2015/06/char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-5.1315762194100003</c:v>
                </c:pt>
                <c:pt idx="1">
                  <c:v>-26.101552183310005</c:v>
                </c:pt>
                <c:pt idx="2">
                  <c:v>1.0675902962800001</c:v>
                </c:pt>
                <c:pt idx="3">
                  <c:v>-0.21312217813999998</c:v>
                </c:pt>
                <c:pt idx="4">
                  <c:v>-2.5625132943</c:v>
                </c:pt>
                <c:pt idx="5">
                  <c:v>27.804294822599996</c:v>
                </c:pt>
                <c:pt idx="6">
                  <c:v>0</c:v>
                </c:pt>
                <c:pt idx="7">
                  <c:v>5.1372776492299996</c:v>
                </c:pt>
                <c:pt idx="8">
                  <c:v>0</c:v>
                </c:pt>
                <c:pt idx="9">
                  <c:v>0</c:v>
                </c:pt>
                <c:pt idx="10">
                  <c:v>0</c:v>
                </c:pt>
                <c:pt idx="11">
                  <c:v>0</c:v>
                </c:pt>
                <c:pt idx="12">
                  <c:v>0</c:v>
                </c:pt>
                <c:pt idx="13">
                  <c:v>0</c:v>
                </c:pt>
                <c:pt idx="14">
                  <c:v>19.352800000000002</c:v>
                </c:pt>
              </c:numCache>
            </c:numRef>
          </c:val>
          <c:extLst xmlns:c16r2="http://schemas.microsoft.com/office/drawing/2015/06/char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977749344"/>
        <c:axId val="-977750432"/>
      </c:barChart>
      <c:catAx>
        <c:axId val="-97774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0432"/>
        <c:crosses val="autoZero"/>
        <c:auto val="1"/>
        <c:lblAlgn val="ctr"/>
        <c:lblOffset val="100"/>
        <c:noMultiLvlLbl val="0"/>
      </c:catAx>
      <c:valAx>
        <c:axId val="-977750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49344"/>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10.263152438820001</c:v>
                </c:pt>
                <c:pt idx="1">
                  <c:v>72.293248431614003</c:v>
                </c:pt>
                <c:pt idx="2">
                  <c:v>0.92738537902799989</c:v>
                </c:pt>
                <c:pt idx="3">
                  <c:v>2.9410860583319995</c:v>
                </c:pt>
                <c:pt idx="4">
                  <c:v>13.508406538176001</c:v>
                </c:pt>
                <c:pt idx="5">
                  <c:v>0</c:v>
                </c:pt>
                <c:pt idx="6">
                  <c:v>0</c:v>
                </c:pt>
                <c:pt idx="7">
                  <c:v>2.4313387343879995</c:v>
                </c:pt>
                <c:pt idx="8">
                  <c:v>0</c:v>
                </c:pt>
                <c:pt idx="9">
                  <c:v>0</c:v>
                </c:pt>
                <c:pt idx="10">
                  <c:v>0</c:v>
                </c:pt>
                <c:pt idx="11">
                  <c:v>0</c:v>
                </c:pt>
                <c:pt idx="12">
                  <c:v>0</c:v>
                </c:pt>
                <c:pt idx="13">
                  <c:v>0</c:v>
                </c:pt>
                <c:pt idx="14">
                  <c:v>6.0548400000000013</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36.603939937565819</c:v>
                </c:pt>
                <c:pt idx="2">
                  <c:v>8.0834229100333843</c:v>
                </c:pt>
                <c:pt idx="3">
                  <c:v>0</c:v>
                </c:pt>
                <c:pt idx="4">
                  <c:v>0</c:v>
                </c:pt>
                <c:pt idx="5">
                  <c:v>6.5148346363747196</c:v>
                </c:pt>
                <c:pt idx="6">
                  <c:v>0</c:v>
                </c:pt>
                <c:pt idx="7">
                  <c:v>16.888723431424467</c:v>
                </c:pt>
                <c:pt idx="8">
                  <c:v>0</c:v>
                </c:pt>
                <c:pt idx="9">
                  <c:v>0</c:v>
                </c:pt>
                <c:pt idx="10">
                  <c:v>0</c:v>
                </c:pt>
                <c:pt idx="11">
                  <c:v>0</c:v>
                </c:pt>
                <c:pt idx="12">
                  <c:v>0</c:v>
                </c:pt>
                <c:pt idx="13">
                  <c:v>0</c:v>
                </c:pt>
                <c:pt idx="14">
                  <c:v>64.540026747232261</c:v>
                </c:pt>
              </c:numCache>
            </c:numRef>
          </c:val>
          <c:extLst xmlns:c16r2="http://schemas.microsoft.com/office/drawing/2015/06/char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-10.263152438820001</c:v>
                </c:pt>
                <c:pt idx="1">
                  <c:v>-35.689308494048184</c:v>
                </c:pt>
                <c:pt idx="2">
                  <c:v>7.1560375310053841</c:v>
                </c:pt>
                <c:pt idx="3">
                  <c:v>-2.9410860583319995</c:v>
                </c:pt>
                <c:pt idx="4">
                  <c:v>-13.508406538176001</c:v>
                </c:pt>
                <c:pt idx="5">
                  <c:v>6.5148346363747196</c:v>
                </c:pt>
                <c:pt idx="6">
                  <c:v>0</c:v>
                </c:pt>
                <c:pt idx="7">
                  <c:v>14.457384697036467</c:v>
                </c:pt>
                <c:pt idx="8">
                  <c:v>0</c:v>
                </c:pt>
                <c:pt idx="9">
                  <c:v>0</c:v>
                </c:pt>
                <c:pt idx="10">
                  <c:v>0</c:v>
                </c:pt>
                <c:pt idx="11">
                  <c:v>0</c:v>
                </c:pt>
                <c:pt idx="12">
                  <c:v>0</c:v>
                </c:pt>
                <c:pt idx="13">
                  <c:v>0</c:v>
                </c:pt>
                <c:pt idx="14">
                  <c:v>58.485186747232262</c:v>
                </c:pt>
              </c:numCache>
            </c:numRef>
          </c:val>
          <c:extLst xmlns:c16r2="http://schemas.microsoft.com/office/drawing/2015/06/char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977758592"/>
        <c:axId val="-977764576"/>
      </c:barChart>
      <c:catAx>
        <c:axId val="-97775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64576"/>
        <c:crosses val="autoZero"/>
        <c:auto val="1"/>
        <c:lblAlgn val="ctr"/>
        <c:lblOffset val="100"/>
        <c:noMultiLvlLbl val="0"/>
      </c:catAx>
      <c:valAx>
        <c:axId val="-977764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859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5986-42D7-BACE-C59EEEA0AC2E}"/>
              </c:ext>
            </c:extLst>
          </c:dPt>
          <c:dPt>
            <c:idx val="2"/>
            <c:bubble3D val="0"/>
            <c:spPr>
              <a:solidFill>
                <a:schemeClr val="accent3">
                  <a:lumMod val="9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CEA-40D5-BD3F-A8E96701730E}"/>
              </c:ext>
            </c:extLst>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0.21312217813999998</c:v>
                </c:pt>
                <c:pt idx="2">
                  <c:v>0.1139671158</c:v>
                </c:pt>
                <c:pt idx="3">
                  <c:v>39.073279229049994</c:v>
                </c:pt>
                <c:pt idx="4">
                  <c:v>0.54068310926999996</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8482-4D64-92C0-6269A830BE1D}"/>
              </c:ext>
            </c:extLst>
          </c:dPt>
          <c:dPt>
            <c:idx val="2"/>
            <c:bubble3D val="0"/>
            <c:spPr>
              <a:solidFill>
                <a:schemeClr val="accent3">
                  <a:lumMod val="9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D6C7-4806-97CD-309F0211326D}"/>
              </c:ext>
            </c:extLst>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0.21692453</c:v>
                </c:pt>
                <c:pt idx="2">
                  <c:v>1.4609780560000001</c:v>
                </c:pt>
                <c:pt idx="3">
                  <c:v>1.3236317710000001</c:v>
                </c:pt>
                <c:pt idx="4">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0.20192009599999999</c:v>
                </c:pt>
                <c:pt idx="2">
                  <c:v>3.0015343569999997</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977756416"/>
        <c:axId val="-977758048"/>
      </c:barChart>
      <c:catAx>
        <c:axId val="-977756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977758048"/>
        <c:crosses val="autoZero"/>
        <c:auto val="1"/>
        <c:lblAlgn val="ctr"/>
        <c:lblOffset val="100"/>
        <c:noMultiLvlLbl val="0"/>
      </c:catAx>
      <c:valAx>
        <c:axId val="-977758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977756416"/>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0.92883244159999989</c:v>
                </c:pt>
                <c:pt idx="2">
                  <c:v>20.1811971383</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977757504"/>
        <c:axId val="-977764032"/>
      </c:barChart>
      <c:catAx>
        <c:axId val="-97775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64032"/>
        <c:crosses val="autoZero"/>
        <c:auto val="1"/>
        <c:lblAlgn val="ctr"/>
        <c:lblOffset val="100"/>
        <c:noMultiLvlLbl val="0"/>
      </c:catAx>
      <c:valAx>
        <c:axId val="-977764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97775750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1.4967792569999998</c:v>
                </c:pt>
                <c:pt idx="4">
                  <c:v>10.011574062399999</c:v>
                </c:pt>
                <c:pt idx="5">
                  <c:v>0</c:v>
                </c:pt>
                <c:pt idx="6">
                  <c:v>2.0949565639999999</c:v>
                </c:pt>
                <c:pt idx="7">
                  <c:v>0.66192990160000009</c:v>
                </c:pt>
                <c:pt idx="8">
                  <c:v>0</c:v>
                </c:pt>
                <c:pt idx="9">
                  <c:v>6.8447897948999987</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32.278596390868827</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-1.4967792569999998</c:v>
                </c:pt>
                <c:pt idx="4">
                  <c:v>22.267022328468826</c:v>
                </c:pt>
                <c:pt idx="5">
                  <c:v>0</c:v>
                </c:pt>
                <c:pt idx="6">
                  <c:v>-2.0949565639999999</c:v>
                </c:pt>
                <c:pt idx="7">
                  <c:v>-0.66192990160000009</c:v>
                </c:pt>
                <c:pt idx="8">
                  <c:v>0</c:v>
                </c:pt>
                <c:pt idx="9">
                  <c:v>-6.8447897948999987</c:v>
                </c:pt>
                <c:pt idx="10">
                  <c:v>0</c:v>
                </c:pt>
                <c:pt idx="11">
                  <c:v>0</c:v>
                </c:pt>
                <c:pt idx="12">
                  <c:v>0</c:v>
                </c:pt>
              </c:numCache>
            </c:numRef>
          </c:val>
          <c:extLst xmlns:c16r2="http://schemas.microsoft.com/office/drawing/2015/06/char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977754240"/>
        <c:axId val="-977752608"/>
      </c:barChart>
      <c:catAx>
        <c:axId val="-977754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2608"/>
        <c:crosses val="autoZero"/>
        <c:auto val="1"/>
        <c:lblAlgn val="ctr"/>
        <c:lblOffset val="100"/>
        <c:noMultiLvlLbl val="0"/>
      </c:catAx>
      <c:valAx>
        <c:axId val="-977752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977754240"/>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7.svg"/><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xmlns=""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xmlns=""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xmlns=""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xmlns=""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xmlns=""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xmlns="" id="{00000000-0008-0000-0C00-000007000000}"/>
            </a:ext>
          </a:extLst>
        </xdr:cNvPr>
        <xdr:cNvGrpSpPr/>
      </xdr:nvGrpSpPr>
      <xdr:grpSpPr>
        <a:xfrm>
          <a:off x="0" y="906228"/>
          <a:ext cx="7170208" cy="765939"/>
          <a:chOff x="205740" y="855086"/>
          <a:chExt cx="4701455" cy="793824"/>
        </a:xfrm>
      </xdr:grpSpPr>
      <xdr:sp macro="[0]!ToggleHideRows" textlink="">
        <xdr:nvSpPr>
          <xdr:cNvPr id="17" name="Rectangle: Rounded Corners 19">
            <a:extLst>
              <a:ext uri="{FF2B5EF4-FFF2-40B4-BE49-F238E27FC236}">
                <a16:creationId xmlns:a16="http://schemas.microsoft.com/office/drawing/2014/main" xmlns=""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xmlns=""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xmlns=""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xmlns=""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xmlns="" id="{00000000-0008-0000-0D00-000026000000}"/>
            </a:ext>
          </a:extLst>
        </xdr:cNvPr>
        <xdr:cNvGrpSpPr/>
      </xdr:nvGrpSpPr>
      <xdr:grpSpPr>
        <a:xfrm>
          <a:off x="123825" y="839074"/>
          <a:ext cx="7014691" cy="979294"/>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xmlns=""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xmlns=""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xmlns=""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xmlns=""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xmlns="" id="{00000000-0008-0000-0E00-000015000000}"/>
            </a:ext>
          </a:extLst>
        </xdr:cNvPr>
        <xdr:cNvGrpSpPr/>
      </xdr:nvGrpSpPr>
      <xdr:grpSpPr>
        <a:xfrm>
          <a:off x="15241" y="877570"/>
          <a:ext cx="5731193" cy="76543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xmlns=""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xmlns=""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xmlns=""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xmlns=""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xmlns="" id="{00000000-0008-0000-0F00-000024000000}"/>
            </a:ext>
          </a:extLst>
        </xdr:cNvPr>
        <xdr:cNvGrpSpPr/>
      </xdr:nvGrpSpPr>
      <xdr:grpSpPr>
        <a:xfrm>
          <a:off x="0" y="923290"/>
          <a:ext cx="6945313" cy="769564"/>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xmlns=""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xmlns=""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xmlns=""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xmlns=""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xmlns="" id="{00000000-0008-0000-1000-000022000000}"/>
            </a:ext>
          </a:extLst>
        </xdr:cNvPr>
        <xdr:cNvGrpSpPr/>
      </xdr:nvGrpSpPr>
      <xdr:grpSpPr>
        <a:xfrm>
          <a:off x="47625" y="1049655"/>
          <a:ext cx="6238875" cy="930854"/>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xmlns=""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xmlns=""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xmlns=""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xmlns=""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xmlns="" id="{00000000-0008-0000-1100-00001F000000}"/>
            </a:ext>
          </a:extLst>
        </xdr:cNvPr>
        <xdr:cNvGrpSpPr/>
      </xdr:nvGrpSpPr>
      <xdr:grpSpPr>
        <a:xfrm>
          <a:off x="1270" y="925194"/>
          <a:ext cx="5983605" cy="755912"/>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xmlns=""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xmlns=""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xmlns=""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xmlns=""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xmlns="" id="{00000000-0008-0000-1200-00000B000000}"/>
            </a:ext>
          </a:extLst>
        </xdr:cNvPr>
        <xdr:cNvGrpSpPr/>
      </xdr:nvGrpSpPr>
      <xdr:grpSpPr>
        <a:xfrm>
          <a:off x="198120" y="861378"/>
          <a:ext cx="5479415" cy="449523"/>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xmlns=""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xmlns=""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xmlns=""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xmlns=""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xmlns="" id="{00000000-0008-0000-1300-00000B000000}"/>
            </a:ext>
          </a:extLst>
        </xdr:cNvPr>
        <xdr:cNvGrpSpPr/>
      </xdr:nvGrpSpPr>
      <xdr:grpSpPr>
        <a:xfrm>
          <a:off x="182881" y="956310"/>
          <a:ext cx="6180772" cy="756864"/>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xmlns=""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xmlns=""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xmlns=""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xmlns=""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xmlns="" id="{00000000-0008-0000-1400-000007000000}"/>
            </a:ext>
          </a:extLst>
        </xdr:cNvPr>
        <xdr:cNvGrpSpPr/>
      </xdr:nvGrpSpPr>
      <xdr:grpSpPr>
        <a:xfrm>
          <a:off x="207963" y="1002348"/>
          <a:ext cx="5071109" cy="758768"/>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xmlns=""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xmlns=""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xmlns=""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xmlns=""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xmlns=""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xmlns=""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xmlns=""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xmlns=""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xmlns=""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xmlns=""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xmlns=""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xmlns=""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xmlns=""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xmlns=""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xmlns=""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xmlns=""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xmlns=""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xmlns=""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xmlns="" id="{00000000-0008-0000-1500-00001E000000}"/>
            </a:ext>
          </a:extLst>
        </xdr:cNvPr>
        <xdr:cNvGrpSpPr/>
      </xdr:nvGrpSpPr>
      <xdr:grpSpPr>
        <a:xfrm>
          <a:off x="387350" y="892810"/>
          <a:ext cx="5192395" cy="576841"/>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xmlns=""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xmlns=""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xmlns=""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xmlns=""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xmlns="" id="{00000000-0008-0000-1600-00002F000000}"/>
            </a:ext>
          </a:extLst>
        </xdr:cNvPr>
        <xdr:cNvGrpSpPr/>
      </xdr:nvGrpSpPr>
      <xdr:grpSpPr>
        <a:xfrm>
          <a:off x="167640" y="915670"/>
          <a:ext cx="6247130" cy="756864"/>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xmlns=""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xmlns=""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xmlns=""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xmlns=""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xmlns="" id="{00000000-0008-0000-1700-00003B000000}"/>
            </a:ext>
          </a:extLst>
        </xdr:cNvPr>
        <xdr:cNvGrpSpPr/>
      </xdr:nvGrpSpPr>
      <xdr:grpSpPr>
        <a:xfrm>
          <a:off x="221298" y="995363"/>
          <a:ext cx="4297997" cy="762896"/>
          <a:chOff x="205740" y="877124"/>
          <a:chExt cx="4701455" cy="771786"/>
        </a:xfrm>
      </xdr:grpSpPr>
      <xdr:sp macro="[0]!ToggleHideRows" textlink="">
        <xdr:nvSpPr>
          <xdr:cNvPr id="60" name="Rectangle: Rounded Corners 19">
            <a:extLst>
              <a:ext uri="{FF2B5EF4-FFF2-40B4-BE49-F238E27FC236}">
                <a16:creationId xmlns:a16="http://schemas.microsoft.com/office/drawing/2014/main" xmlns=""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xmlns=""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xmlns=""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xmlns=""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xmlns="" id="{00000000-0008-0000-1800-00004F000000}"/>
            </a:ext>
          </a:extLst>
        </xdr:cNvPr>
        <xdr:cNvGrpSpPr/>
      </xdr:nvGrpSpPr>
      <xdr:grpSpPr>
        <a:xfrm>
          <a:off x="190501" y="943552"/>
          <a:ext cx="4984605" cy="766736"/>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xmlns=""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xmlns=""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xmlns=""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xmlns=""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xmlns="" id="{00000000-0008-0000-1900-000060000000}"/>
            </a:ext>
          </a:extLst>
        </xdr:cNvPr>
        <xdr:cNvGrpSpPr/>
      </xdr:nvGrpSpPr>
      <xdr:grpSpPr>
        <a:xfrm>
          <a:off x="198438" y="782320"/>
          <a:ext cx="5308282" cy="780359"/>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xmlns=""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xmlns=""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xmlns=""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xmlns=""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xmlns="" id="{00000000-0008-0000-1A00-000026000000}"/>
            </a:ext>
          </a:extLst>
        </xdr:cNvPr>
        <xdr:cNvGrpSpPr/>
      </xdr:nvGrpSpPr>
      <xdr:grpSpPr>
        <a:xfrm>
          <a:off x="223559" y="1203797"/>
          <a:ext cx="5505397"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xmlns=""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xmlns=""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xmlns=""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xmlns=""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xmlns="" id="{00000000-0008-0000-1B00-000098000000}"/>
            </a:ext>
          </a:extLst>
        </xdr:cNvPr>
        <xdr:cNvGrpSpPr/>
      </xdr:nvGrpSpPr>
      <xdr:grpSpPr>
        <a:xfrm>
          <a:off x="240240" y="887412"/>
          <a:ext cx="5305425" cy="765965"/>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xmlns=""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xmlns=""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xmlns=""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xmlns=""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xmlns="" id="{00000000-0008-0000-1C00-000040000000}"/>
            </a:ext>
          </a:extLst>
        </xdr:cNvPr>
        <xdr:cNvGrpSpPr/>
      </xdr:nvGrpSpPr>
      <xdr:grpSpPr>
        <a:xfrm>
          <a:off x="152401" y="977900"/>
          <a:ext cx="4846955" cy="765754"/>
          <a:chOff x="205740" y="877124"/>
          <a:chExt cx="4701455" cy="771786"/>
        </a:xfrm>
      </xdr:grpSpPr>
      <xdr:sp macro="[0]!ToggleHideRows" textlink="">
        <xdr:nvSpPr>
          <xdr:cNvPr id="65" name="Rectangle: Rounded Corners 19">
            <a:extLst>
              <a:ext uri="{FF2B5EF4-FFF2-40B4-BE49-F238E27FC236}">
                <a16:creationId xmlns:a16="http://schemas.microsoft.com/office/drawing/2014/main" xmlns=""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xmlns=""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xmlns=""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xmlns=""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xmlns="" id="{00000000-0008-0000-1D00-00002A000000}"/>
            </a:ext>
          </a:extLst>
        </xdr:cNvPr>
        <xdr:cNvGrpSpPr/>
      </xdr:nvGrpSpPr>
      <xdr:grpSpPr>
        <a:xfrm>
          <a:off x="184219" y="1218363"/>
          <a:ext cx="4481460" cy="747537"/>
          <a:chOff x="205740" y="877124"/>
          <a:chExt cx="4701455" cy="771786"/>
        </a:xfrm>
      </xdr:grpSpPr>
      <xdr:sp macro="[0]!ToggleHideRows" textlink="">
        <xdr:nvSpPr>
          <xdr:cNvPr id="43" name="Rectangle: Rounded Corners 19">
            <a:extLst>
              <a:ext uri="{FF2B5EF4-FFF2-40B4-BE49-F238E27FC236}">
                <a16:creationId xmlns:a16="http://schemas.microsoft.com/office/drawing/2014/main" xmlns=""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xmlns=""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xmlns=""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xmlns=""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xmlns=""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xmlns=""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xmlns=""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xmlns=""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xmlns=""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xmlns=""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xmlns=""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xmlns=""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xmlns=""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xmlns=""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xmlns=""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xmlns=""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xmlns=""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xmlns=""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xmlns=""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xmlns=""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xmlns=""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xmlns=""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xmlns=""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xmlns=""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xmlns=""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xmlns=""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xmlns=""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xmlns=""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xmlns=""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xmlns=""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xmlns=""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xmlns=""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xmlns=""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xmlns=""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xmlns=""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xmlns=""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xmlns=""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xmlns=""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xmlns=""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xmlns=""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xmlns=""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xmlns=""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xmlns=""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xmlns=""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xmlns=""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xmlns=""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xmlns=""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xmlns=""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xmlns=""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xmlns=""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xmlns=""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xmlns=""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xmlns=""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xmlns=""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xmlns=""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xmlns=""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xmlns=""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xmlns=""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xmlns=""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xmlns="" id="{00000000-0008-0000-0400-000004000000}"/>
            </a:ext>
          </a:extLst>
        </xdr:cNvPr>
        <xdr:cNvGrpSpPr/>
      </xdr:nvGrpSpPr>
      <xdr:grpSpPr>
        <a:xfrm>
          <a:off x="3154498" y="1603694"/>
          <a:ext cx="7237414" cy="451802"/>
          <a:chOff x="2777308" y="1638300"/>
          <a:chExt cx="7073266" cy="373757"/>
        </a:xfrm>
      </xdr:grpSpPr>
      <xdr:sp macro="[0]!Activatestart" textlink="">
        <xdr:nvSpPr>
          <xdr:cNvPr id="32" name="TextBox 31">
            <a:extLst>
              <a:ext uri="{FF2B5EF4-FFF2-40B4-BE49-F238E27FC236}">
                <a16:creationId xmlns:a16="http://schemas.microsoft.com/office/drawing/2014/main" xmlns=""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xmlns=""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xmlns=""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xmlns=""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xmlns=""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xmlns=""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xmlns=""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xmlns=""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xmlns="" id="{00000000-0008-0000-04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xmlns="" id="{00000000-0008-0000-04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xmlns="" id="{00000000-0008-0000-0400-00004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xmlns="" id="{00000000-0008-0000-0400-00004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xmlns="" id="{00000000-0008-0000-0400-00004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xmlns=""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xmlns=""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xmlns=""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xmlns=""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xmlns=""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xmlns=""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xmlns="" id="{00000000-0008-0000-0400-00004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xmlns="" id="{00000000-0008-0000-0400-00004E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xmlns="" id="{00000000-0008-0000-0400-00004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xmlns="" id="{00000000-0008-0000-0400-000050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xmlns="" id="{00000000-0008-0000-0400-00005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xmlns="" id="{00000000-0008-0000-0400-000052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xmlns=""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xmlns=""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xmlns=""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xmlns=""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xmlns="" id="{00000000-0008-0000-0400-000054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xmlns=""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xmlns="" id="{00000000-0008-0000-0400-00005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xmlns=""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xmlns=""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xmlns=""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xmlns=""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xmlns=""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xmlns=""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xmlns=""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xmlns=""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xmlns=""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xmlns=""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xmlns=""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xmlns=""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xmlns=""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xmlns=""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xmlns=""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xmlns=""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xmlns=""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xmlns=""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xmlns=""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xmlns=""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xmlns=""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xmlns=""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xmlns=""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xmlns=""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xmlns=""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xmlns=""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xmlns=""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xmlns=""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xmlns=""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xmlns=""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xmlns=""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xmlns=""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tint="-0.249977111117893"/>
  </sheetPr>
  <dimension ref="A1:J591"/>
  <sheetViews>
    <sheetView showGridLines="0" showRowColHeaders="0" zoomScale="80" zoomScaleNormal="80" workbookViewId="0"/>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4D4D4"/>
  </sheetPr>
  <dimension ref="A1:V308"/>
  <sheetViews>
    <sheetView showGridLines="0" showRowColHeaders="0" zoomScale="80" zoomScaleNormal="80" workbookViewId="0"/>
  </sheetViews>
  <sheetFormatPr defaultColWidth="0" defaultRowHeight="0" customHeight="1" zeroHeight="1"/>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5" t="s">
        <v>207</v>
      </c>
      <c r="C2" s="1326"/>
      <c r="D2" s="1326"/>
      <c r="E2" s="1326"/>
      <c r="F2" s="1326"/>
      <c r="G2" s="1326"/>
      <c r="H2" s="1327"/>
      <c r="I2" s="32"/>
      <c r="J2" s="32"/>
      <c r="K2" s="32"/>
      <c r="L2" s="32"/>
      <c r="M2" s="32"/>
      <c r="N2" s="32"/>
      <c r="O2" s="32"/>
      <c r="P2" s="32"/>
      <c r="Q2" s="32"/>
    </row>
    <row r="3" spans="1:17" ht="15" customHeight="1">
      <c r="A3" s="32"/>
      <c r="B3" s="1312" t="s">
        <v>208</v>
      </c>
      <c r="C3" s="1314" t="s">
        <v>209</v>
      </c>
      <c r="D3" s="1314"/>
      <c r="E3" s="1314"/>
      <c r="F3" s="1314"/>
      <c r="G3" s="1314" t="s">
        <v>210</v>
      </c>
      <c r="H3" s="1310"/>
      <c r="I3" s="219"/>
      <c r="J3" s="219"/>
      <c r="K3" s="219"/>
      <c r="L3" s="32"/>
      <c r="M3" s="32"/>
      <c r="N3" s="32"/>
      <c r="O3" s="32"/>
      <c r="P3" s="32"/>
      <c r="Q3" s="32"/>
    </row>
    <row r="4" spans="1:17" ht="14.25" customHeight="1">
      <c r="A4" s="32"/>
      <c r="B4" s="1313"/>
      <c r="C4" s="1315"/>
      <c r="D4" s="1315"/>
      <c r="E4" s="1315"/>
      <c r="F4" s="1315"/>
      <c r="G4" s="1315"/>
      <c r="H4" s="1311"/>
      <c r="I4" s="219"/>
      <c r="J4" s="219"/>
      <c r="K4" s="219"/>
      <c r="L4" s="32"/>
      <c r="M4" s="32"/>
      <c r="N4" s="32"/>
      <c r="O4" s="32"/>
      <c r="P4" s="32"/>
      <c r="Q4" s="32"/>
    </row>
    <row r="5" spans="1:17" ht="20.25">
      <c r="A5" s="32"/>
      <c r="B5" s="99" t="s">
        <v>211</v>
      </c>
      <c r="C5" s="1332" t="s">
        <v>240</v>
      </c>
      <c r="D5" s="1332"/>
      <c r="E5" s="1332"/>
      <c r="F5" s="1332"/>
      <c r="G5" s="1328" t="str">
        <f>IFERROR(IF(H14&lt;0,"No ▲","Yes ✓"),"")</f>
        <v>Yes ✓</v>
      </c>
      <c r="H5" s="1329"/>
      <c r="I5" s="219"/>
      <c r="J5" s="219"/>
      <c r="K5" s="219"/>
      <c r="L5" s="32"/>
      <c r="M5" s="32"/>
      <c r="N5" s="32"/>
      <c r="O5" s="32"/>
      <c r="P5" s="32"/>
      <c r="Q5" s="32"/>
    </row>
    <row r="6" spans="1:17" ht="20.25">
      <c r="A6" s="32"/>
      <c r="B6" s="99" t="s">
        <v>213</v>
      </c>
      <c r="C6" s="1337" t="s">
        <v>241</v>
      </c>
      <c r="D6" s="1337"/>
      <c r="E6" s="1337"/>
      <c r="F6" s="1337"/>
      <c r="G6" s="1328" t="str">
        <f>IF(H22+H13&lt;0, "No ▲","Yes ✓")</f>
        <v>No ▲</v>
      </c>
      <c r="H6" s="1329"/>
      <c r="I6" s="219"/>
      <c r="J6" s="219"/>
      <c r="K6" s="219"/>
      <c r="L6" s="32"/>
      <c r="M6" s="32"/>
      <c r="N6" s="32"/>
      <c r="O6" s="32"/>
      <c r="P6" s="32"/>
      <c r="Q6" s="32"/>
    </row>
    <row r="7" spans="1:17" ht="22.5" customHeight="1">
      <c r="A7" s="32"/>
      <c r="B7" s="99" t="s">
        <v>70</v>
      </c>
      <c r="C7" s="1333" t="s">
        <v>242</v>
      </c>
      <c r="D7" s="1333"/>
      <c r="E7" s="1333"/>
      <c r="F7" s="1333"/>
      <c r="G7" s="1328" t="str">
        <f ca="1">IF(H33&lt;0, "No ▲","Yes ✓")</f>
        <v>Yes ✓</v>
      </c>
      <c r="H7" s="1329"/>
      <c r="I7" s="32"/>
      <c r="J7" s="32"/>
      <c r="K7" s="32"/>
      <c r="L7" s="32"/>
      <c r="M7" s="32"/>
      <c r="N7" s="32"/>
      <c r="O7" s="32"/>
      <c r="P7" s="32"/>
      <c r="Q7" s="32"/>
    </row>
    <row r="8" spans="1:17" ht="19.5" customHeight="1" thickBot="1">
      <c r="A8" s="32"/>
      <c r="B8" s="74" t="s">
        <v>243</v>
      </c>
      <c r="C8" s="1336" t="s">
        <v>242</v>
      </c>
      <c r="D8" s="1336"/>
      <c r="E8" s="1336"/>
      <c r="F8" s="1336"/>
      <c r="G8" s="1330" t="str">
        <f ca="1">IF(H44&lt;0,"No ▲","Yes ✓")</f>
        <v>Yes ✓</v>
      </c>
      <c r="H8" s="1331"/>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22" t="s">
        <v>218</v>
      </c>
      <c r="C12" s="1323"/>
      <c r="D12" s="1323"/>
      <c r="E12" s="1324"/>
      <c r="F12" s="606"/>
      <c r="G12" s="1301" t="s">
        <v>219</v>
      </c>
      <c r="H12" s="1302"/>
      <c r="K12" s="32"/>
      <c r="L12" s="32"/>
      <c r="M12" s="32"/>
    </row>
    <row r="13" spans="1:17" ht="47.25">
      <c r="A13" s="32"/>
      <c r="B13" s="70" t="s">
        <v>114</v>
      </c>
      <c r="C13" s="71" t="s">
        <v>221</v>
      </c>
      <c r="D13" s="71" t="s">
        <v>147</v>
      </c>
      <c r="E13" s="72" t="s">
        <v>222</v>
      </c>
      <c r="G13" s="73" t="s">
        <v>228</v>
      </c>
      <c r="H13" s="350">
        <f>SUMIF($E$14:$E$14,"&gt;0")</f>
        <v>0</v>
      </c>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38" t="s">
        <v>225</v>
      </c>
      <c r="C20" s="1339"/>
      <c r="D20" s="1339"/>
      <c r="E20" s="1340"/>
      <c r="F20" s="603"/>
      <c r="G20" s="1301" t="s">
        <v>226</v>
      </c>
      <c r="H20" s="1302"/>
      <c r="K20" s="32"/>
      <c r="L20" s="32"/>
      <c r="M20" s="32"/>
      <c r="N20" s="32"/>
      <c r="O20" s="32"/>
    </row>
    <row r="21" spans="1:17" ht="47.25">
      <c r="A21" s="32"/>
      <c r="B21" s="70" t="s">
        <v>114</v>
      </c>
      <c r="C21" s="71" t="s">
        <v>120</v>
      </c>
      <c r="D21" s="71" t="s">
        <v>147</v>
      </c>
      <c r="E21" s="72" t="s">
        <v>233</v>
      </c>
      <c r="G21" s="73" t="s">
        <v>228</v>
      </c>
      <c r="H21" s="350">
        <f>SUMIF(E22:E24,"&gt;0")</f>
        <v>0</v>
      </c>
      <c r="K21" s="32"/>
      <c r="L21" s="32"/>
    </row>
    <row r="22" spans="1:17" ht="30.75" thickBot="1">
      <c r="A22" s="32"/>
      <c r="B22" s="271" t="str">
        <f>'G-2 Habitat groups'!A151</f>
        <v>Species-rich native hedgerow with trees</v>
      </c>
      <c r="C22" s="346">
        <f>'G-2 Habitat groups'!R151</f>
        <v>0</v>
      </c>
      <c r="D22" s="346">
        <f>'G-2 Habitat groups'!AD151</f>
        <v>0</v>
      </c>
      <c r="E22" s="347">
        <f>'G-2 Habitat groups'!AF151</f>
        <v>0</v>
      </c>
      <c r="G22" s="74" t="s">
        <v>244</v>
      </c>
      <c r="H22" s="351">
        <f>(SUMIF(E22:E24, "&lt;0", E22:E24))+H13</f>
        <v>-1.4967792569999998</v>
      </c>
      <c r="K22" s="32"/>
      <c r="L22" s="32"/>
    </row>
    <row r="23" spans="1:17" ht="15">
      <c r="A23" s="32"/>
      <c r="B23" s="271" t="str">
        <f>'G-2 Habitat groups'!A152</f>
        <v>Species-rich native hedgerow - associated with bank or ditch</v>
      </c>
      <c r="C23" s="346">
        <f>'G-2 Habitat groups'!R152</f>
        <v>0</v>
      </c>
      <c r="D23" s="346">
        <f>'G-2 Habitat groups'!AD152</f>
        <v>0</v>
      </c>
      <c r="E23" s="347">
        <f>'G-2 Habitat groups'!AF152</f>
        <v>0</v>
      </c>
      <c r="G23" s="608"/>
      <c r="H23" s="32"/>
    </row>
    <row r="24" spans="1:17" ht="15" customHeight="1" thickBot="1">
      <c r="A24" s="32"/>
      <c r="B24" s="273" t="str">
        <f>'G-2 Habitat groups'!A153</f>
        <v>Native hedgerow with trees - associated with bank or ditch</v>
      </c>
      <c r="C24" s="355">
        <f>'G-2 Habitat groups'!R153</f>
        <v>-1.4967792569999998</v>
      </c>
      <c r="D24" s="355">
        <f>'G-2 Habitat groups'!AD153</f>
        <v>0</v>
      </c>
      <c r="E24" s="599">
        <f>'G-2 Habitat groups'!AF153</f>
        <v>-1.4967792569999998</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45" customHeight="1" thickBot="1">
      <c r="A26" s="32"/>
      <c r="B26" s="32"/>
      <c r="C26" s="756">
        <f>SUM(C22:C25)</f>
        <v>-1.4967792569999998</v>
      </c>
      <c r="D26" s="343">
        <f>SUM(D22:D25)</f>
        <v>0</v>
      </c>
      <c r="E26" s="344">
        <f>SUM(E22:E25)</f>
        <v>-1.4967792569999998</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38" t="s">
        <v>231</v>
      </c>
      <c r="C30" s="1339"/>
      <c r="D30" s="1339"/>
      <c r="E30" s="1340"/>
      <c r="F30" s="603"/>
      <c r="G30" s="1334" t="s">
        <v>232</v>
      </c>
      <c r="H30" s="1335"/>
      <c r="K30" s="32"/>
      <c r="L30" s="32"/>
      <c r="M30" s="32"/>
      <c r="N30" s="32"/>
      <c r="O30" s="32"/>
      <c r="P30" s="32"/>
      <c r="Q30" s="32"/>
    </row>
    <row r="31" spans="1:17" ht="47.25">
      <c r="A31" s="32"/>
      <c r="B31" s="70" t="s">
        <v>114</v>
      </c>
      <c r="C31" s="71" t="s">
        <v>120</v>
      </c>
      <c r="D31" s="71" t="s">
        <v>147</v>
      </c>
      <c r="E31" s="72" t="s">
        <v>233</v>
      </c>
      <c r="G31" s="707" t="s">
        <v>245</v>
      </c>
      <c r="H31" s="352">
        <f>IF(H22&gt;0, H22, 0)</f>
        <v>0</v>
      </c>
      <c r="K31" s="32"/>
      <c r="L31" s="32"/>
      <c r="M31" s="32"/>
      <c r="N31" s="32"/>
      <c r="O31" s="32"/>
      <c r="P31" s="32"/>
      <c r="Q31" s="32"/>
    </row>
    <row r="32" spans="1:17" ht="30">
      <c r="A32" s="32"/>
      <c r="B32" s="271" t="str">
        <f>'G-2 Habitat groups'!A154</f>
        <v>Species-rich native hedgerow</v>
      </c>
      <c r="C32" s="346">
        <f ca="1">'G-2 Habitat groups'!R154</f>
        <v>22.267022328468826</v>
      </c>
      <c r="D32" s="346">
        <f>'G-2 Habitat groups'!AD154</f>
        <v>0</v>
      </c>
      <c r="E32" s="347">
        <f ca="1">'G-2 Habitat groups'!AF154</f>
        <v>22.267022328468826</v>
      </c>
      <c r="G32" s="99" t="s">
        <v>246</v>
      </c>
      <c r="H32" s="347">
        <f ca="1">E38</f>
        <v>19.510135862868825</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1677</v>
      </c>
      <c r="H33" s="351">
        <f ca="1">H32+H31</f>
        <v>19.510135862868825</v>
      </c>
      <c r="K33" s="32"/>
      <c r="L33" s="32"/>
      <c r="M33" s="32"/>
      <c r="N33" s="32"/>
      <c r="O33" s="32"/>
    </row>
    <row r="34" spans="1:17" ht="15">
      <c r="A34" s="32"/>
      <c r="B34" s="271" t="str">
        <f>'G-2 Habitat groups'!A156</f>
        <v>Native hedgerow with trees</v>
      </c>
      <c r="C34" s="346">
        <f>'G-2 Habitat groups'!R156</f>
        <v>-2.0949565639999999</v>
      </c>
      <c r="D34" s="346">
        <f>'G-2 Habitat groups'!AD156</f>
        <v>0</v>
      </c>
      <c r="E34" s="347">
        <f>'G-2 Habitat groups'!AF156</f>
        <v>-2.0949565639999999</v>
      </c>
      <c r="K34" s="32"/>
      <c r="L34" s="32"/>
      <c r="M34" s="32"/>
      <c r="N34" s="32"/>
    </row>
    <row r="35" spans="1:17" ht="15">
      <c r="A35" s="32"/>
      <c r="B35" s="271" t="str">
        <f>'G-2 Habitat groups'!A157</f>
        <v>Ecologically valuable line of trees</v>
      </c>
      <c r="C35" s="346">
        <f>'G-2 Habitat groups'!R157</f>
        <v>-0.66192990160000009</v>
      </c>
      <c r="D35" s="346">
        <f>'G-2 Habitat groups'!AD157</f>
        <v>0</v>
      </c>
      <c r="E35" s="347">
        <f>'G-2 Habitat groups'!AF157</f>
        <v>-0.66192990160000009</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45" customHeight="1" thickBot="1">
      <c r="A38" s="32"/>
      <c r="B38" s="32"/>
      <c r="C38" s="609">
        <f ca="1">SUM(C32:C37)</f>
        <v>19.510135862868825</v>
      </c>
      <c r="D38" s="343">
        <f>SUM(D32:D37)</f>
        <v>0</v>
      </c>
      <c r="E38" s="344">
        <f ca="1">SUM(E32:E37)</f>
        <v>19.510135862868825</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247</v>
      </c>
      <c r="C42" s="607"/>
      <c r="D42" s="607"/>
      <c r="E42" s="605"/>
      <c r="F42" s="32"/>
      <c r="G42" s="1299" t="s">
        <v>238</v>
      </c>
      <c r="H42" s="1300"/>
      <c r="I42" s="32"/>
      <c r="J42" s="32"/>
      <c r="K42" s="32"/>
      <c r="L42" s="32"/>
      <c r="M42" s="32"/>
      <c r="N42" s="32"/>
      <c r="O42" s="32"/>
      <c r="P42" s="32"/>
      <c r="Q42" s="32"/>
    </row>
    <row r="43" spans="1:17" ht="47.25">
      <c r="A43" s="32"/>
      <c r="B43" s="70" t="s">
        <v>114</v>
      </c>
      <c r="C43" s="71" t="s">
        <v>221</v>
      </c>
      <c r="D43" s="71" t="s">
        <v>147</v>
      </c>
      <c r="E43" s="72" t="s">
        <v>233</v>
      </c>
      <c r="F43" s="32"/>
      <c r="G43" s="73" t="s">
        <v>239</v>
      </c>
      <c r="H43" s="352">
        <f>E48</f>
        <v>-6.8447897948999987</v>
      </c>
      <c r="I43" s="32"/>
      <c r="J43" s="32"/>
      <c r="K43" s="32"/>
      <c r="L43" s="32"/>
      <c r="M43" s="32"/>
      <c r="N43" s="32"/>
      <c r="O43" s="32"/>
      <c r="P43" s="32"/>
      <c r="Q43" s="32"/>
    </row>
    <row r="44" spans="1:17" ht="15.75" thickBot="1">
      <c r="A44" s="32"/>
      <c r="B44" s="215" t="str">
        <f>'G-2 Habitat groups'!A159</f>
        <v>Native hedgerow</v>
      </c>
      <c r="C44" s="346">
        <f>'G-2 Habitat groups'!R159</f>
        <v>-6.8447897948999987</v>
      </c>
      <c r="D44" s="346">
        <f>'G-2 Habitat groups'!AD159</f>
        <v>0</v>
      </c>
      <c r="E44" s="347">
        <f>'G-2 Habitat groups'!AF159</f>
        <v>-6.8447897948999987</v>
      </c>
      <c r="F44" s="32"/>
      <c r="G44" s="74" t="s">
        <v>1677</v>
      </c>
      <c r="H44" s="351">
        <f ca="1">IF(H33&gt;0, H43+H33, H43)</f>
        <v>12.665346067968827</v>
      </c>
      <c r="I44" s="32"/>
      <c r="J44" s="32"/>
      <c r="K44" s="32"/>
      <c r="L44" s="32"/>
      <c r="M44" s="32"/>
      <c r="N44" s="32"/>
      <c r="O44" s="32"/>
      <c r="P44" s="32"/>
      <c r="Q44" s="32"/>
    </row>
    <row r="45" spans="1:17" ht="1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-6.8447897948999987</v>
      </c>
      <c r="D48" s="414">
        <f>SUM(D44:D47)</f>
        <v>0</v>
      </c>
      <c r="E48" s="414">
        <f>SUM(E44:E47)</f>
        <v>-6.8447897948999987</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mFpOfHvmKokCki9n1FH4o0+jq8neYzcbnymrWqwl/8AsrqF2WqUxMwhnLXmT3I/Fh/c5OqEy6XwgxfwHBDm4fw==" saltValue="iGKLODs5Ca07wwpAqzQ5RA=="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H14">
    <cfRule type="cellIs" dxfId="791" priority="39" operator="lessThan">
      <formula>0</formula>
    </cfRule>
    <cfRule type="cellIs" dxfId="790" priority="42" operator="greaterThan">
      <formula>0</formula>
    </cfRule>
  </conditionalFormatting>
  <conditionalFormatting sqref="H13">
    <cfRule type="cellIs" dxfId="789" priority="40" operator="greaterThan">
      <formula>0</formula>
    </cfRule>
    <cfRule type="cellIs" dxfId="788" priority="41" operator="lessThan">
      <formula>0</formula>
    </cfRule>
  </conditionalFormatting>
  <conditionalFormatting sqref="H32 H43:H44 H35">
    <cfRule type="cellIs" dxfId="787" priority="37" operator="lessThan">
      <formula>0</formula>
    </cfRule>
    <cfRule type="cellIs" dxfId="786" priority="38" operator="greaterThan">
      <formula>0</formula>
    </cfRule>
  </conditionalFormatting>
  <conditionalFormatting sqref="G5:G8">
    <cfRule type="containsText" dxfId="785" priority="43" operator="containsText" text="Yes">
      <formula>NOT(ISERROR(SEARCH("Yes",G5)))</formula>
    </cfRule>
    <cfRule type="containsText" dxfId="784" priority="44" operator="containsText" text="No">
      <formula>NOT(ISERROR(SEARCH("No",G5)))</formula>
    </cfRule>
  </conditionalFormatting>
  <conditionalFormatting sqref="H33">
    <cfRule type="cellIs" dxfId="783" priority="3" operator="greaterThan">
      <formula>0</formula>
    </cfRule>
    <cfRule type="cellIs" dxfId="782" priority="36" operator="lessThan">
      <formula>0</formula>
    </cfRule>
  </conditionalFormatting>
  <conditionalFormatting sqref="G25 G36:G37">
    <cfRule type="expression" dxfId="781" priority="32">
      <formula>$G25&gt;0</formula>
    </cfRule>
    <cfRule type="expression" dxfId="780" priority="33">
      <formula>$G25&lt;0</formula>
    </cfRule>
  </conditionalFormatting>
  <conditionalFormatting sqref="H22">
    <cfRule type="cellIs" dxfId="779" priority="12" operator="greaterThan">
      <formula>0</formula>
    </cfRule>
    <cfRule type="cellIs" dxfId="778" priority="15" operator="lessThan">
      <formula>0</formula>
    </cfRule>
  </conditionalFormatting>
  <conditionalFormatting sqref="H21">
    <cfRule type="cellIs" dxfId="777" priority="13" operator="greaterThan">
      <formula>0</formula>
    </cfRule>
    <cfRule type="cellIs" dxfId="776" priority="14" operator="lessThan">
      <formula>0</formula>
    </cfRule>
  </conditionalFormatting>
  <conditionalFormatting sqref="B14 B22:E25 B44:E47 B37:E37 B32:E35 C36:E36">
    <cfRule type="expression" dxfId="775" priority="364">
      <formula>$E14&gt;0</formula>
    </cfRule>
    <cfRule type="expression" dxfId="774" priority="365">
      <formula>$E14&lt;0</formula>
    </cfRule>
  </conditionalFormatting>
  <conditionalFormatting sqref="C14:E14">
    <cfRule type="expression" dxfId="773" priority="366">
      <formula>$E14&gt;0</formula>
    </cfRule>
    <cfRule type="expression" dxfId="772" priority="367">
      <formula>$E14&lt;0</formula>
    </cfRule>
  </conditionalFormatting>
  <conditionalFormatting sqref="B36">
    <cfRule type="expression" dxfId="771" priority="4">
      <formula>$E36&gt;0</formula>
    </cfRule>
    <cfRule type="expression" dxfId="770" priority="5">
      <formula>$E36&lt;0</formula>
    </cfRule>
  </conditionalFormatting>
  <conditionalFormatting sqref="H31">
    <cfRule type="cellIs" dxfId="769" priority="1" operator="lessThan">
      <formula>0</formula>
    </cfRule>
    <cfRule type="cellIs" dxfId="768" priority="2"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2" t="s">
        <v>207</v>
      </c>
      <c r="C2" s="1323"/>
      <c r="D2" s="1323"/>
      <c r="E2" s="1323"/>
      <c r="F2" s="1323"/>
      <c r="G2" s="1323"/>
      <c r="H2" s="1324"/>
      <c r="I2" s="32"/>
      <c r="J2" s="32"/>
      <c r="K2" s="32"/>
      <c r="L2" s="32"/>
      <c r="M2" s="32"/>
      <c r="N2" s="32"/>
      <c r="O2" s="32"/>
      <c r="P2" s="32"/>
      <c r="Q2" s="32"/>
    </row>
    <row r="3" spans="1:17" ht="15" customHeight="1">
      <c r="A3" s="32"/>
      <c r="B3" s="1312" t="s">
        <v>208</v>
      </c>
      <c r="C3" s="1314" t="s">
        <v>209</v>
      </c>
      <c r="D3" s="1314"/>
      <c r="E3" s="1314"/>
      <c r="F3" s="1314"/>
      <c r="G3" s="1314" t="s">
        <v>210</v>
      </c>
      <c r="H3" s="1310"/>
      <c r="I3" s="219"/>
      <c r="J3" s="219"/>
      <c r="K3" s="219"/>
      <c r="L3" s="32"/>
      <c r="M3" s="32"/>
      <c r="N3" s="32"/>
      <c r="O3" s="32"/>
      <c r="P3" s="32"/>
      <c r="Q3" s="32"/>
    </row>
    <row r="4" spans="1:17" ht="14.25" customHeight="1">
      <c r="A4" s="32"/>
      <c r="B4" s="1313"/>
      <c r="C4" s="1315"/>
      <c r="D4" s="1315"/>
      <c r="E4" s="1315"/>
      <c r="F4" s="1315"/>
      <c r="G4" s="1315"/>
      <c r="H4" s="1311"/>
      <c r="I4" s="219"/>
      <c r="J4" s="219"/>
      <c r="K4" s="219"/>
      <c r="L4" s="32"/>
      <c r="M4" s="32"/>
      <c r="N4" s="32"/>
      <c r="O4" s="32"/>
      <c r="P4" s="32"/>
      <c r="Q4" s="32"/>
    </row>
    <row r="5" spans="1:17" ht="20.25">
      <c r="A5" s="32"/>
      <c r="B5" s="99" t="s">
        <v>211</v>
      </c>
      <c r="C5" s="1343" t="s">
        <v>212</v>
      </c>
      <c r="D5" s="1343"/>
      <c r="E5" s="1343"/>
      <c r="F5" s="1343"/>
      <c r="G5" s="1341" t="str">
        <f>IFERROR(IF(E14&lt;0,"No ▲","Yes ✓"),"")</f>
        <v>Yes ✓</v>
      </c>
      <c r="H5" s="1342"/>
      <c r="I5" s="219"/>
      <c r="J5" s="219"/>
      <c r="K5" s="219"/>
      <c r="L5" s="32"/>
      <c r="M5" s="32"/>
      <c r="N5" s="32"/>
      <c r="O5" s="32"/>
      <c r="P5" s="32"/>
      <c r="Q5" s="32"/>
    </row>
    <row r="6" spans="1:17" ht="22.5" customHeight="1">
      <c r="A6" s="32"/>
      <c r="B6" s="99" t="s">
        <v>213</v>
      </c>
      <c r="C6" s="1344" t="s">
        <v>240</v>
      </c>
      <c r="D6" s="1344"/>
      <c r="E6" s="1344"/>
      <c r="F6" s="1344"/>
      <c r="G6" s="1341" t="str">
        <f>IF(H22&lt;0, "No ▲","Yes ✓")</f>
        <v>No ▲</v>
      </c>
      <c r="H6" s="1342"/>
      <c r="I6" s="32"/>
      <c r="J6" s="32"/>
      <c r="K6" s="32"/>
      <c r="L6" s="32"/>
      <c r="M6" s="32"/>
      <c r="N6" s="32"/>
      <c r="O6" s="32"/>
      <c r="P6" s="32"/>
      <c r="Q6" s="32"/>
    </row>
    <row r="7" spans="1:17" ht="19.5" customHeight="1">
      <c r="A7" s="32"/>
      <c r="B7" s="99" t="s">
        <v>70</v>
      </c>
      <c r="C7" s="1344" t="s">
        <v>240</v>
      </c>
      <c r="D7" s="1344"/>
      <c r="E7" s="1344"/>
      <c r="F7" s="1344"/>
      <c r="G7" s="1328" t="str">
        <f>IF(H30&lt;0, "No ▲","Yes ✓")</f>
        <v>No ▲</v>
      </c>
      <c r="H7" s="1329"/>
      <c r="I7" s="32"/>
      <c r="J7" s="32"/>
      <c r="K7" s="32"/>
      <c r="L7" s="32"/>
      <c r="M7" s="32"/>
      <c r="N7" s="32"/>
      <c r="O7" s="32"/>
      <c r="P7" s="32"/>
      <c r="Q7" s="32"/>
    </row>
    <row r="8" spans="1:17" ht="18.75" customHeight="1" thickBot="1">
      <c r="A8" s="32"/>
      <c r="B8" s="74" t="s">
        <v>216</v>
      </c>
      <c r="C8" s="1345" t="s">
        <v>248</v>
      </c>
      <c r="D8" s="1345"/>
      <c r="E8" s="1345"/>
      <c r="F8" s="1345"/>
      <c r="G8" s="1330" t="str">
        <f>IF(H42&lt;0,"No ▲","Yes ✓")</f>
        <v>Yes ✓</v>
      </c>
      <c r="H8" s="1331"/>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22" t="s">
        <v>218</v>
      </c>
      <c r="C11" s="1323"/>
      <c r="D11" s="1323"/>
      <c r="E11" s="1324"/>
      <c r="F11" s="606"/>
      <c r="G11" s="1346" t="s">
        <v>219</v>
      </c>
      <c r="H11" s="1347"/>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48"/>
      <c r="J13" s="1348"/>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22" t="s">
        <v>225</v>
      </c>
      <c r="C20" s="1323"/>
      <c r="D20" s="1323"/>
      <c r="E20" s="1324"/>
      <c r="F20" s="606"/>
      <c r="G20" s="1301" t="s">
        <v>226</v>
      </c>
      <c r="H20" s="1302"/>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-1.7738878275686247</v>
      </c>
      <c r="D22" s="355">
        <f>'G-2 Habitat groups'!AD173</f>
        <v>0</v>
      </c>
      <c r="E22" s="599">
        <f>'G-2 Habitat groups'!AF173</f>
        <v>-1.7738878275686247</v>
      </c>
      <c r="G22" s="74" t="s">
        <v>229</v>
      </c>
      <c r="H22" s="351">
        <f>IF(E23&lt;0, E23, 0)</f>
        <v>-1.7738878275686247</v>
      </c>
      <c r="K22" s="32"/>
      <c r="L22" s="32"/>
      <c r="M22" s="32"/>
      <c r="N22" s="32"/>
      <c r="O22" s="32"/>
    </row>
    <row r="23" spans="1:17" ht="15.75" thickBot="1">
      <c r="A23" s="32"/>
      <c r="C23" s="609">
        <f>SUM(C22:C22)</f>
        <v>-1.7738878275686247</v>
      </c>
      <c r="D23" s="610">
        <f>SUM(D22:D22)</f>
        <v>0</v>
      </c>
      <c r="E23" s="344">
        <f>SUM(E22:E22)</f>
        <v>-1.7738878275686247</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5.95" customHeight="1" thickBot="1">
      <c r="A28" s="32"/>
      <c r="B28" s="1338" t="s">
        <v>231</v>
      </c>
      <c r="C28" s="1339"/>
      <c r="D28" s="1339"/>
      <c r="E28" s="1340"/>
      <c r="F28" s="603"/>
      <c r="G28" s="1349" t="s">
        <v>232</v>
      </c>
      <c r="H28" s="1350"/>
      <c r="K28" s="32"/>
      <c r="L28" s="32"/>
      <c r="M28" s="32"/>
      <c r="N28" s="32"/>
      <c r="O28" s="32"/>
    </row>
    <row r="29" spans="1:17" ht="47.25">
      <c r="A29" s="32"/>
      <c r="B29" s="70" t="s">
        <v>114</v>
      </c>
      <c r="C29" s="71" t="s">
        <v>120</v>
      </c>
      <c r="D29" s="71" t="s">
        <v>147</v>
      </c>
      <c r="E29" s="72" t="s">
        <v>233</v>
      </c>
      <c r="F29" s="35"/>
      <c r="G29" s="73" t="s">
        <v>249</v>
      </c>
      <c r="H29" s="352">
        <f>IF(E32&gt;0, E32, 0)</f>
        <v>0</v>
      </c>
      <c r="K29" s="32"/>
      <c r="L29" s="32"/>
    </row>
    <row r="30" spans="1:17" ht="30">
      <c r="A30" s="32"/>
      <c r="B30" s="271" t="str">
        <f>'G-2 Habitat groups'!A174</f>
        <v>Ditches</v>
      </c>
      <c r="C30" s="346">
        <f>'G-2 Habitat groups'!R174</f>
        <v>-1.7860865484000001</v>
      </c>
      <c r="D30" s="346">
        <f>'G-2 Habitat groups'!AD174</f>
        <v>0</v>
      </c>
      <c r="E30" s="347">
        <f>'G-2 Habitat groups'!AF174</f>
        <v>-1.7860865484000001</v>
      </c>
      <c r="F30" s="35"/>
      <c r="G30" s="99" t="s">
        <v>229</v>
      </c>
      <c r="H30" s="353">
        <f>SUMIF(E30:E31, "&lt;0", E30:E31)</f>
        <v>-1.7860865484000001</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-1.7860865484000001</v>
      </c>
      <c r="D32" s="612">
        <f>SUM(D30:D31)</f>
        <v>0</v>
      </c>
      <c r="E32" s="377">
        <f>SUM(E30:E31)</f>
        <v>-1.7860865484000001</v>
      </c>
      <c r="F32" s="35"/>
      <c r="H32" s="32"/>
      <c r="K32" s="32"/>
      <c r="L32" s="32"/>
    </row>
    <row r="33" spans="1:17" ht="14.4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22" t="s">
        <v>237</v>
      </c>
      <c r="C40" s="1323"/>
      <c r="D40" s="1323"/>
      <c r="E40" s="1324"/>
      <c r="F40" s="606"/>
      <c r="G40" s="1349" t="s">
        <v>238</v>
      </c>
      <c r="H40" s="1350"/>
      <c r="I40" s="32"/>
      <c r="J40" s="32"/>
      <c r="K40" s="32"/>
      <c r="L40" s="32"/>
      <c r="M40" s="32"/>
      <c r="N40" s="32"/>
      <c r="O40" s="32"/>
    </row>
    <row r="41" spans="1:17" ht="47.25">
      <c r="A41" s="32"/>
      <c r="B41" s="70" t="s">
        <v>114</v>
      </c>
      <c r="C41" s="71" t="s">
        <v>221</v>
      </c>
      <c r="D41" s="71" t="s">
        <v>147</v>
      </c>
      <c r="E41" s="72" t="s">
        <v>233</v>
      </c>
      <c r="G41" s="73" t="s">
        <v>239</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1677</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C2zIs5AAtx1cDYTt2p88Erh6MuHY5M7sxqKS+hX86Lhf3aEOs++HNONPahO6I8q09dFRKjTa3YYV+biYGn9X7Q==" saltValue="2GJ/RN2LLAYsBjK3fxbp0A=="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H12">
    <cfRule type="cellIs" dxfId="767" priority="24" operator="greaterThan">
      <formula>0</formula>
    </cfRule>
    <cfRule type="cellIs" dxfId="766" priority="25" operator="lessThan">
      <formula>0</formula>
    </cfRule>
  </conditionalFormatting>
  <conditionalFormatting sqref="H22">
    <cfRule type="cellIs" dxfId="765" priority="18" operator="greaterThan">
      <formula>0</formula>
    </cfRule>
    <cfRule type="cellIs" dxfId="764" priority="21" operator="lessThan">
      <formula>0</formula>
    </cfRule>
  </conditionalFormatting>
  <conditionalFormatting sqref="H21">
    <cfRule type="cellIs" dxfId="763" priority="19" operator="greaterThan">
      <formula>0</formula>
    </cfRule>
    <cfRule type="cellIs" dxfId="762" priority="20" operator="lessThan">
      <formula>0</formula>
    </cfRule>
  </conditionalFormatting>
  <conditionalFormatting sqref="H29 H41:H42">
    <cfRule type="cellIs" dxfId="761" priority="16" operator="lessThan">
      <formula>0</formula>
    </cfRule>
    <cfRule type="cellIs" dxfId="760" priority="17" operator="greaterThan">
      <formula>0</formula>
    </cfRule>
  </conditionalFormatting>
  <conditionalFormatting sqref="G5:G8">
    <cfRule type="containsText" dxfId="759" priority="22" operator="containsText" text="Yes">
      <formula>NOT(ISERROR(SEARCH("Yes",G5)))</formula>
    </cfRule>
    <cfRule type="containsText" dxfId="758" priority="23" operator="containsText" text="No">
      <formula>NOT(ISERROR(SEARCH("No",G5)))</formula>
    </cfRule>
  </conditionalFormatting>
  <conditionalFormatting sqref="H30">
    <cfRule type="cellIs" dxfId="757" priority="15" operator="lessThan">
      <formula>0</formula>
    </cfRule>
  </conditionalFormatting>
  <conditionalFormatting sqref="I13:J13">
    <cfRule type="containsText" dxfId="756" priority="8" operator="containsText" text="Very high distinctiveness unit defecit - CHECK DATA">
      <formula>NOT(ISERROR(SEARCH("Very high distinctiveness unit defecit - CHECK DATA",I13)))</formula>
    </cfRule>
  </conditionalFormatting>
  <conditionalFormatting sqref="B32 B43">
    <cfRule type="expression" dxfId="755" priority="359">
      <formula>#REF!&gt;0</formula>
    </cfRule>
    <cfRule type="expression" dxfId="754" priority="360">
      <formula>#REF!&lt;0</formula>
    </cfRule>
  </conditionalFormatting>
  <conditionalFormatting sqref="B22:E22 B30:E31 B42:E42">
    <cfRule type="expression" dxfId="753" priority="367">
      <formula>$E22&gt;0</formula>
    </cfRule>
    <cfRule type="expression" dxfId="752" priority="368">
      <formula>$E22&lt;0</formula>
    </cfRule>
  </conditionalFormatting>
  <conditionalFormatting sqref="B13:E13">
    <cfRule type="expression" dxfId="751" priority="365">
      <formula>$E13&gt;0</formula>
    </cfRule>
    <cfRule type="expression" dxfId="750"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4D4D4"/>
  </sheetPr>
  <dimension ref="A1:AF749"/>
  <sheetViews>
    <sheetView showRowColHeaders="0" zoomScale="80" zoomScaleNormal="80" workbookViewId="0"/>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row r="2" spans="1:32" ht="15.75" thickBot="1"/>
    <row r="3" spans="1:32" ht="35.450000000000003" customHeight="1">
      <c r="B3" s="1378" t="s">
        <v>250</v>
      </c>
      <c r="C3" s="1379"/>
      <c r="D3" s="1379"/>
      <c r="E3" s="1379"/>
      <c r="F3" s="1379"/>
      <c r="G3" s="1379"/>
      <c r="H3" s="1379"/>
      <c r="I3" s="1379"/>
      <c r="J3" s="1379"/>
      <c r="K3" s="1379"/>
      <c r="L3" s="1380"/>
      <c r="N3" s="1370" t="s">
        <v>251</v>
      </c>
      <c r="O3" s="1371"/>
      <c r="P3" s="1371"/>
      <c r="Q3" s="1371"/>
      <c r="R3" s="1371"/>
      <c r="S3" s="1371"/>
      <c r="T3" s="1371"/>
      <c r="U3" s="1372"/>
      <c r="W3" s="1388" t="s">
        <v>252</v>
      </c>
      <c r="X3" s="1389"/>
      <c r="Y3" s="1389"/>
      <c r="Z3" s="1389"/>
      <c r="AA3" s="1389"/>
      <c r="AB3" s="1389"/>
      <c r="AC3" s="1389"/>
      <c r="AD3" s="1390"/>
      <c r="AE3" s="679"/>
      <c r="AF3" s="679"/>
    </row>
    <row r="4" spans="1:32" ht="15" customHeight="1" thickBot="1">
      <c r="B4" s="1381"/>
      <c r="C4" s="1382"/>
      <c r="D4" s="1382"/>
      <c r="E4" s="1382"/>
      <c r="F4" s="1382"/>
      <c r="G4" s="1382"/>
      <c r="H4" s="1382"/>
      <c r="I4" s="1382"/>
      <c r="J4" s="1382"/>
      <c r="K4" s="1382"/>
      <c r="L4" s="1383"/>
      <c r="N4" s="1373"/>
      <c r="O4" s="1374"/>
      <c r="P4" s="1374"/>
      <c r="Q4" s="1374"/>
      <c r="R4" s="1374"/>
      <c r="S4" s="1374"/>
      <c r="T4" s="1374"/>
      <c r="U4" s="1375"/>
      <c r="W4" s="1391"/>
      <c r="X4" s="1392"/>
      <c r="Y4" s="1392"/>
      <c r="Z4" s="1392"/>
      <c r="AA4" s="1392"/>
      <c r="AB4" s="1392"/>
      <c r="AC4" s="1392"/>
      <c r="AD4" s="1393"/>
      <c r="AE4" s="679"/>
      <c r="AF4" s="679"/>
    </row>
    <row r="5" spans="1:32" ht="14.45" customHeight="1">
      <c r="B5" s="1360" t="s">
        <v>253</v>
      </c>
      <c r="C5" s="1360" t="s">
        <v>254</v>
      </c>
      <c r="D5" s="1366" t="s">
        <v>255</v>
      </c>
      <c r="E5" s="1385"/>
      <c r="F5" s="1366" t="s">
        <v>256</v>
      </c>
      <c r="G5" s="1385"/>
      <c r="H5" s="1366" t="s">
        <v>257</v>
      </c>
      <c r="I5" s="1385"/>
      <c r="J5" s="1366" t="s">
        <v>258</v>
      </c>
      <c r="K5" s="1364" t="s">
        <v>259</v>
      </c>
      <c r="L5" s="1354" t="s">
        <v>260</v>
      </c>
      <c r="N5" s="1362" t="s">
        <v>253</v>
      </c>
      <c r="O5" s="1360" t="s">
        <v>254</v>
      </c>
      <c r="P5" s="1364" t="s">
        <v>255</v>
      </c>
      <c r="Q5" s="1364" t="s">
        <v>256</v>
      </c>
      <c r="R5" s="1366" t="s">
        <v>257</v>
      </c>
      <c r="S5" s="1356" t="s">
        <v>258</v>
      </c>
      <c r="T5" s="1368" t="s">
        <v>261</v>
      </c>
      <c r="U5" s="1354" t="s">
        <v>260</v>
      </c>
      <c r="W5" s="1396" t="s">
        <v>253</v>
      </c>
      <c r="X5" s="1356" t="s">
        <v>254</v>
      </c>
      <c r="Y5" s="1356" t="s">
        <v>255</v>
      </c>
      <c r="Z5" s="1356" t="s">
        <v>256</v>
      </c>
      <c r="AA5" s="1356" t="s">
        <v>262</v>
      </c>
      <c r="AB5" s="1356" t="s">
        <v>258</v>
      </c>
      <c r="AC5" s="1356" t="s">
        <v>261</v>
      </c>
      <c r="AD5" s="1358" t="s">
        <v>260</v>
      </c>
      <c r="AF5" s="680"/>
    </row>
    <row r="6" spans="1:32" ht="15.75" thickBot="1">
      <c r="B6" s="1384"/>
      <c r="C6" s="1384"/>
      <c r="D6" s="1386"/>
      <c r="E6" s="1387"/>
      <c r="F6" s="1386"/>
      <c r="G6" s="1387"/>
      <c r="H6" s="1386"/>
      <c r="I6" s="1387"/>
      <c r="J6" s="1367"/>
      <c r="K6" s="1365"/>
      <c r="L6" s="1355"/>
      <c r="N6" s="1363"/>
      <c r="O6" s="1361"/>
      <c r="P6" s="1365"/>
      <c r="Q6" s="1365"/>
      <c r="R6" s="1367"/>
      <c r="S6" s="1357"/>
      <c r="T6" s="1369"/>
      <c r="U6" s="1355"/>
      <c r="W6" s="1397"/>
      <c r="X6" s="1357"/>
      <c r="Y6" s="1357"/>
      <c r="Z6" s="1357"/>
      <c r="AA6" s="1357"/>
      <c r="AB6" s="1357"/>
      <c r="AC6" s="1357"/>
      <c r="AD6" s="1359"/>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6">
        <f>SUMIF('D-1 Off-Site Habitat Baseline'!$AF$11:$AF$258,'Off-site gain site summary'!$B$7,'D-1 Off-Site Habitat Baseline'!$X$11:$X$258)</f>
        <v>0</v>
      </c>
      <c r="E7" s="1377"/>
      <c r="F7" s="1376">
        <f>SUMIF('D-3 Off-Site Habitat Enhancment'!$AU$12:$AU$258,'Off-site gain site summary'!B7,'D-3 Off-Site Habitat Enhancment'!$AQ$12:$AQ$258)</f>
        <v>0</v>
      </c>
      <c r="G7" s="1377"/>
      <c r="H7" s="1376">
        <f>SUMIF('D-2 Off-Site Habitat Creation'!$AF$11:$AF$256,'Off-site gain site summary'!B7,'D-2 Off-Site Habitat Creation'!$AB$11:$AB$256)</f>
        <v>0</v>
      </c>
      <c r="I7" s="1377"/>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51">
        <f>SUMIF('D-1 Off-Site Habitat Baseline'!$AF$11:$AF$258,'Off-site gain site summary'!$B$7,'D-1 Off-Site Habitat Baseline'!$X$11:$X$258)</f>
        <v>0</v>
      </c>
      <c r="E8" s="1352"/>
      <c r="F8" s="1351">
        <f>SUMIF('D-3 Off-Site Habitat Enhancment'!$AU$12:$AU$258,'Off-site gain site summary'!B8,'D-3 Off-Site Habitat Enhancment'!$AQ$12:$AQ$258)</f>
        <v>0</v>
      </c>
      <c r="G8" s="1352"/>
      <c r="H8" s="1351">
        <f>SUMIF('D-2 Off-Site Habitat Creation'!$AF$11:$AF$256,'Off-site gain site summary'!B8,'D-2 Off-Site Habitat Creation'!$AB$11:$AB$256)</f>
        <v>0</v>
      </c>
      <c r="I8" s="1352"/>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3"/>
      <c r="AF8" s="1353"/>
    </row>
    <row r="9" spans="1:32">
      <c r="A9" s="757">
        <f>'D-1 Off-Site Habitat Baseline'!AF13</f>
        <v>0</v>
      </c>
      <c r="B9" s="764"/>
      <c r="C9" s="762">
        <f>SUMIF('D-1 Off-Site Habitat Baseline'!AF13:AF16,B9,'D-1 Off-Site Habitat Baseline'!T13:T16)</f>
        <v>0</v>
      </c>
      <c r="D9" s="1351">
        <f>SUMIF('D-1 Off-Site Habitat Baseline'!$AF$11:$AF$258,'Off-site gain site summary'!$B$7,'D-1 Off-Site Habitat Baseline'!$X$11:$X$258)</f>
        <v>0</v>
      </c>
      <c r="E9" s="1352"/>
      <c r="F9" s="1351">
        <f>SUMIF('D-3 Off-Site Habitat Enhancment'!$AU$12:$AU$258,'Off-site gain site summary'!B9,'D-3 Off-Site Habitat Enhancment'!$AQ$12:$AQ$258)</f>
        <v>0</v>
      </c>
      <c r="G9" s="1352"/>
      <c r="H9" s="1351">
        <f>SUMIF('D-2 Off-Site Habitat Creation'!$AF$11:$AF$256,'Off-site gain site summary'!B9,'D-2 Off-Site Habitat Creation'!$AB$11:$AB$256)</f>
        <v>0</v>
      </c>
      <c r="I9" s="1352"/>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3"/>
      <c r="AF9" s="1353"/>
    </row>
    <row r="10" spans="1:32">
      <c r="A10" s="757">
        <f>'D-1 Off-Site Habitat Baseline'!AF14</f>
        <v>0</v>
      </c>
      <c r="B10" s="764"/>
      <c r="C10" s="762">
        <f>SUMIF('D-1 Off-Site Habitat Baseline'!AF14:AF17,B10,'D-1 Off-Site Habitat Baseline'!T14:T17)</f>
        <v>0</v>
      </c>
      <c r="D10" s="1351">
        <f>SUMIF('D-1 Off-Site Habitat Baseline'!$AF$11:$AF$258,'Off-site gain site summary'!$B$7,'D-1 Off-Site Habitat Baseline'!$X$11:$X$258)</f>
        <v>0</v>
      </c>
      <c r="E10" s="1352"/>
      <c r="F10" s="1351">
        <f>SUMIF('D-3 Off-Site Habitat Enhancment'!$AU$12:$AU$258,'Off-site gain site summary'!B10,'D-3 Off-Site Habitat Enhancment'!$AQ$12:$AQ$258)</f>
        <v>0</v>
      </c>
      <c r="G10" s="1352"/>
      <c r="H10" s="1351">
        <f>SUMIF('D-2 Off-Site Habitat Creation'!$AF$11:$AF$256,'Off-site gain site summary'!B10,'D-2 Off-Site Habitat Creation'!$AB$11:$AB$256)</f>
        <v>0</v>
      </c>
      <c r="I10" s="1352"/>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3"/>
      <c r="AF10" s="1353"/>
    </row>
    <row r="11" spans="1:32">
      <c r="A11" s="757">
        <f>'D-1 Off-Site Habitat Baseline'!AF15</f>
        <v>0</v>
      </c>
      <c r="B11" s="764"/>
      <c r="C11" s="762">
        <f>SUMIF('D-1 Off-Site Habitat Baseline'!AF15:AF18,B11,'D-1 Off-Site Habitat Baseline'!T15:T18)</f>
        <v>0</v>
      </c>
      <c r="D11" s="1351">
        <f>SUMIF('D-1 Off-Site Habitat Baseline'!$AF$11:$AF$258,'Off-site gain site summary'!$B$7,'D-1 Off-Site Habitat Baseline'!$X$11:$X$258)</f>
        <v>0</v>
      </c>
      <c r="E11" s="1352"/>
      <c r="F11" s="1351">
        <f>SUMIF('D-3 Off-Site Habitat Enhancment'!$AU$12:$AU$258,'Off-site gain site summary'!B11,'D-3 Off-Site Habitat Enhancment'!$AQ$12:$AQ$258)</f>
        <v>0</v>
      </c>
      <c r="G11" s="1352"/>
      <c r="H11" s="1351">
        <f>SUMIF('D-2 Off-Site Habitat Creation'!$AF$11:$AF$256,'Off-site gain site summary'!B11,'D-2 Off-Site Habitat Creation'!$AB$11:$AB$256)</f>
        <v>0</v>
      </c>
      <c r="I11" s="1352"/>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3"/>
      <c r="AF11" s="1353"/>
    </row>
    <row r="12" spans="1:32">
      <c r="A12" s="757">
        <f>'D-1 Off-Site Habitat Baseline'!AF16</f>
        <v>0</v>
      </c>
      <c r="B12" s="764"/>
      <c r="C12" s="762">
        <f>SUMIF('D-1 Off-Site Habitat Baseline'!AF16:AF19,B12,'D-1 Off-Site Habitat Baseline'!T16:T19)</f>
        <v>0</v>
      </c>
      <c r="D12" s="1351">
        <f>SUMIF('D-1 Off-Site Habitat Baseline'!$AF$11:$AF$258,'Off-site gain site summary'!$B$7,'D-1 Off-Site Habitat Baseline'!$X$11:$X$258)</f>
        <v>0</v>
      </c>
      <c r="E12" s="1352"/>
      <c r="F12" s="1351">
        <f>SUMIF('D-3 Off-Site Habitat Enhancment'!$AU$12:$AU$258,'Off-site gain site summary'!B12,'D-3 Off-Site Habitat Enhancment'!$AQ$12:$AQ$258)</f>
        <v>0</v>
      </c>
      <c r="G12" s="1352"/>
      <c r="H12" s="1351">
        <f>SUMIF('D-2 Off-Site Habitat Creation'!$AF$11:$AF$256,'Off-site gain site summary'!B12,'D-2 Off-Site Habitat Creation'!$AB$11:$AB$256)</f>
        <v>0</v>
      </c>
      <c r="I12" s="1352"/>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3"/>
      <c r="AF12" s="1353"/>
    </row>
    <row r="13" spans="1:32">
      <c r="A13" s="757">
        <f>'D-1 Off-Site Habitat Baseline'!AF17</f>
        <v>0</v>
      </c>
      <c r="B13" s="764"/>
      <c r="C13" s="762">
        <f>SUMIF('D-1 Off-Site Habitat Baseline'!AF17:AF20,B13,'D-1 Off-Site Habitat Baseline'!T17:T20)</f>
        <v>0</v>
      </c>
      <c r="D13" s="1351">
        <f>SUMIF('D-1 Off-Site Habitat Baseline'!$AF$11:$AF$258,'Off-site gain site summary'!$B$7,'D-1 Off-Site Habitat Baseline'!$X$11:$X$258)</f>
        <v>0</v>
      </c>
      <c r="E13" s="1352"/>
      <c r="F13" s="1351">
        <f>SUMIF('D-3 Off-Site Habitat Enhancment'!$AU$12:$AU$258,'Off-site gain site summary'!B13,'D-3 Off-Site Habitat Enhancment'!$AQ$12:$AQ$258)</f>
        <v>0</v>
      </c>
      <c r="G13" s="1352"/>
      <c r="H13" s="1351">
        <f>SUMIF('D-2 Off-Site Habitat Creation'!$AF$11:$AF$256,'Off-site gain site summary'!B13,'D-2 Off-Site Habitat Creation'!$AB$11:$AB$256)</f>
        <v>0</v>
      </c>
      <c r="I13" s="1352"/>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3"/>
      <c r="AF13" s="1353"/>
    </row>
    <row r="14" spans="1:32">
      <c r="A14" s="757">
        <f>'D-1 Off-Site Habitat Baseline'!AF18</f>
        <v>0</v>
      </c>
      <c r="B14" s="764"/>
      <c r="C14" s="762">
        <f>SUMIF('D-1 Off-Site Habitat Baseline'!AF18:AF21,B14,'D-1 Off-Site Habitat Baseline'!T18:T21)</f>
        <v>0</v>
      </c>
      <c r="D14" s="1351">
        <f>SUMIF('D-1 Off-Site Habitat Baseline'!$AF$11:$AF$258,'Off-site gain site summary'!$B$7,'D-1 Off-Site Habitat Baseline'!$X$11:$X$258)</f>
        <v>0</v>
      </c>
      <c r="E14" s="1352"/>
      <c r="F14" s="1351">
        <f>SUMIF('D-3 Off-Site Habitat Enhancment'!$AU$12:$AU$258,'Off-site gain site summary'!B14,'D-3 Off-Site Habitat Enhancment'!$AQ$12:$AQ$258)</f>
        <v>0</v>
      </c>
      <c r="G14" s="1352"/>
      <c r="H14" s="1351">
        <f>SUMIF('D-2 Off-Site Habitat Creation'!$AF$11:$AF$256,'Off-site gain site summary'!B14,'D-2 Off-Site Habitat Creation'!$AB$11:$AB$256)</f>
        <v>0</v>
      </c>
      <c r="I14" s="1352"/>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3"/>
      <c r="AF14" s="1353"/>
    </row>
    <row r="15" spans="1:32">
      <c r="A15" s="757">
        <f>'D-1 Off-Site Habitat Baseline'!AF19</f>
        <v>0</v>
      </c>
      <c r="B15" s="764"/>
      <c r="C15" s="762">
        <f>SUMIF('D-1 Off-Site Habitat Baseline'!AF19:AF22,B15,'D-1 Off-Site Habitat Baseline'!T19:T22)</f>
        <v>0</v>
      </c>
      <c r="D15" s="1351">
        <f>SUMIF('D-1 Off-Site Habitat Baseline'!$AF$11:$AF$258,'Off-site gain site summary'!$B$7,'D-1 Off-Site Habitat Baseline'!$X$11:$X$258)</f>
        <v>0</v>
      </c>
      <c r="E15" s="1352"/>
      <c r="F15" s="1351">
        <f>SUMIF('D-3 Off-Site Habitat Enhancment'!$AU$12:$AU$258,'Off-site gain site summary'!B15,'D-3 Off-Site Habitat Enhancment'!$AQ$12:$AQ$258)</f>
        <v>0</v>
      </c>
      <c r="G15" s="1352"/>
      <c r="H15" s="1351">
        <f>SUMIF('D-2 Off-Site Habitat Creation'!$AF$11:$AF$256,'Off-site gain site summary'!B15,'D-2 Off-Site Habitat Creation'!$AB$11:$AB$256)</f>
        <v>0</v>
      </c>
      <c r="I15" s="1352"/>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3"/>
      <c r="AF15" s="1353"/>
    </row>
    <row r="16" spans="1:32">
      <c r="A16" s="757">
        <f>'D-1 Off-Site Habitat Baseline'!AF20</f>
        <v>0</v>
      </c>
      <c r="B16" s="764"/>
      <c r="C16" s="762">
        <f>SUMIF('D-1 Off-Site Habitat Baseline'!AF20:AF23,B16,'D-1 Off-Site Habitat Baseline'!T20:T23)</f>
        <v>0</v>
      </c>
      <c r="D16" s="1351">
        <f>SUMIF('D-1 Off-Site Habitat Baseline'!$AF$11:$AF$258,'Off-site gain site summary'!$B$7,'D-1 Off-Site Habitat Baseline'!$X$11:$X$258)</f>
        <v>0</v>
      </c>
      <c r="E16" s="1352"/>
      <c r="F16" s="1351">
        <f>SUMIF('D-3 Off-Site Habitat Enhancment'!$AU$12:$AU$258,'Off-site gain site summary'!B16,'D-3 Off-Site Habitat Enhancment'!$AQ$12:$AQ$258)</f>
        <v>0</v>
      </c>
      <c r="G16" s="1352"/>
      <c r="H16" s="1351">
        <f>SUMIF('D-2 Off-Site Habitat Creation'!$AF$11:$AF$256,'Off-site gain site summary'!B16,'D-2 Off-Site Habitat Creation'!$AB$11:$AB$256)</f>
        <v>0</v>
      </c>
      <c r="I16" s="1352"/>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3"/>
      <c r="AF16" s="1353"/>
    </row>
    <row r="17" spans="1:32">
      <c r="A17" s="757">
        <f>'D-1 Off-Site Habitat Baseline'!AF21</f>
        <v>0</v>
      </c>
      <c r="B17" s="764"/>
      <c r="C17" s="762">
        <f>SUMIF('D-1 Off-Site Habitat Baseline'!AF21:AF24,B17,'D-1 Off-Site Habitat Baseline'!T21:T24)</f>
        <v>0</v>
      </c>
      <c r="D17" s="1351">
        <f>SUMIF('D-1 Off-Site Habitat Baseline'!$AF$11:$AF$258,'Off-site gain site summary'!$B$7,'D-1 Off-Site Habitat Baseline'!$X$11:$X$258)</f>
        <v>0</v>
      </c>
      <c r="E17" s="1352"/>
      <c r="F17" s="1351">
        <f>SUMIF('D-3 Off-Site Habitat Enhancment'!$AU$12:$AU$258,'Off-site gain site summary'!B17,'D-3 Off-Site Habitat Enhancment'!$AQ$12:$AQ$258)</f>
        <v>0</v>
      </c>
      <c r="G17" s="1352"/>
      <c r="H17" s="1351">
        <f>SUMIF('D-2 Off-Site Habitat Creation'!$AF$11:$AF$256,'Off-site gain site summary'!B17,'D-2 Off-Site Habitat Creation'!$AB$11:$AB$256)</f>
        <v>0</v>
      </c>
      <c r="I17" s="1352"/>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3"/>
      <c r="AF17" s="1353"/>
    </row>
    <row r="18" spans="1:32">
      <c r="A18" s="757">
        <f>'D-1 Off-Site Habitat Baseline'!AF22</f>
        <v>0</v>
      </c>
      <c r="B18" s="764"/>
      <c r="C18" s="762">
        <f>SUMIF('D-1 Off-Site Habitat Baseline'!AF22:AF25,B18,'D-1 Off-Site Habitat Baseline'!T22:T25)</f>
        <v>0</v>
      </c>
      <c r="D18" s="1351">
        <f>SUMIF('D-1 Off-Site Habitat Baseline'!$AF$11:$AF$258,'Off-site gain site summary'!$B$7,'D-1 Off-Site Habitat Baseline'!$X$11:$X$258)</f>
        <v>0</v>
      </c>
      <c r="E18" s="1352"/>
      <c r="F18" s="1351">
        <f>SUMIF('D-3 Off-Site Habitat Enhancment'!$AU$12:$AU$258,'Off-site gain site summary'!B18,'D-3 Off-Site Habitat Enhancment'!$AQ$12:$AQ$258)</f>
        <v>0</v>
      </c>
      <c r="G18" s="1352"/>
      <c r="H18" s="1351">
        <f>SUMIF('D-2 Off-Site Habitat Creation'!$AF$11:$AF$256,'Off-site gain site summary'!B18,'D-2 Off-Site Habitat Creation'!$AB$11:$AB$256)</f>
        <v>0</v>
      </c>
      <c r="I18" s="1352"/>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3"/>
      <c r="AF18" s="1353"/>
    </row>
    <row r="19" spans="1:32">
      <c r="A19" s="757">
        <f>'D-1 Off-Site Habitat Baseline'!AF23</f>
        <v>0</v>
      </c>
      <c r="B19" s="764"/>
      <c r="C19" s="762">
        <f>SUMIF('D-1 Off-Site Habitat Baseline'!AF23:AF26,B19,'D-1 Off-Site Habitat Baseline'!T23:T26)</f>
        <v>0</v>
      </c>
      <c r="D19" s="1351">
        <f>SUMIF('D-1 Off-Site Habitat Baseline'!$AF$11:$AF$258,'Off-site gain site summary'!$B$7,'D-1 Off-Site Habitat Baseline'!$X$11:$X$258)</f>
        <v>0</v>
      </c>
      <c r="E19" s="1352"/>
      <c r="F19" s="1351">
        <f>SUMIF('D-3 Off-Site Habitat Enhancment'!$AU$12:$AU$258,'Off-site gain site summary'!B19,'D-3 Off-Site Habitat Enhancment'!$AQ$12:$AQ$258)</f>
        <v>0</v>
      </c>
      <c r="G19" s="1352"/>
      <c r="H19" s="1351">
        <f>SUMIF('D-2 Off-Site Habitat Creation'!$AF$11:$AF$256,'Off-site gain site summary'!B19,'D-2 Off-Site Habitat Creation'!$AB$11:$AB$256)</f>
        <v>0</v>
      </c>
      <c r="I19" s="1352"/>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3"/>
      <c r="AF19" s="1353"/>
    </row>
    <row r="20" spans="1:32">
      <c r="A20" s="757">
        <f>'D-1 Off-Site Habitat Baseline'!AF24</f>
        <v>0</v>
      </c>
      <c r="B20" s="764"/>
      <c r="C20" s="762">
        <f>SUMIF('D-1 Off-Site Habitat Baseline'!AF24:AF27,B20,'D-1 Off-Site Habitat Baseline'!T24:T27)</f>
        <v>0</v>
      </c>
      <c r="D20" s="1351">
        <f>SUMIF('D-1 Off-Site Habitat Baseline'!$AF$11:$AF$258,'Off-site gain site summary'!$B$7,'D-1 Off-Site Habitat Baseline'!$X$11:$X$258)</f>
        <v>0</v>
      </c>
      <c r="E20" s="1352"/>
      <c r="F20" s="1351">
        <f>SUMIF('D-3 Off-Site Habitat Enhancment'!$AU$12:$AU$258,'Off-site gain site summary'!B20,'D-3 Off-Site Habitat Enhancment'!$AQ$12:$AQ$258)</f>
        <v>0</v>
      </c>
      <c r="G20" s="1352"/>
      <c r="H20" s="1351">
        <f>SUMIF('D-2 Off-Site Habitat Creation'!$AF$11:$AF$256,'Off-site gain site summary'!B20,'D-2 Off-Site Habitat Creation'!$AB$11:$AB$256)</f>
        <v>0</v>
      </c>
      <c r="I20" s="1352"/>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3"/>
      <c r="AF20" s="1353"/>
    </row>
    <row r="21" spans="1:32">
      <c r="A21" s="757">
        <f>'D-1 Off-Site Habitat Baseline'!AF25</f>
        <v>0</v>
      </c>
      <c r="B21" s="764"/>
      <c r="C21" s="762">
        <f>SUMIF('D-1 Off-Site Habitat Baseline'!AF25:AF28,B21,'D-1 Off-Site Habitat Baseline'!T25:T28)</f>
        <v>0</v>
      </c>
      <c r="D21" s="1351">
        <f>SUMIF('D-1 Off-Site Habitat Baseline'!$AF$11:$AF$258,'Off-site gain site summary'!$B$7,'D-1 Off-Site Habitat Baseline'!$X$11:$X$258)</f>
        <v>0</v>
      </c>
      <c r="E21" s="1352"/>
      <c r="F21" s="1351">
        <f>SUMIF('D-3 Off-Site Habitat Enhancment'!$AU$12:$AU$258,'Off-site gain site summary'!B21,'D-3 Off-Site Habitat Enhancment'!$AQ$12:$AQ$258)</f>
        <v>0</v>
      </c>
      <c r="G21" s="1352"/>
      <c r="H21" s="1351">
        <f>SUMIF('D-2 Off-Site Habitat Creation'!$AF$11:$AF$256,'Off-site gain site summary'!B21,'D-2 Off-Site Habitat Creation'!$AB$11:$AB$256)</f>
        <v>0</v>
      </c>
      <c r="I21" s="1352"/>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3"/>
      <c r="AF21" s="1353"/>
    </row>
    <row r="22" spans="1:32">
      <c r="A22" s="757">
        <f>'D-1 Off-Site Habitat Baseline'!AF26</f>
        <v>0</v>
      </c>
      <c r="B22" s="764"/>
      <c r="C22" s="762">
        <f>SUMIF('D-1 Off-Site Habitat Baseline'!AF26:AF29,B22,'D-1 Off-Site Habitat Baseline'!T26:T29)</f>
        <v>0</v>
      </c>
      <c r="D22" s="1351">
        <f>SUMIF('D-1 Off-Site Habitat Baseline'!$AF$11:$AF$258,'Off-site gain site summary'!$B$7,'D-1 Off-Site Habitat Baseline'!$X$11:$X$258)</f>
        <v>0</v>
      </c>
      <c r="E22" s="1352"/>
      <c r="F22" s="1351">
        <f>SUMIF('D-3 Off-Site Habitat Enhancment'!$AU$12:$AU$258,'Off-site gain site summary'!B22,'D-3 Off-Site Habitat Enhancment'!$AQ$12:$AQ$258)</f>
        <v>0</v>
      </c>
      <c r="G22" s="1352"/>
      <c r="H22" s="1351">
        <f>SUMIF('D-2 Off-Site Habitat Creation'!$AF$11:$AF$256,'Off-site gain site summary'!B22,'D-2 Off-Site Habitat Creation'!$AB$11:$AB$256)</f>
        <v>0</v>
      </c>
      <c r="I22" s="1352"/>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3"/>
      <c r="AF22" s="1353"/>
    </row>
    <row r="23" spans="1:32">
      <c r="A23" s="757">
        <f>'D-1 Off-Site Habitat Baseline'!AF27</f>
        <v>0</v>
      </c>
      <c r="B23" s="764"/>
      <c r="C23" s="762">
        <f>SUMIF('D-1 Off-Site Habitat Baseline'!AF27:AF30,B23,'D-1 Off-Site Habitat Baseline'!T27:T30)</f>
        <v>0</v>
      </c>
      <c r="D23" s="1351">
        <f>SUMIF('D-1 Off-Site Habitat Baseline'!$AF$11:$AF$258,'Off-site gain site summary'!$B$7,'D-1 Off-Site Habitat Baseline'!$X$11:$X$258)</f>
        <v>0</v>
      </c>
      <c r="E23" s="1352"/>
      <c r="F23" s="1351">
        <f>SUMIF('D-3 Off-Site Habitat Enhancment'!$AU$12:$AU$258,'Off-site gain site summary'!B23,'D-3 Off-Site Habitat Enhancment'!$AQ$12:$AQ$258)</f>
        <v>0</v>
      </c>
      <c r="G23" s="1352"/>
      <c r="H23" s="1351">
        <f>SUMIF('D-2 Off-Site Habitat Creation'!$AF$11:$AF$256,'Off-site gain site summary'!B23,'D-2 Off-Site Habitat Creation'!$AB$11:$AB$256)</f>
        <v>0</v>
      </c>
      <c r="I23" s="1352"/>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3"/>
      <c r="AF23" s="1353"/>
    </row>
    <row r="24" spans="1:32">
      <c r="A24" s="757">
        <f>'D-1 Off-Site Habitat Baseline'!AF28</f>
        <v>0</v>
      </c>
      <c r="B24" s="764"/>
      <c r="C24" s="762">
        <f>SUMIF('D-1 Off-Site Habitat Baseline'!AF28:AF31,B24,'D-1 Off-Site Habitat Baseline'!T28:T31)</f>
        <v>0</v>
      </c>
      <c r="D24" s="1351">
        <f>SUMIF('D-1 Off-Site Habitat Baseline'!$AF$11:$AF$258,'Off-site gain site summary'!$B$7,'D-1 Off-Site Habitat Baseline'!$X$11:$X$258)</f>
        <v>0</v>
      </c>
      <c r="E24" s="1352"/>
      <c r="F24" s="1351">
        <f>SUMIF('D-3 Off-Site Habitat Enhancment'!$AU$12:$AU$258,'Off-site gain site summary'!B24,'D-3 Off-Site Habitat Enhancment'!$AQ$12:$AQ$258)</f>
        <v>0</v>
      </c>
      <c r="G24" s="1352"/>
      <c r="H24" s="1351">
        <f>SUMIF('D-2 Off-Site Habitat Creation'!$AF$11:$AF$256,'Off-site gain site summary'!B24,'D-2 Off-Site Habitat Creation'!$AB$11:$AB$256)</f>
        <v>0</v>
      </c>
      <c r="I24" s="1352"/>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3"/>
      <c r="AF24" s="1353"/>
    </row>
    <row r="25" spans="1:32">
      <c r="A25" s="757">
        <f>'D-1 Off-Site Habitat Baseline'!AF29</f>
        <v>0</v>
      </c>
      <c r="B25" s="764"/>
      <c r="C25" s="762">
        <f>SUMIF('D-1 Off-Site Habitat Baseline'!AF29:AF32,B25,'D-1 Off-Site Habitat Baseline'!T29:T32)</f>
        <v>0</v>
      </c>
      <c r="D25" s="1351">
        <f>SUMIF('D-1 Off-Site Habitat Baseline'!$AF$11:$AF$258,'Off-site gain site summary'!$B$7,'D-1 Off-Site Habitat Baseline'!$X$11:$X$258)</f>
        <v>0</v>
      </c>
      <c r="E25" s="1352"/>
      <c r="F25" s="1351">
        <f>SUMIF('D-3 Off-Site Habitat Enhancment'!$AU$12:$AU$258,'Off-site gain site summary'!B25,'D-3 Off-Site Habitat Enhancment'!$AQ$12:$AQ$258)</f>
        <v>0</v>
      </c>
      <c r="G25" s="1352"/>
      <c r="H25" s="1351">
        <f>SUMIF('D-2 Off-Site Habitat Creation'!$AF$11:$AF$256,'Off-site gain site summary'!B25,'D-2 Off-Site Habitat Creation'!$AB$11:$AB$256)</f>
        <v>0</v>
      </c>
      <c r="I25" s="1352"/>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3"/>
      <c r="AF25" s="1353"/>
    </row>
    <row r="26" spans="1:32">
      <c r="A26" s="757">
        <f>'D-1 Off-Site Habitat Baseline'!AF30</f>
        <v>0</v>
      </c>
      <c r="B26" s="764"/>
      <c r="C26" s="762">
        <f>SUMIF('D-1 Off-Site Habitat Baseline'!AF30:AF33,B26,'D-1 Off-Site Habitat Baseline'!T30:T33)</f>
        <v>0</v>
      </c>
      <c r="D26" s="1351">
        <f>SUMIF('D-1 Off-Site Habitat Baseline'!$AF$11:$AF$258,'Off-site gain site summary'!$B$7,'D-1 Off-Site Habitat Baseline'!$X$11:$X$258)</f>
        <v>0</v>
      </c>
      <c r="E26" s="1352"/>
      <c r="F26" s="1351">
        <f>SUMIF('D-3 Off-Site Habitat Enhancment'!$AU$12:$AU$258,'Off-site gain site summary'!B26,'D-3 Off-Site Habitat Enhancment'!$AQ$12:$AQ$258)</f>
        <v>0</v>
      </c>
      <c r="G26" s="1352"/>
      <c r="H26" s="1351">
        <f>SUMIF('D-2 Off-Site Habitat Creation'!$AF$11:$AF$256,'Off-site gain site summary'!B26,'D-2 Off-Site Habitat Creation'!$AB$11:$AB$256)</f>
        <v>0</v>
      </c>
      <c r="I26" s="1352"/>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3"/>
      <c r="AF26" s="1353"/>
    </row>
    <row r="27" spans="1:32">
      <c r="A27" s="757">
        <f>'D-1 Off-Site Habitat Baseline'!AF31</f>
        <v>0</v>
      </c>
      <c r="B27" s="764"/>
      <c r="C27" s="762">
        <f>SUMIF('D-1 Off-Site Habitat Baseline'!AF31:AF34,B27,'D-1 Off-Site Habitat Baseline'!T31:T34)</f>
        <v>0</v>
      </c>
      <c r="D27" s="1351">
        <f>SUMIF('D-1 Off-Site Habitat Baseline'!$AF$11:$AF$258,'Off-site gain site summary'!$B$7,'D-1 Off-Site Habitat Baseline'!$X$11:$X$258)</f>
        <v>0</v>
      </c>
      <c r="E27" s="1352"/>
      <c r="F27" s="1351">
        <f>SUMIF('D-3 Off-Site Habitat Enhancment'!$AU$12:$AU$258,'Off-site gain site summary'!B27,'D-3 Off-Site Habitat Enhancment'!$AQ$12:$AQ$258)</f>
        <v>0</v>
      </c>
      <c r="G27" s="1352"/>
      <c r="H27" s="1351">
        <f>SUMIF('D-2 Off-Site Habitat Creation'!$AF$11:$AF$256,'Off-site gain site summary'!B27,'D-2 Off-Site Habitat Creation'!$AB$11:$AB$256)</f>
        <v>0</v>
      </c>
      <c r="I27" s="1352"/>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3"/>
      <c r="AF27" s="1353"/>
    </row>
    <row r="28" spans="1:32">
      <c r="A28" s="757">
        <f>'D-1 Off-Site Habitat Baseline'!AF32</f>
        <v>0</v>
      </c>
      <c r="B28" s="764"/>
      <c r="C28" s="762">
        <f>SUMIF('D-1 Off-Site Habitat Baseline'!AF32:AF35,B28,'D-1 Off-Site Habitat Baseline'!T32:T35)</f>
        <v>0</v>
      </c>
      <c r="D28" s="1351">
        <f>SUMIF('D-1 Off-Site Habitat Baseline'!$AF$11:$AF$258,'Off-site gain site summary'!$B$7,'D-1 Off-Site Habitat Baseline'!$X$11:$X$258)</f>
        <v>0</v>
      </c>
      <c r="E28" s="1352"/>
      <c r="F28" s="1351">
        <f>SUMIF('D-3 Off-Site Habitat Enhancment'!$AU$12:$AU$258,'Off-site gain site summary'!B28,'D-3 Off-Site Habitat Enhancment'!$AQ$12:$AQ$258)</f>
        <v>0</v>
      </c>
      <c r="G28" s="1352"/>
      <c r="H28" s="1351">
        <f>SUMIF('D-2 Off-Site Habitat Creation'!$AF$11:$AF$256,'Off-site gain site summary'!B28,'D-2 Off-Site Habitat Creation'!$AB$11:$AB$256)</f>
        <v>0</v>
      </c>
      <c r="I28" s="1352"/>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3"/>
      <c r="AF28" s="1353"/>
    </row>
    <row r="29" spans="1:32">
      <c r="A29" s="757">
        <f>'D-1 Off-Site Habitat Baseline'!AF33</f>
        <v>0</v>
      </c>
      <c r="B29" s="764"/>
      <c r="C29" s="762">
        <f>SUMIF('D-1 Off-Site Habitat Baseline'!AF33:AF36,B29,'D-1 Off-Site Habitat Baseline'!T33:T36)</f>
        <v>0</v>
      </c>
      <c r="D29" s="1351">
        <f>SUMIF('D-1 Off-Site Habitat Baseline'!$AF$11:$AF$258,'Off-site gain site summary'!$B$7,'D-1 Off-Site Habitat Baseline'!$X$11:$X$258)</f>
        <v>0</v>
      </c>
      <c r="E29" s="1352"/>
      <c r="F29" s="1351">
        <f>SUMIF('D-3 Off-Site Habitat Enhancment'!$AU$12:$AU$258,'Off-site gain site summary'!B29,'D-3 Off-Site Habitat Enhancment'!$AQ$12:$AQ$258)</f>
        <v>0</v>
      </c>
      <c r="G29" s="1352"/>
      <c r="H29" s="1351">
        <f>SUMIF('D-2 Off-Site Habitat Creation'!$AF$11:$AF$256,'Off-site gain site summary'!B29,'D-2 Off-Site Habitat Creation'!$AB$11:$AB$256)</f>
        <v>0</v>
      </c>
      <c r="I29" s="1352"/>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3"/>
      <c r="AF29" s="1353"/>
    </row>
    <row r="30" spans="1:32">
      <c r="A30" s="757">
        <f>'D-1 Off-Site Habitat Baseline'!AF34</f>
        <v>0</v>
      </c>
      <c r="B30" s="764"/>
      <c r="C30" s="762">
        <f>SUMIF('D-1 Off-Site Habitat Baseline'!AF34:AF37,B30,'D-1 Off-Site Habitat Baseline'!T34:T37)</f>
        <v>0</v>
      </c>
      <c r="D30" s="1351">
        <f>SUMIF('D-1 Off-Site Habitat Baseline'!$AF$11:$AF$258,'Off-site gain site summary'!$B$7,'D-1 Off-Site Habitat Baseline'!$X$11:$X$258)</f>
        <v>0</v>
      </c>
      <c r="E30" s="1352"/>
      <c r="F30" s="1351">
        <f>SUMIF('D-3 Off-Site Habitat Enhancment'!$AU$12:$AU$258,'Off-site gain site summary'!B30,'D-3 Off-Site Habitat Enhancment'!$AQ$12:$AQ$258)</f>
        <v>0</v>
      </c>
      <c r="G30" s="1352"/>
      <c r="H30" s="1351">
        <f>SUMIF('D-2 Off-Site Habitat Creation'!$AF$11:$AF$256,'Off-site gain site summary'!B30,'D-2 Off-Site Habitat Creation'!$AB$11:$AB$256)</f>
        <v>0</v>
      </c>
      <c r="I30" s="1352"/>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3"/>
      <c r="AF30" s="1353"/>
    </row>
    <row r="31" spans="1:32">
      <c r="A31" s="757">
        <f>'D-1 Off-Site Habitat Baseline'!AF35</f>
        <v>0</v>
      </c>
      <c r="B31" s="764"/>
      <c r="C31" s="762">
        <f>SUMIF('D-1 Off-Site Habitat Baseline'!AF35:AF38,B31,'D-1 Off-Site Habitat Baseline'!T35:T38)</f>
        <v>0</v>
      </c>
      <c r="D31" s="1351">
        <f>SUMIF('D-1 Off-Site Habitat Baseline'!$AF$11:$AF$258,'Off-site gain site summary'!$B$7,'D-1 Off-Site Habitat Baseline'!$X$11:$X$258)</f>
        <v>0</v>
      </c>
      <c r="E31" s="1352"/>
      <c r="F31" s="1351">
        <f>SUMIF('D-3 Off-Site Habitat Enhancment'!$AU$12:$AU$258,'Off-site gain site summary'!B31,'D-3 Off-Site Habitat Enhancment'!$AQ$12:$AQ$258)</f>
        <v>0</v>
      </c>
      <c r="G31" s="1352"/>
      <c r="H31" s="1351">
        <f>SUMIF('D-2 Off-Site Habitat Creation'!$AF$11:$AF$256,'Off-site gain site summary'!B31,'D-2 Off-Site Habitat Creation'!$AB$11:$AB$256)</f>
        <v>0</v>
      </c>
      <c r="I31" s="1352"/>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3"/>
      <c r="AF31" s="1353"/>
    </row>
    <row r="32" spans="1:32">
      <c r="A32" s="757">
        <f>'D-1 Off-Site Habitat Baseline'!AF36</f>
        <v>0</v>
      </c>
      <c r="B32" s="764"/>
      <c r="C32" s="762">
        <f>SUMIF('D-1 Off-Site Habitat Baseline'!AF36:AF39,B32,'D-1 Off-Site Habitat Baseline'!T36:T39)</f>
        <v>0</v>
      </c>
      <c r="D32" s="1351">
        <f>SUMIF('D-1 Off-Site Habitat Baseline'!$AF$11:$AF$258,'Off-site gain site summary'!$B$7,'D-1 Off-Site Habitat Baseline'!$X$11:$X$258)</f>
        <v>0</v>
      </c>
      <c r="E32" s="1352"/>
      <c r="F32" s="1351">
        <f>SUMIF('D-3 Off-Site Habitat Enhancment'!$AU$12:$AU$258,'Off-site gain site summary'!B32,'D-3 Off-Site Habitat Enhancment'!$AQ$12:$AQ$258)</f>
        <v>0</v>
      </c>
      <c r="G32" s="1352"/>
      <c r="H32" s="1351">
        <f>SUMIF('D-2 Off-Site Habitat Creation'!$AF$11:$AF$256,'Off-site gain site summary'!B32,'D-2 Off-Site Habitat Creation'!$AB$11:$AB$256)</f>
        <v>0</v>
      </c>
      <c r="I32" s="1352"/>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3"/>
      <c r="AF32" s="1353"/>
    </row>
    <row r="33" spans="1:32">
      <c r="A33" s="757">
        <f>'D-1 Off-Site Habitat Baseline'!AF37</f>
        <v>0</v>
      </c>
      <c r="B33" s="764"/>
      <c r="C33" s="762">
        <f>SUMIF('D-1 Off-Site Habitat Baseline'!AF37:AF40,B33,'D-1 Off-Site Habitat Baseline'!T37:T40)</f>
        <v>0</v>
      </c>
      <c r="D33" s="1351">
        <f>SUMIF('D-1 Off-Site Habitat Baseline'!$AF$11:$AF$258,'Off-site gain site summary'!$B$7,'D-1 Off-Site Habitat Baseline'!$X$11:$X$258)</f>
        <v>0</v>
      </c>
      <c r="E33" s="1352"/>
      <c r="F33" s="1351">
        <f>SUMIF('D-3 Off-Site Habitat Enhancment'!$AU$12:$AU$258,'Off-site gain site summary'!B33,'D-3 Off-Site Habitat Enhancment'!$AQ$12:$AQ$258)</f>
        <v>0</v>
      </c>
      <c r="G33" s="1352"/>
      <c r="H33" s="1351">
        <f>SUMIF('D-2 Off-Site Habitat Creation'!$AF$11:$AF$256,'Off-site gain site summary'!B33,'D-2 Off-Site Habitat Creation'!$AB$11:$AB$256)</f>
        <v>0</v>
      </c>
      <c r="I33" s="1352"/>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3"/>
      <c r="AF33" s="1353"/>
    </row>
    <row r="34" spans="1:32">
      <c r="A34" s="757">
        <f>'D-1 Off-Site Habitat Baseline'!AF38</f>
        <v>0</v>
      </c>
      <c r="B34" s="764"/>
      <c r="C34" s="762">
        <f>SUMIF('D-1 Off-Site Habitat Baseline'!AF38:AF41,B34,'D-1 Off-Site Habitat Baseline'!T38:T41)</f>
        <v>0</v>
      </c>
      <c r="D34" s="1351">
        <f>SUMIF('D-1 Off-Site Habitat Baseline'!$AF$11:$AF$258,'Off-site gain site summary'!$B$7,'D-1 Off-Site Habitat Baseline'!$X$11:$X$258)</f>
        <v>0</v>
      </c>
      <c r="E34" s="1352"/>
      <c r="F34" s="1351">
        <f>SUMIF('D-3 Off-Site Habitat Enhancment'!$AU$12:$AU$258,'Off-site gain site summary'!B34,'D-3 Off-Site Habitat Enhancment'!$AQ$12:$AQ$258)</f>
        <v>0</v>
      </c>
      <c r="G34" s="1352"/>
      <c r="H34" s="1351">
        <f>SUMIF('D-2 Off-Site Habitat Creation'!$AF$11:$AF$256,'Off-site gain site summary'!B34,'D-2 Off-Site Habitat Creation'!$AB$11:$AB$256)</f>
        <v>0</v>
      </c>
      <c r="I34" s="1352"/>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3"/>
      <c r="AF34" s="1353"/>
    </row>
    <row r="35" spans="1:32">
      <c r="A35" s="757">
        <f>'D-1 Off-Site Habitat Baseline'!AF39</f>
        <v>0</v>
      </c>
      <c r="B35" s="764"/>
      <c r="C35" s="762">
        <f>SUMIF('D-1 Off-Site Habitat Baseline'!AF39:AF42,B35,'D-1 Off-Site Habitat Baseline'!T39:T42)</f>
        <v>0</v>
      </c>
      <c r="D35" s="1351">
        <f>SUMIF('D-1 Off-Site Habitat Baseline'!$AF$11:$AF$258,'Off-site gain site summary'!$B$7,'D-1 Off-Site Habitat Baseline'!$X$11:$X$258)</f>
        <v>0</v>
      </c>
      <c r="E35" s="1352"/>
      <c r="F35" s="1351">
        <f>SUMIF('D-3 Off-Site Habitat Enhancment'!$AU$12:$AU$258,'Off-site gain site summary'!B35,'D-3 Off-Site Habitat Enhancment'!$AQ$12:$AQ$258)</f>
        <v>0</v>
      </c>
      <c r="G35" s="1352"/>
      <c r="H35" s="1351">
        <f>SUMIF('D-2 Off-Site Habitat Creation'!$AF$11:$AF$256,'Off-site gain site summary'!B35,'D-2 Off-Site Habitat Creation'!$AB$11:$AB$256)</f>
        <v>0</v>
      </c>
      <c r="I35" s="1352"/>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3"/>
      <c r="AF35" s="1353"/>
    </row>
    <row r="36" spans="1:32">
      <c r="A36" s="757">
        <f>'D-1 Off-Site Habitat Baseline'!AF40</f>
        <v>0</v>
      </c>
      <c r="B36" s="764"/>
      <c r="C36" s="762">
        <f>SUMIF('D-1 Off-Site Habitat Baseline'!AF40:AF43,B36,'D-1 Off-Site Habitat Baseline'!T40:T43)</f>
        <v>0</v>
      </c>
      <c r="D36" s="1351">
        <f>SUMIF('D-1 Off-Site Habitat Baseline'!$AF$11:$AF$258,'Off-site gain site summary'!$B$7,'D-1 Off-Site Habitat Baseline'!$X$11:$X$258)</f>
        <v>0</v>
      </c>
      <c r="E36" s="1352"/>
      <c r="F36" s="1351">
        <f>SUMIF('D-3 Off-Site Habitat Enhancment'!$AU$12:$AU$258,'Off-site gain site summary'!B36,'D-3 Off-Site Habitat Enhancment'!$AQ$12:$AQ$258)</f>
        <v>0</v>
      </c>
      <c r="G36" s="1352"/>
      <c r="H36" s="1351">
        <f>SUMIF('D-2 Off-Site Habitat Creation'!$AF$11:$AF$256,'Off-site gain site summary'!B36,'D-2 Off-Site Habitat Creation'!$AB$11:$AB$256)</f>
        <v>0</v>
      </c>
      <c r="I36" s="1352"/>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3"/>
      <c r="AF36" s="1353"/>
    </row>
    <row r="37" spans="1:32">
      <c r="A37" s="757">
        <f>'D-1 Off-Site Habitat Baseline'!AF41</f>
        <v>0</v>
      </c>
      <c r="B37" s="764"/>
      <c r="C37" s="762">
        <f>SUMIF('D-1 Off-Site Habitat Baseline'!AF41:AF44,B37,'D-1 Off-Site Habitat Baseline'!T41:T44)</f>
        <v>0</v>
      </c>
      <c r="D37" s="1351">
        <f>SUMIF('D-1 Off-Site Habitat Baseline'!$AF$11:$AF$258,'Off-site gain site summary'!$B$7,'D-1 Off-Site Habitat Baseline'!$X$11:$X$258)</f>
        <v>0</v>
      </c>
      <c r="E37" s="1352"/>
      <c r="F37" s="1351">
        <f>SUMIF('D-3 Off-Site Habitat Enhancment'!$AU$12:$AU$258,'Off-site gain site summary'!B37,'D-3 Off-Site Habitat Enhancment'!$AQ$12:$AQ$258)</f>
        <v>0</v>
      </c>
      <c r="G37" s="1352"/>
      <c r="H37" s="1351">
        <f>SUMIF('D-2 Off-Site Habitat Creation'!$AF$11:$AF$256,'Off-site gain site summary'!B37,'D-2 Off-Site Habitat Creation'!$AB$11:$AB$256)</f>
        <v>0</v>
      </c>
      <c r="I37" s="1352"/>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3"/>
      <c r="AF37" s="1353"/>
    </row>
    <row r="38" spans="1:32">
      <c r="A38" s="757">
        <f>'D-1 Off-Site Habitat Baseline'!AF42</f>
        <v>0</v>
      </c>
      <c r="B38" s="764"/>
      <c r="C38" s="762">
        <f>SUMIF('D-1 Off-Site Habitat Baseline'!AF42:AF45,B38,'D-1 Off-Site Habitat Baseline'!T42:T45)</f>
        <v>0</v>
      </c>
      <c r="D38" s="1351">
        <f>SUMIF('D-1 Off-Site Habitat Baseline'!$AF$11:$AF$258,'Off-site gain site summary'!$B$7,'D-1 Off-Site Habitat Baseline'!$X$11:$X$258)</f>
        <v>0</v>
      </c>
      <c r="E38" s="1352"/>
      <c r="F38" s="1351">
        <f>SUMIF('D-3 Off-Site Habitat Enhancment'!$AU$12:$AU$258,'Off-site gain site summary'!B38,'D-3 Off-Site Habitat Enhancment'!$AQ$12:$AQ$258)</f>
        <v>0</v>
      </c>
      <c r="G38" s="1352"/>
      <c r="H38" s="1351">
        <f>SUMIF('D-2 Off-Site Habitat Creation'!$AF$11:$AF$256,'Off-site gain site summary'!B38,'D-2 Off-Site Habitat Creation'!$AB$11:$AB$256)</f>
        <v>0</v>
      </c>
      <c r="I38" s="1352"/>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3"/>
      <c r="AF38" s="1353"/>
    </row>
    <row r="39" spans="1:32">
      <c r="A39" s="757">
        <f>'D-1 Off-Site Habitat Baseline'!AF43</f>
        <v>0</v>
      </c>
      <c r="B39" s="764"/>
      <c r="C39" s="762">
        <f>SUMIF('D-1 Off-Site Habitat Baseline'!AF43:AF46,B39,'D-1 Off-Site Habitat Baseline'!T43:T46)</f>
        <v>0</v>
      </c>
      <c r="D39" s="1351">
        <f>SUMIF('D-1 Off-Site Habitat Baseline'!$AF$11:$AF$258,'Off-site gain site summary'!$B$7,'D-1 Off-Site Habitat Baseline'!$X$11:$X$258)</f>
        <v>0</v>
      </c>
      <c r="E39" s="1352"/>
      <c r="F39" s="1351">
        <f>SUMIF('D-3 Off-Site Habitat Enhancment'!$AU$12:$AU$258,'Off-site gain site summary'!B39,'D-3 Off-Site Habitat Enhancment'!$AQ$12:$AQ$258)</f>
        <v>0</v>
      </c>
      <c r="G39" s="1352"/>
      <c r="H39" s="1351">
        <f>SUMIF('D-2 Off-Site Habitat Creation'!$AF$11:$AF$256,'Off-site gain site summary'!B39,'D-2 Off-Site Habitat Creation'!$AB$11:$AB$256)</f>
        <v>0</v>
      </c>
      <c r="I39" s="1352"/>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3"/>
      <c r="AF39" s="1353"/>
    </row>
    <row r="40" spans="1:32">
      <c r="A40" s="757">
        <f>'D-1 Off-Site Habitat Baseline'!AF44</f>
        <v>0</v>
      </c>
      <c r="B40" s="764"/>
      <c r="C40" s="762">
        <f>SUMIF('D-1 Off-Site Habitat Baseline'!AF44:AF47,B40,'D-1 Off-Site Habitat Baseline'!T44:T47)</f>
        <v>0</v>
      </c>
      <c r="D40" s="1351">
        <f>SUMIF('D-1 Off-Site Habitat Baseline'!$AF$11:$AF$258,'Off-site gain site summary'!$B$7,'D-1 Off-Site Habitat Baseline'!$X$11:$X$258)</f>
        <v>0</v>
      </c>
      <c r="E40" s="1352"/>
      <c r="F40" s="1351">
        <f>SUMIF('D-3 Off-Site Habitat Enhancment'!$AU$12:$AU$258,'Off-site gain site summary'!B40,'D-3 Off-Site Habitat Enhancment'!$AQ$12:$AQ$258)</f>
        <v>0</v>
      </c>
      <c r="G40" s="1352"/>
      <c r="H40" s="1351">
        <f>SUMIF('D-2 Off-Site Habitat Creation'!$AF$11:$AF$256,'Off-site gain site summary'!B40,'D-2 Off-Site Habitat Creation'!$AB$11:$AB$256)</f>
        <v>0</v>
      </c>
      <c r="I40" s="1352"/>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3"/>
      <c r="AF40" s="1353"/>
    </row>
    <row r="41" spans="1:32">
      <c r="A41" s="757">
        <f>'D-1 Off-Site Habitat Baseline'!AF45</f>
        <v>0</v>
      </c>
      <c r="B41" s="764"/>
      <c r="C41" s="762">
        <f>SUMIF('D-1 Off-Site Habitat Baseline'!AF45:AF48,B41,'D-1 Off-Site Habitat Baseline'!T45:T48)</f>
        <v>0</v>
      </c>
      <c r="D41" s="1351">
        <f>SUMIF('D-1 Off-Site Habitat Baseline'!$AF$11:$AF$258,'Off-site gain site summary'!$B$7,'D-1 Off-Site Habitat Baseline'!$X$11:$X$258)</f>
        <v>0</v>
      </c>
      <c r="E41" s="1352"/>
      <c r="F41" s="1351">
        <f>SUMIF('D-3 Off-Site Habitat Enhancment'!$AU$12:$AU$258,'Off-site gain site summary'!B41,'D-3 Off-Site Habitat Enhancment'!$AQ$12:$AQ$258)</f>
        <v>0</v>
      </c>
      <c r="G41" s="1352"/>
      <c r="H41" s="1351">
        <f>SUMIF('D-2 Off-Site Habitat Creation'!$AF$11:$AF$256,'Off-site gain site summary'!B41,'D-2 Off-Site Habitat Creation'!$AB$11:$AB$256)</f>
        <v>0</v>
      </c>
      <c r="I41" s="1352"/>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3"/>
      <c r="AF41" s="1353"/>
    </row>
    <row r="42" spans="1:32">
      <c r="A42" s="757">
        <f>'D-1 Off-Site Habitat Baseline'!AF46</f>
        <v>0</v>
      </c>
      <c r="B42" s="764"/>
      <c r="C42" s="762">
        <f>SUMIF('D-1 Off-Site Habitat Baseline'!AF46:AF49,B42,'D-1 Off-Site Habitat Baseline'!T46:T49)</f>
        <v>0</v>
      </c>
      <c r="D42" s="1351">
        <f>SUMIF('D-1 Off-Site Habitat Baseline'!$AF$11:$AF$258,'Off-site gain site summary'!$B$7,'D-1 Off-Site Habitat Baseline'!$X$11:$X$258)</f>
        <v>0</v>
      </c>
      <c r="E42" s="1352"/>
      <c r="F42" s="1351">
        <f>SUMIF('D-3 Off-Site Habitat Enhancment'!$AU$12:$AU$258,'Off-site gain site summary'!B42,'D-3 Off-Site Habitat Enhancment'!$AQ$12:$AQ$258)</f>
        <v>0</v>
      </c>
      <c r="G42" s="1352"/>
      <c r="H42" s="1351">
        <f>SUMIF('D-2 Off-Site Habitat Creation'!$AF$11:$AF$256,'Off-site gain site summary'!B42,'D-2 Off-Site Habitat Creation'!$AB$11:$AB$256)</f>
        <v>0</v>
      </c>
      <c r="I42" s="1352"/>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3"/>
      <c r="AF42" s="1353"/>
    </row>
    <row r="43" spans="1:32">
      <c r="A43" s="757">
        <f>'D-1 Off-Site Habitat Baseline'!AF47</f>
        <v>0</v>
      </c>
      <c r="B43" s="764"/>
      <c r="C43" s="762">
        <f>SUMIF('D-1 Off-Site Habitat Baseline'!AF47:AF50,B43,'D-1 Off-Site Habitat Baseline'!T47:T50)</f>
        <v>0</v>
      </c>
      <c r="D43" s="1351">
        <f>SUMIF('D-1 Off-Site Habitat Baseline'!$AF$11:$AF$258,'Off-site gain site summary'!$B$7,'D-1 Off-Site Habitat Baseline'!$X$11:$X$258)</f>
        <v>0</v>
      </c>
      <c r="E43" s="1352"/>
      <c r="F43" s="1351">
        <f>SUMIF('D-3 Off-Site Habitat Enhancment'!$AU$12:$AU$258,'Off-site gain site summary'!B43,'D-3 Off-Site Habitat Enhancment'!$AQ$12:$AQ$258)</f>
        <v>0</v>
      </c>
      <c r="G43" s="1352"/>
      <c r="H43" s="1351">
        <f>SUMIF('D-2 Off-Site Habitat Creation'!$AF$11:$AF$256,'Off-site gain site summary'!B43,'D-2 Off-Site Habitat Creation'!$AB$11:$AB$256)</f>
        <v>0</v>
      </c>
      <c r="I43" s="1352"/>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3"/>
      <c r="AF43" s="1353"/>
    </row>
    <row r="44" spans="1:32">
      <c r="A44" s="757">
        <f>'D-1 Off-Site Habitat Baseline'!AF48</f>
        <v>0</v>
      </c>
      <c r="B44" s="764"/>
      <c r="C44" s="762">
        <f>SUMIF('D-1 Off-Site Habitat Baseline'!AF48:AF51,B44,'D-1 Off-Site Habitat Baseline'!T48:T51)</f>
        <v>0</v>
      </c>
      <c r="D44" s="1351">
        <f>SUMIF('D-1 Off-Site Habitat Baseline'!$AF$11:$AF$258,'Off-site gain site summary'!$B$7,'D-1 Off-Site Habitat Baseline'!$X$11:$X$258)</f>
        <v>0</v>
      </c>
      <c r="E44" s="1352"/>
      <c r="F44" s="1351">
        <f>SUMIF('D-3 Off-Site Habitat Enhancment'!$AU$12:$AU$258,'Off-site gain site summary'!B44,'D-3 Off-Site Habitat Enhancment'!$AQ$12:$AQ$258)</f>
        <v>0</v>
      </c>
      <c r="G44" s="1352"/>
      <c r="H44" s="1351">
        <f>SUMIF('D-2 Off-Site Habitat Creation'!$AF$11:$AF$256,'Off-site gain site summary'!B44,'D-2 Off-Site Habitat Creation'!$AB$11:$AB$256)</f>
        <v>0</v>
      </c>
      <c r="I44" s="1352"/>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3"/>
      <c r="AF44" s="1353"/>
    </row>
    <row r="45" spans="1:32">
      <c r="A45" s="757">
        <f>'D-1 Off-Site Habitat Baseline'!AF49</f>
        <v>0</v>
      </c>
      <c r="B45" s="764"/>
      <c r="C45" s="762">
        <f>SUMIF('D-1 Off-Site Habitat Baseline'!AF49:AF52,B45,'D-1 Off-Site Habitat Baseline'!T49:T52)</f>
        <v>0</v>
      </c>
      <c r="D45" s="1351">
        <f>SUMIF('D-1 Off-Site Habitat Baseline'!$AF$11:$AF$258,'Off-site gain site summary'!$B$7,'D-1 Off-Site Habitat Baseline'!$X$11:$X$258)</f>
        <v>0</v>
      </c>
      <c r="E45" s="1352"/>
      <c r="F45" s="1351">
        <f>SUMIF('D-3 Off-Site Habitat Enhancment'!$AU$12:$AU$258,'Off-site gain site summary'!B45,'D-3 Off-Site Habitat Enhancment'!$AQ$12:$AQ$258)</f>
        <v>0</v>
      </c>
      <c r="G45" s="1352"/>
      <c r="H45" s="1351">
        <f>SUMIF('D-2 Off-Site Habitat Creation'!$AF$11:$AF$256,'Off-site gain site summary'!B45,'D-2 Off-Site Habitat Creation'!$AB$11:$AB$256)</f>
        <v>0</v>
      </c>
      <c r="I45" s="1352"/>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3"/>
      <c r="AF45" s="1353"/>
    </row>
    <row r="46" spans="1:32">
      <c r="A46" s="757">
        <f>'D-1 Off-Site Habitat Baseline'!AF50</f>
        <v>0</v>
      </c>
      <c r="B46" s="764"/>
      <c r="C46" s="762">
        <f>SUMIF('D-1 Off-Site Habitat Baseline'!AF50:AF53,B46,'D-1 Off-Site Habitat Baseline'!T50:T53)</f>
        <v>0</v>
      </c>
      <c r="D46" s="1351">
        <f>SUMIF('D-1 Off-Site Habitat Baseline'!$AF$11:$AF$258,'Off-site gain site summary'!$B$7,'D-1 Off-Site Habitat Baseline'!$X$11:$X$258)</f>
        <v>0</v>
      </c>
      <c r="E46" s="1352"/>
      <c r="F46" s="1351">
        <f>SUMIF('D-3 Off-Site Habitat Enhancment'!$AU$12:$AU$258,'Off-site gain site summary'!B46,'D-3 Off-Site Habitat Enhancment'!$AQ$12:$AQ$258)</f>
        <v>0</v>
      </c>
      <c r="G46" s="1352"/>
      <c r="H46" s="1351">
        <f>SUMIF('D-2 Off-Site Habitat Creation'!$AF$11:$AF$256,'Off-site gain site summary'!B46,'D-2 Off-Site Habitat Creation'!$AB$11:$AB$256)</f>
        <v>0</v>
      </c>
      <c r="I46" s="1352"/>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3"/>
      <c r="AF46" s="1353"/>
    </row>
    <row r="47" spans="1:32">
      <c r="A47" s="757">
        <f>'D-1 Off-Site Habitat Baseline'!AF51</f>
        <v>0</v>
      </c>
      <c r="B47" s="764"/>
      <c r="C47" s="762">
        <f>SUMIF('D-1 Off-Site Habitat Baseline'!AF51:AF54,B47,'D-1 Off-Site Habitat Baseline'!T51:T54)</f>
        <v>0</v>
      </c>
      <c r="D47" s="1351">
        <f>SUMIF('D-1 Off-Site Habitat Baseline'!$AF$11:$AF$258,'Off-site gain site summary'!$B$7,'D-1 Off-Site Habitat Baseline'!$X$11:$X$258)</f>
        <v>0</v>
      </c>
      <c r="E47" s="1352"/>
      <c r="F47" s="1351">
        <f>SUMIF('D-3 Off-Site Habitat Enhancment'!$AU$12:$AU$258,'Off-site gain site summary'!B47,'D-3 Off-Site Habitat Enhancment'!$AQ$12:$AQ$258)</f>
        <v>0</v>
      </c>
      <c r="G47" s="1352"/>
      <c r="H47" s="1351">
        <f>SUMIF('D-2 Off-Site Habitat Creation'!$AF$11:$AF$256,'Off-site gain site summary'!B47,'D-2 Off-Site Habitat Creation'!$AB$11:$AB$256)</f>
        <v>0</v>
      </c>
      <c r="I47" s="1352"/>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3"/>
      <c r="AF47" s="1353"/>
    </row>
    <row r="48" spans="1:32">
      <c r="A48" s="757">
        <f>'D-1 Off-Site Habitat Baseline'!AF52</f>
        <v>0</v>
      </c>
      <c r="B48" s="764"/>
      <c r="C48" s="762">
        <f>SUMIF('D-1 Off-Site Habitat Baseline'!AF52:AF55,B48,'D-1 Off-Site Habitat Baseline'!T52:T55)</f>
        <v>0</v>
      </c>
      <c r="D48" s="1351">
        <f>SUMIF('D-1 Off-Site Habitat Baseline'!$AF$11:$AF$258,'Off-site gain site summary'!$B$7,'D-1 Off-Site Habitat Baseline'!$X$11:$X$258)</f>
        <v>0</v>
      </c>
      <c r="E48" s="1352"/>
      <c r="F48" s="1351">
        <f>SUMIF('D-3 Off-Site Habitat Enhancment'!$AU$12:$AU$258,'Off-site gain site summary'!B48,'D-3 Off-Site Habitat Enhancment'!$AQ$12:$AQ$258)</f>
        <v>0</v>
      </c>
      <c r="G48" s="1352"/>
      <c r="H48" s="1351">
        <f>SUMIF('D-2 Off-Site Habitat Creation'!$AF$11:$AF$256,'Off-site gain site summary'!B48,'D-2 Off-Site Habitat Creation'!$AB$11:$AB$256)</f>
        <v>0</v>
      </c>
      <c r="I48" s="1352"/>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3"/>
      <c r="AF48" s="1353"/>
    </row>
    <row r="49" spans="1:32">
      <c r="A49" s="757">
        <f>'D-1 Off-Site Habitat Baseline'!AF53</f>
        <v>0</v>
      </c>
      <c r="B49" s="764"/>
      <c r="C49" s="762">
        <f>SUMIF('D-1 Off-Site Habitat Baseline'!AF53:AF56,B49,'D-1 Off-Site Habitat Baseline'!T53:T56)</f>
        <v>0</v>
      </c>
      <c r="D49" s="1351">
        <f>SUMIF('D-1 Off-Site Habitat Baseline'!$AF$11:$AF$258,'Off-site gain site summary'!$B$7,'D-1 Off-Site Habitat Baseline'!$X$11:$X$258)</f>
        <v>0</v>
      </c>
      <c r="E49" s="1352"/>
      <c r="F49" s="1351">
        <f>SUMIF('D-3 Off-Site Habitat Enhancment'!$AU$12:$AU$258,'Off-site gain site summary'!B49,'D-3 Off-Site Habitat Enhancment'!$AQ$12:$AQ$258)</f>
        <v>0</v>
      </c>
      <c r="G49" s="1352"/>
      <c r="H49" s="1351">
        <f>SUMIF('D-2 Off-Site Habitat Creation'!$AF$11:$AF$256,'Off-site gain site summary'!B49,'D-2 Off-Site Habitat Creation'!$AB$11:$AB$256)</f>
        <v>0</v>
      </c>
      <c r="I49" s="1352"/>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3"/>
      <c r="AF49" s="1353"/>
    </row>
    <row r="50" spans="1:32">
      <c r="A50" s="757">
        <f>'D-1 Off-Site Habitat Baseline'!AF54</f>
        <v>0</v>
      </c>
      <c r="B50" s="764"/>
      <c r="C50" s="762">
        <f>SUMIF('D-1 Off-Site Habitat Baseline'!AF54:AF57,B50,'D-1 Off-Site Habitat Baseline'!T54:T57)</f>
        <v>0</v>
      </c>
      <c r="D50" s="1351">
        <f>SUMIF('D-1 Off-Site Habitat Baseline'!$AF$11:$AF$258,'Off-site gain site summary'!$B$7,'D-1 Off-Site Habitat Baseline'!$X$11:$X$258)</f>
        <v>0</v>
      </c>
      <c r="E50" s="1352"/>
      <c r="F50" s="1351">
        <f>SUMIF('D-3 Off-Site Habitat Enhancment'!$AU$12:$AU$258,'Off-site gain site summary'!B50,'D-3 Off-Site Habitat Enhancment'!$AQ$12:$AQ$258)</f>
        <v>0</v>
      </c>
      <c r="G50" s="1352"/>
      <c r="H50" s="1351">
        <f>SUMIF('D-2 Off-Site Habitat Creation'!$AF$11:$AF$256,'Off-site gain site summary'!B50,'D-2 Off-Site Habitat Creation'!$AB$11:$AB$256)</f>
        <v>0</v>
      </c>
      <c r="I50" s="1352"/>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3"/>
      <c r="AF50" s="1353"/>
    </row>
    <row r="51" spans="1:32">
      <c r="A51" s="757">
        <f>'D-1 Off-Site Habitat Baseline'!AF55</f>
        <v>0</v>
      </c>
      <c r="B51" s="764"/>
      <c r="C51" s="762">
        <f>SUMIF('D-1 Off-Site Habitat Baseline'!AF55:AF58,B51,'D-1 Off-Site Habitat Baseline'!T55:T58)</f>
        <v>0</v>
      </c>
      <c r="D51" s="1351">
        <f>SUMIF('D-1 Off-Site Habitat Baseline'!$AF$11:$AF$258,'Off-site gain site summary'!$B$7,'D-1 Off-Site Habitat Baseline'!$X$11:$X$258)</f>
        <v>0</v>
      </c>
      <c r="E51" s="1352"/>
      <c r="F51" s="1351">
        <f>SUMIF('D-3 Off-Site Habitat Enhancment'!$AU$12:$AU$258,'Off-site gain site summary'!B51,'D-3 Off-Site Habitat Enhancment'!$AQ$12:$AQ$258)</f>
        <v>0</v>
      </c>
      <c r="G51" s="1352"/>
      <c r="H51" s="1351">
        <f>SUMIF('D-2 Off-Site Habitat Creation'!$AF$11:$AF$256,'Off-site gain site summary'!B51,'D-2 Off-Site Habitat Creation'!$AB$11:$AB$256)</f>
        <v>0</v>
      </c>
      <c r="I51" s="1352"/>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3"/>
      <c r="AF51" s="1353"/>
    </row>
    <row r="52" spans="1:32">
      <c r="A52" s="757">
        <f>'D-1 Off-Site Habitat Baseline'!AF56</f>
        <v>0</v>
      </c>
      <c r="B52" s="764"/>
      <c r="C52" s="762">
        <f>SUMIF('D-1 Off-Site Habitat Baseline'!AF56:AF59,B52,'D-1 Off-Site Habitat Baseline'!T56:T59)</f>
        <v>0</v>
      </c>
      <c r="D52" s="1351">
        <f>SUMIF('D-1 Off-Site Habitat Baseline'!$AF$11:$AF$258,'Off-site gain site summary'!$B$7,'D-1 Off-Site Habitat Baseline'!$X$11:$X$258)</f>
        <v>0</v>
      </c>
      <c r="E52" s="1352"/>
      <c r="F52" s="1351">
        <f>SUMIF('D-3 Off-Site Habitat Enhancment'!$AU$12:$AU$258,'Off-site gain site summary'!B52,'D-3 Off-Site Habitat Enhancment'!$AQ$12:$AQ$258)</f>
        <v>0</v>
      </c>
      <c r="G52" s="1352"/>
      <c r="H52" s="1351">
        <f>SUMIF('D-2 Off-Site Habitat Creation'!$AF$11:$AF$256,'Off-site gain site summary'!B52,'D-2 Off-Site Habitat Creation'!$AB$11:$AB$256)</f>
        <v>0</v>
      </c>
      <c r="I52" s="1352"/>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3"/>
      <c r="AF52" s="1353"/>
    </row>
    <row r="53" spans="1:32">
      <c r="A53" s="757">
        <f>'D-1 Off-Site Habitat Baseline'!AF57</f>
        <v>0</v>
      </c>
      <c r="B53" s="764"/>
      <c r="C53" s="762">
        <f>SUMIF('D-1 Off-Site Habitat Baseline'!AF57:AF60,B53,'D-1 Off-Site Habitat Baseline'!T57:T60)</f>
        <v>0</v>
      </c>
      <c r="D53" s="1351">
        <f>SUMIF('D-1 Off-Site Habitat Baseline'!$AF$11:$AF$258,'Off-site gain site summary'!$B$7,'D-1 Off-Site Habitat Baseline'!$X$11:$X$258)</f>
        <v>0</v>
      </c>
      <c r="E53" s="1352"/>
      <c r="F53" s="1351">
        <f>SUMIF('D-3 Off-Site Habitat Enhancment'!$AU$12:$AU$258,'Off-site gain site summary'!B53,'D-3 Off-Site Habitat Enhancment'!$AQ$12:$AQ$258)</f>
        <v>0</v>
      </c>
      <c r="G53" s="1352"/>
      <c r="H53" s="1351">
        <f>SUMIF('D-2 Off-Site Habitat Creation'!$AF$11:$AF$256,'Off-site gain site summary'!B53,'D-2 Off-Site Habitat Creation'!$AB$11:$AB$256)</f>
        <v>0</v>
      </c>
      <c r="I53" s="1352"/>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3"/>
      <c r="AF53" s="1353"/>
    </row>
    <row r="54" spans="1:32">
      <c r="A54" s="757">
        <f>'D-1 Off-Site Habitat Baseline'!AF58</f>
        <v>0</v>
      </c>
      <c r="B54" s="764"/>
      <c r="C54" s="762">
        <f>SUMIF('D-1 Off-Site Habitat Baseline'!AF58:AF61,B54,'D-1 Off-Site Habitat Baseline'!T58:T61)</f>
        <v>0</v>
      </c>
      <c r="D54" s="1351">
        <f>SUMIF('D-1 Off-Site Habitat Baseline'!$AF$11:$AF$258,'Off-site gain site summary'!$B$7,'D-1 Off-Site Habitat Baseline'!$X$11:$X$258)</f>
        <v>0</v>
      </c>
      <c r="E54" s="1352"/>
      <c r="F54" s="1351">
        <f>SUMIF('D-3 Off-Site Habitat Enhancment'!$AU$12:$AU$258,'Off-site gain site summary'!B54,'D-3 Off-Site Habitat Enhancment'!$AQ$12:$AQ$258)</f>
        <v>0</v>
      </c>
      <c r="G54" s="1352"/>
      <c r="H54" s="1351">
        <f>SUMIF('D-2 Off-Site Habitat Creation'!$AF$11:$AF$256,'Off-site gain site summary'!B54,'D-2 Off-Site Habitat Creation'!$AB$11:$AB$256)</f>
        <v>0</v>
      </c>
      <c r="I54" s="1352"/>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3"/>
      <c r="AF54" s="1353"/>
    </row>
    <row r="55" spans="1:32">
      <c r="A55" s="757">
        <f>'D-1 Off-Site Habitat Baseline'!AF59</f>
        <v>0</v>
      </c>
      <c r="B55" s="764"/>
      <c r="C55" s="762">
        <f>SUMIF('D-1 Off-Site Habitat Baseline'!AF59:AF62,B55,'D-1 Off-Site Habitat Baseline'!T59:T62)</f>
        <v>0</v>
      </c>
      <c r="D55" s="1351">
        <f>SUMIF('D-1 Off-Site Habitat Baseline'!$AF$11:$AF$258,'Off-site gain site summary'!$B$7,'D-1 Off-Site Habitat Baseline'!$X$11:$X$258)</f>
        <v>0</v>
      </c>
      <c r="E55" s="1352"/>
      <c r="F55" s="1351">
        <f>SUMIF('D-3 Off-Site Habitat Enhancment'!$AU$12:$AU$258,'Off-site gain site summary'!B55,'D-3 Off-Site Habitat Enhancment'!$AQ$12:$AQ$258)</f>
        <v>0</v>
      </c>
      <c r="G55" s="1352"/>
      <c r="H55" s="1351">
        <f>SUMIF('D-2 Off-Site Habitat Creation'!$AF$11:$AF$256,'Off-site gain site summary'!B55,'D-2 Off-Site Habitat Creation'!$AB$11:$AB$256)</f>
        <v>0</v>
      </c>
      <c r="I55" s="1352"/>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3"/>
      <c r="AF55" s="1353"/>
    </row>
    <row r="56" spans="1:32">
      <c r="A56" s="757">
        <f>'D-1 Off-Site Habitat Baseline'!AF60</f>
        <v>0</v>
      </c>
      <c r="B56" s="764"/>
      <c r="C56" s="762">
        <f>SUMIF('D-1 Off-Site Habitat Baseline'!AF60:AF63,B56,'D-1 Off-Site Habitat Baseline'!T60:T63)</f>
        <v>0</v>
      </c>
      <c r="D56" s="1351">
        <f>SUMIF('D-1 Off-Site Habitat Baseline'!$AF$11:$AF$258,'Off-site gain site summary'!$B$7,'D-1 Off-Site Habitat Baseline'!$X$11:$X$258)</f>
        <v>0</v>
      </c>
      <c r="E56" s="1352"/>
      <c r="F56" s="1351">
        <f>SUMIF('D-3 Off-Site Habitat Enhancment'!$AU$12:$AU$258,'Off-site gain site summary'!B56,'D-3 Off-Site Habitat Enhancment'!$AQ$12:$AQ$258)</f>
        <v>0</v>
      </c>
      <c r="G56" s="1352"/>
      <c r="H56" s="1351">
        <f>SUMIF('D-2 Off-Site Habitat Creation'!$AF$11:$AF$256,'Off-site gain site summary'!B56,'D-2 Off-Site Habitat Creation'!$AB$11:$AB$256)</f>
        <v>0</v>
      </c>
      <c r="I56" s="1352"/>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3"/>
      <c r="AF56" s="1353"/>
    </row>
    <row r="57" spans="1:32">
      <c r="A57" s="757">
        <f>'D-1 Off-Site Habitat Baseline'!AF61</f>
        <v>0</v>
      </c>
      <c r="B57" s="764"/>
      <c r="C57" s="762">
        <f>SUMIF('D-1 Off-Site Habitat Baseline'!AF61:AF64,B57,'D-1 Off-Site Habitat Baseline'!T61:T64)</f>
        <v>0</v>
      </c>
      <c r="D57" s="1351">
        <f>SUMIF('D-1 Off-Site Habitat Baseline'!$AF$11:$AF$258,'Off-site gain site summary'!$B$7,'D-1 Off-Site Habitat Baseline'!$X$11:$X$258)</f>
        <v>0</v>
      </c>
      <c r="E57" s="1352"/>
      <c r="F57" s="1351">
        <f>SUMIF('D-3 Off-Site Habitat Enhancment'!$AU$12:$AU$258,'Off-site gain site summary'!B57,'D-3 Off-Site Habitat Enhancment'!$AQ$12:$AQ$258)</f>
        <v>0</v>
      </c>
      <c r="G57" s="1352"/>
      <c r="H57" s="1351">
        <f>SUMIF('D-2 Off-Site Habitat Creation'!$AF$11:$AF$256,'Off-site gain site summary'!B57,'D-2 Off-Site Habitat Creation'!$AB$11:$AB$256)</f>
        <v>0</v>
      </c>
      <c r="I57" s="1352"/>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3"/>
      <c r="AF57" s="1353"/>
    </row>
    <row r="58" spans="1:32">
      <c r="A58" s="757">
        <f>'D-1 Off-Site Habitat Baseline'!AF62</f>
        <v>0</v>
      </c>
      <c r="B58" s="764"/>
      <c r="C58" s="762">
        <f>SUMIF('D-1 Off-Site Habitat Baseline'!AF62:AF65,B58,'D-1 Off-Site Habitat Baseline'!T62:T65)</f>
        <v>0</v>
      </c>
      <c r="D58" s="1351">
        <f>SUMIF('D-1 Off-Site Habitat Baseline'!$AF$11:$AF$258,'Off-site gain site summary'!$B$7,'D-1 Off-Site Habitat Baseline'!$X$11:$X$258)</f>
        <v>0</v>
      </c>
      <c r="E58" s="1352"/>
      <c r="F58" s="1351">
        <f>SUMIF('D-3 Off-Site Habitat Enhancment'!$AU$12:$AU$258,'Off-site gain site summary'!B58,'D-3 Off-Site Habitat Enhancment'!$AQ$12:$AQ$258)</f>
        <v>0</v>
      </c>
      <c r="G58" s="1352"/>
      <c r="H58" s="1351">
        <f>SUMIF('D-2 Off-Site Habitat Creation'!$AF$11:$AF$256,'Off-site gain site summary'!B58,'D-2 Off-Site Habitat Creation'!$AB$11:$AB$256)</f>
        <v>0</v>
      </c>
      <c r="I58" s="1352"/>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3"/>
      <c r="AF58" s="1353"/>
    </row>
    <row r="59" spans="1:32">
      <c r="A59" s="757">
        <f>'D-1 Off-Site Habitat Baseline'!AF63</f>
        <v>0</v>
      </c>
      <c r="B59" s="764"/>
      <c r="C59" s="762">
        <f>SUMIF('D-1 Off-Site Habitat Baseline'!AF63:AF66,B59,'D-1 Off-Site Habitat Baseline'!T63:T66)</f>
        <v>0</v>
      </c>
      <c r="D59" s="1351">
        <f>SUMIF('D-1 Off-Site Habitat Baseline'!$AF$11:$AF$258,'Off-site gain site summary'!$B$7,'D-1 Off-Site Habitat Baseline'!$X$11:$X$258)</f>
        <v>0</v>
      </c>
      <c r="E59" s="1352"/>
      <c r="F59" s="1351">
        <f>SUMIF('D-3 Off-Site Habitat Enhancment'!$AU$12:$AU$258,'Off-site gain site summary'!B59,'D-3 Off-Site Habitat Enhancment'!$AQ$12:$AQ$258)</f>
        <v>0</v>
      </c>
      <c r="G59" s="1352"/>
      <c r="H59" s="1351">
        <f>SUMIF('D-2 Off-Site Habitat Creation'!$AF$11:$AF$256,'Off-site gain site summary'!B59,'D-2 Off-Site Habitat Creation'!$AB$11:$AB$256)</f>
        <v>0</v>
      </c>
      <c r="I59" s="1352"/>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3"/>
      <c r="AF59" s="1353"/>
    </row>
    <row r="60" spans="1:32">
      <c r="A60" s="757">
        <f>'D-1 Off-Site Habitat Baseline'!AF64</f>
        <v>0</v>
      </c>
      <c r="B60" s="764"/>
      <c r="C60" s="762">
        <f>SUMIF('D-1 Off-Site Habitat Baseline'!AF64:AF67,B60,'D-1 Off-Site Habitat Baseline'!T64:T67)</f>
        <v>0</v>
      </c>
      <c r="D60" s="1351">
        <f>SUMIF('D-1 Off-Site Habitat Baseline'!$AF$11:$AF$258,'Off-site gain site summary'!$B$7,'D-1 Off-Site Habitat Baseline'!$X$11:$X$258)</f>
        <v>0</v>
      </c>
      <c r="E60" s="1352"/>
      <c r="F60" s="1351">
        <f>SUMIF('D-3 Off-Site Habitat Enhancment'!$AU$12:$AU$258,'Off-site gain site summary'!B60,'D-3 Off-Site Habitat Enhancment'!$AQ$12:$AQ$258)</f>
        <v>0</v>
      </c>
      <c r="G60" s="1352"/>
      <c r="H60" s="1351">
        <f>SUMIF('D-2 Off-Site Habitat Creation'!$AF$11:$AF$256,'Off-site gain site summary'!B60,'D-2 Off-Site Habitat Creation'!$AB$11:$AB$256)</f>
        <v>0</v>
      </c>
      <c r="I60" s="1352"/>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3"/>
      <c r="AF60" s="1353"/>
    </row>
    <row r="61" spans="1:32">
      <c r="A61" s="757">
        <f>'D-1 Off-Site Habitat Baseline'!AF65</f>
        <v>0</v>
      </c>
      <c r="B61" s="764"/>
      <c r="C61" s="762">
        <f>SUMIF('D-1 Off-Site Habitat Baseline'!AF65:AF68,B61,'D-1 Off-Site Habitat Baseline'!T65:T68)</f>
        <v>0</v>
      </c>
      <c r="D61" s="1351">
        <f>SUMIF('D-1 Off-Site Habitat Baseline'!$AF$11:$AF$258,'Off-site gain site summary'!$B$7,'D-1 Off-Site Habitat Baseline'!$X$11:$X$258)</f>
        <v>0</v>
      </c>
      <c r="E61" s="1352"/>
      <c r="F61" s="1351">
        <f>SUMIF('D-3 Off-Site Habitat Enhancment'!$AU$12:$AU$258,'Off-site gain site summary'!B61,'D-3 Off-Site Habitat Enhancment'!$AQ$12:$AQ$258)</f>
        <v>0</v>
      </c>
      <c r="G61" s="1352"/>
      <c r="H61" s="1351">
        <f>SUMIF('D-2 Off-Site Habitat Creation'!$AF$11:$AF$256,'Off-site gain site summary'!B61,'D-2 Off-Site Habitat Creation'!$AB$11:$AB$256)</f>
        <v>0</v>
      </c>
      <c r="I61" s="1352"/>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3"/>
      <c r="AF61" s="1353"/>
    </row>
    <row r="62" spans="1:32">
      <c r="A62" s="757">
        <f>'D-1 Off-Site Habitat Baseline'!AF66</f>
        <v>0</v>
      </c>
      <c r="B62" s="764"/>
      <c r="C62" s="762">
        <f>SUMIF('D-1 Off-Site Habitat Baseline'!AF66:AF69,B62,'D-1 Off-Site Habitat Baseline'!T66:T69)</f>
        <v>0</v>
      </c>
      <c r="D62" s="1351">
        <f>SUMIF('D-1 Off-Site Habitat Baseline'!$AF$11:$AF$258,'Off-site gain site summary'!$B$7,'D-1 Off-Site Habitat Baseline'!$X$11:$X$258)</f>
        <v>0</v>
      </c>
      <c r="E62" s="1352"/>
      <c r="F62" s="1351">
        <f>SUMIF('D-3 Off-Site Habitat Enhancment'!$AU$12:$AU$258,'Off-site gain site summary'!B62,'D-3 Off-Site Habitat Enhancment'!$AQ$12:$AQ$258)</f>
        <v>0</v>
      </c>
      <c r="G62" s="1352"/>
      <c r="H62" s="1351">
        <f>SUMIF('D-2 Off-Site Habitat Creation'!$AF$11:$AF$256,'Off-site gain site summary'!B62,'D-2 Off-Site Habitat Creation'!$AB$11:$AB$256)</f>
        <v>0</v>
      </c>
      <c r="I62" s="1352"/>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3"/>
      <c r="AF62" s="1353"/>
    </row>
    <row r="63" spans="1:32">
      <c r="A63" s="757">
        <f>'D-1 Off-Site Habitat Baseline'!AF67</f>
        <v>0</v>
      </c>
      <c r="B63" s="764"/>
      <c r="C63" s="762">
        <f>SUMIF('D-1 Off-Site Habitat Baseline'!AF67:AF70,B63,'D-1 Off-Site Habitat Baseline'!T67:T70)</f>
        <v>0</v>
      </c>
      <c r="D63" s="1351">
        <f>SUMIF('D-1 Off-Site Habitat Baseline'!$AF$11:$AF$258,'Off-site gain site summary'!$B$7,'D-1 Off-Site Habitat Baseline'!$X$11:$X$258)</f>
        <v>0</v>
      </c>
      <c r="E63" s="1352"/>
      <c r="F63" s="1351">
        <f>SUMIF('D-3 Off-Site Habitat Enhancment'!$AU$12:$AU$258,'Off-site gain site summary'!B63,'D-3 Off-Site Habitat Enhancment'!$AQ$12:$AQ$258)</f>
        <v>0</v>
      </c>
      <c r="G63" s="1352"/>
      <c r="H63" s="1351">
        <f>SUMIF('D-2 Off-Site Habitat Creation'!$AF$11:$AF$256,'Off-site gain site summary'!B63,'D-2 Off-Site Habitat Creation'!$AB$11:$AB$256)</f>
        <v>0</v>
      </c>
      <c r="I63" s="1352"/>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3"/>
      <c r="AF63" s="1353"/>
    </row>
    <row r="64" spans="1:32">
      <c r="A64" s="757">
        <f>'D-1 Off-Site Habitat Baseline'!AF68</f>
        <v>0</v>
      </c>
      <c r="B64" s="764"/>
      <c r="C64" s="762">
        <f>SUMIF('D-1 Off-Site Habitat Baseline'!AF68:AF71,B64,'D-1 Off-Site Habitat Baseline'!T68:T71)</f>
        <v>0</v>
      </c>
      <c r="D64" s="1351">
        <f>SUMIF('D-1 Off-Site Habitat Baseline'!$AF$11:$AF$258,'Off-site gain site summary'!$B$7,'D-1 Off-Site Habitat Baseline'!$X$11:$X$258)</f>
        <v>0</v>
      </c>
      <c r="E64" s="1352"/>
      <c r="F64" s="1351">
        <f>SUMIF('D-3 Off-Site Habitat Enhancment'!$AU$12:$AU$258,'Off-site gain site summary'!B64,'D-3 Off-Site Habitat Enhancment'!$AQ$12:$AQ$258)</f>
        <v>0</v>
      </c>
      <c r="G64" s="1352"/>
      <c r="H64" s="1351">
        <f>SUMIF('D-2 Off-Site Habitat Creation'!$AF$11:$AF$256,'Off-site gain site summary'!B64,'D-2 Off-Site Habitat Creation'!$AB$11:$AB$256)</f>
        <v>0</v>
      </c>
      <c r="I64" s="1352"/>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3"/>
      <c r="AF64" s="1353"/>
    </row>
    <row r="65" spans="1:32">
      <c r="A65" s="757">
        <f>'D-1 Off-Site Habitat Baseline'!AF69</f>
        <v>0</v>
      </c>
      <c r="B65" s="764"/>
      <c r="C65" s="762">
        <f>SUMIF('D-1 Off-Site Habitat Baseline'!AF69:AF72,B65,'D-1 Off-Site Habitat Baseline'!T69:T72)</f>
        <v>0</v>
      </c>
      <c r="D65" s="1351">
        <f>SUMIF('D-1 Off-Site Habitat Baseline'!$AF$11:$AF$258,'Off-site gain site summary'!$B$7,'D-1 Off-Site Habitat Baseline'!$X$11:$X$258)</f>
        <v>0</v>
      </c>
      <c r="E65" s="1352"/>
      <c r="F65" s="1351">
        <f>SUMIF('D-3 Off-Site Habitat Enhancment'!$AU$12:$AU$258,'Off-site gain site summary'!B65,'D-3 Off-Site Habitat Enhancment'!$AQ$12:$AQ$258)</f>
        <v>0</v>
      </c>
      <c r="G65" s="1352"/>
      <c r="H65" s="1351">
        <f>SUMIF('D-2 Off-Site Habitat Creation'!$AF$11:$AF$256,'Off-site gain site summary'!B65,'D-2 Off-Site Habitat Creation'!$AB$11:$AB$256)</f>
        <v>0</v>
      </c>
      <c r="I65" s="1352"/>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3"/>
      <c r="AF65" s="1353"/>
    </row>
    <row r="66" spans="1:32">
      <c r="A66" s="757">
        <f>'D-1 Off-Site Habitat Baseline'!AF70</f>
        <v>0</v>
      </c>
      <c r="B66" s="764"/>
      <c r="C66" s="762">
        <f>SUMIF('D-1 Off-Site Habitat Baseline'!AF70:AF73,B66,'D-1 Off-Site Habitat Baseline'!T70:T73)</f>
        <v>0</v>
      </c>
      <c r="D66" s="1351">
        <f>SUMIF('D-1 Off-Site Habitat Baseline'!$AF$11:$AF$258,'Off-site gain site summary'!$B$7,'D-1 Off-Site Habitat Baseline'!$X$11:$X$258)</f>
        <v>0</v>
      </c>
      <c r="E66" s="1352"/>
      <c r="F66" s="1351">
        <f>SUMIF('D-3 Off-Site Habitat Enhancment'!$AU$12:$AU$258,'Off-site gain site summary'!B66,'D-3 Off-Site Habitat Enhancment'!$AQ$12:$AQ$258)</f>
        <v>0</v>
      </c>
      <c r="G66" s="1352"/>
      <c r="H66" s="1351">
        <f>SUMIF('D-2 Off-Site Habitat Creation'!$AF$11:$AF$256,'Off-site gain site summary'!B66,'D-2 Off-Site Habitat Creation'!$AB$11:$AB$256)</f>
        <v>0</v>
      </c>
      <c r="I66" s="1352"/>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3"/>
      <c r="AF66" s="1353"/>
    </row>
    <row r="67" spans="1:32">
      <c r="A67" s="757">
        <f>'D-1 Off-Site Habitat Baseline'!AF71</f>
        <v>0</v>
      </c>
      <c r="B67" s="764"/>
      <c r="C67" s="762">
        <f>SUMIF('D-1 Off-Site Habitat Baseline'!AF71:AF74,B67,'D-1 Off-Site Habitat Baseline'!T71:T74)</f>
        <v>0</v>
      </c>
      <c r="D67" s="1351">
        <f>SUMIF('D-1 Off-Site Habitat Baseline'!$AF$11:$AF$258,'Off-site gain site summary'!$B$7,'D-1 Off-Site Habitat Baseline'!$X$11:$X$258)</f>
        <v>0</v>
      </c>
      <c r="E67" s="1352"/>
      <c r="F67" s="1351">
        <f>SUMIF('D-3 Off-Site Habitat Enhancment'!$AU$12:$AU$258,'Off-site gain site summary'!B67,'D-3 Off-Site Habitat Enhancment'!$AQ$12:$AQ$258)</f>
        <v>0</v>
      </c>
      <c r="G67" s="1352"/>
      <c r="H67" s="1351">
        <f>SUMIF('D-2 Off-Site Habitat Creation'!$AF$11:$AF$256,'Off-site gain site summary'!B67,'D-2 Off-Site Habitat Creation'!$AB$11:$AB$256)</f>
        <v>0</v>
      </c>
      <c r="I67" s="1352"/>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3"/>
      <c r="AF67" s="1353"/>
    </row>
    <row r="68" spans="1:32">
      <c r="A68" s="757">
        <f>'D-1 Off-Site Habitat Baseline'!AF72</f>
        <v>0</v>
      </c>
      <c r="B68" s="764"/>
      <c r="C68" s="762">
        <f>SUMIF('D-1 Off-Site Habitat Baseline'!AF72:AF75,B68,'D-1 Off-Site Habitat Baseline'!T72:T75)</f>
        <v>0</v>
      </c>
      <c r="D68" s="1351">
        <f>SUMIF('D-1 Off-Site Habitat Baseline'!$AF$11:$AF$258,'Off-site gain site summary'!$B$7,'D-1 Off-Site Habitat Baseline'!$X$11:$X$258)</f>
        <v>0</v>
      </c>
      <c r="E68" s="1352"/>
      <c r="F68" s="1351">
        <f>SUMIF('D-3 Off-Site Habitat Enhancment'!$AU$12:$AU$258,'Off-site gain site summary'!B68,'D-3 Off-Site Habitat Enhancment'!$AQ$12:$AQ$258)</f>
        <v>0</v>
      </c>
      <c r="G68" s="1352"/>
      <c r="H68" s="1351">
        <f>SUMIF('D-2 Off-Site Habitat Creation'!$AF$11:$AF$256,'Off-site gain site summary'!B68,'D-2 Off-Site Habitat Creation'!$AB$11:$AB$256)</f>
        <v>0</v>
      </c>
      <c r="I68" s="1352"/>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3"/>
      <c r="AF68" s="1353"/>
    </row>
    <row r="69" spans="1:32">
      <c r="A69" s="757">
        <f>'D-1 Off-Site Habitat Baseline'!AF73</f>
        <v>0</v>
      </c>
      <c r="B69" s="764"/>
      <c r="C69" s="762">
        <f>SUMIF('D-1 Off-Site Habitat Baseline'!AF73:AF76,B69,'D-1 Off-Site Habitat Baseline'!T73:T76)</f>
        <v>0</v>
      </c>
      <c r="D69" s="1351">
        <f>SUMIF('D-1 Off-Site Habitat Baseline'!$AF$11:$AF$258,'Off-site gain site summary'!$B$7,'D-1 Off-Site Habitat Baseline'!$X$11:$X$258)</f>
        <v>0</v>
      </c>
      <c r="E69" s="1352"/>
      <c r="F69" s="1351">
        <f>SUMIF('D-3 Off-Site Habitat Enhancment'!$AU$12:$AU$258,'Off-site gain site summary'!B69,'D-3 Off-Site Habitat Enhancment'!$AQ$12:$AQ$258)</f>
        <v>0</v>
      </c>
      <c r="G69" s="1352"/>
      <c r="H69" s="1351">
        <f>SUMIF('D-2 Off-Site Habitat Creation'!$AF$11:$AF$256,'Off-site gain site summary'!B69,'D-2 Off-Site Habitat Creation'!$AB$11:$AB$256)</f>
        <v>0</v>
      </c>
      <c r="I69" s="1352"/>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3"/>
      <c r="AF69" s="1353"/>
    </row>
    <row r="70" spans="1:32">
      <c r="A70" s="757">
        <f>'D-1 Off-Site Habitat Baseline'!AF74</f>
        <v>0</v>
      </c>
      <c r="B70" s="764"/>
      <c r="C70" s="762">
        <f>SUMIF('D-1 Off-Site Habitat Baseline'!AF74:AF77,B70,'D-1 Off-Site Habitat Baseline'!T74:T77)</f>
        <v>0</v>
      </c>
      <c r="D70" s="1351">
        <f>SUMIF('D-1 Off-Site Habitat Baseline'!$AF$11:$AF$258,'Off-site gain site summary'!$B$7,'D-1 Off-Site Habitat Baseline'!$X$11:$X$258)</f>
        <v>0</v>
      </c>
      <c r="E70" s="1352"/>
      <c r="F70" s="1351">
        <f>SUMIF('D-3 Off-Site Habitat Enhancment'!$AU$12:$AU$258,'Off-site gain site summary'!B70,'D-3 Off-Site Habitat Enhancment'!$AQ$12:$AQ$258)</f>
        <v>0</v>
      </c>
      <c r="G70" s="1352"/>
      <c r="H70" s="1351">
        <f>SUMIF('D-2 Off-Site Habitat Creation'!$AF$11:$AF$256,'Off-site gain site summary'!B70,'D-2 Off-Site Habitat Creation'!$AB$11:$AB$256)</f>
        <v>0</v>
      </c>
      <c r="I70" s="1352"/>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3"/>
      <c r="AF70" s="1353"/>
    </row>
    <row r="71" spans="1:32">
      <c r="A71" s="757">
        <f>'D-1 Off-Site Habitat Baseline'!AF75</f>
        <v>0</v>
      </c>
      <c r="B71" s="764"/>
      <c r="C71" s="762">
        <f>SUMIF('D-1 Off-Site Habitat Baseline'!AF75:AF78,B71,'D-1 Off-Site Habitat Baseline'!T75:T78)</f>
        <v>0</v>
      </c>
      <c r="D71" s="1351">
        <f>SUMIF('D-1 Off-Site Habitat Baseline'!$AF$11:$AF$258,'Off-site gain site summary'!$B$7,'D-1 Off-Site Habitat Baseline'!$X$11:$X$258)</f>
        <v>0</v>
      </c>
      <c r="E71" s="1352"/>
      <c r="F71" s="1351">
        <f>SUMIF('D-3 Off-Site Habitat Enhancment'!$AU$12:$AU$258,'Off-site gain site summary'!B71,'D-3 Off-Site Habitat Enhancment'!$AQ$12:$AQ$258)</f>
        <v>0</v>
      </c>
      <c r="G71" s="1352"/>
      <c r="H71" s="1351">
        <f>SUMIF('D-2 Off-Site Habitat Creation'!$AF$11:$AF$256,'Off-site gain site summary'!B71,'D-2 Off-Site Habitat Creation'!$AB$11:$AB$256)</f>
        <v>0</v>
      </c>
      <c r="I71" s="1352"/>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3"/>
      <c r="AF71" s="1353"/>
    </row>
    <row r="72" spans="1:32">
      <c r="A72" s="757">
        <f>'D-1 Off-Site Habitat Baseline'!AF76</f>
        <v>0</v>
      </c>
      <c r="B72" s="764"/>
      <c r="C72" s="762">
        <f>SUMIF('D-1 Off-Site Habitat Baseline'!AF76:AF79,B72,'D-1 Off-Site Habitat Baseline'!T76:T79)</f>
        <v>0</v>
      </c>
      <c r="D72" s="1351">
        <f>SUMIF('D-1 Off-Site Habitat Baseline'!$AF$11:$AF$258,'Off-site gain site summary'!$B$7,'D-1 Off-Site Habitat Baseline'!$X$11:$X$258)</f>
        <v>0</v>
      </c>
      <c r="E72" s="1352"/>
      <c r="F72" s="1351">
        <f>SUMIF('D-3 Off-Site Habitat Enhancment'!$AU$12:$AU$258,'Off-site gain site summary'!B72,'D-3 Off-Site Habitat Enhancment'!$AQ$12:$AQ$258)</f>
        <v>0</v>
      </c>
      <c r="G72" s="1352"/>
      <c r="H72" s="1351">
        <f>SUMIF('D-2 Off-Site Habitat Creation'!$AF$11:$AF$256,'Off-site gain site summary'!B72,'D-2 Off-Site Habitat Creation'!$AB$11:$AB$256)</f>
        <v>0</v>
      </c>
      <c r="I72" s="1352"/>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3"/>
      <c r="AF72" s="1353"/>
    </row>
    <row r="73" spans="1:32">
      <c r="A73" s="757">
        <f>'D-1 Off-Site Habitat Baseline'!AF77</f>
        <v>0</v>
      </c>
      <c r="B73" s="764"/>
      <c r="C73" s="762">
        <f>SUMIF('D-1 Off-Site Habitat Baseline'!AF77:AF80,B73,'D-1 Off-Site Habitat Baseline'!T77:T80)</f>
        <v>0</v>
      </c>
      <c r="D73" s="1351">
        <f>SUMIF('D-1 Off-Site Habitat Baseline'!$AF$11:$AF$258,'Off-site gain site summary'!$B$7,'D-1 Off-Site Habitat Baseline'!$X$11:$X$258)</f>
        <v>0</v>
      </c>
      <c r="E73" s="1352"/>
      <c r="F73" s="1351">
        <f>SUMIF('D-3 Off-Site Habitat Enhancment'!$AU$12:$AU$258,'Off-site gain site summary'!B73,'D-3 Off-Site Habitat Enhancment'!$AQ$12:$AQ$258)</f>
        <v>0</v>
      </c>
      <c r="G73" s="1352"/>
      <c r="H73" s="1351">
        <f>SUMIF('D-2 Off-Site Habitat Creation'!$AF$11:$AF$256,'Off-site gain site summary'!B73,'D-2 Off-Site Habitat Creation'!$AB$11:$AB$256)</f>
        <v>0</v>
      </c>
      <c r="I73" s="1352"/>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3"/>
      <c r="AF73" s="1353"/>
    </row>
    <row r="74" spans="1:32">
      <c r="A74" s="757">
        <f>'D-1 Off-Site Habitat Baseline'!AF78</f>
        <v>0</v>
      </c>
      <c r="B74" s="764"/>
      <c r="C74" s="762">
        <f>SUMIF('D-1 Off-Site Habitat Baseline'!AF78:AF81,B74,'D-1 Off-Site Habitat Baseline'!T78:T81)</f>
        <v>0</v>
      </c>
      <c r="D74" s="1351">
        <f>SUMIF('D-1 Off-Site Habitat Baseline'!$AF$11:$AF$258,'Off-site gain site summary'!$B$7,'D-1 Off-Site Habitat Baseline'!$X$11:$X$258)</f>
        <v>0</v>
      </c>
      <c r="E74" s="1352"/>
      <c r="F74" s="1351">
        <f>SUMIF('D-3 Off-Site Habitat Enhancment'!$AU$12:$AU$258,'Off-site gain site summary'!B74,'D-3 Off-Site Habitat Enhancment'!$AQ$12:$AQ$258)</f>
        <v>0</v>
      </c>
      <c r="G74" s="1352"/>
      <c r="H74" s="1351">
        <f>SUMIF('D-2 Off-Site Habitat Creation'!$AF$11:$AF$256,'Off-site gain site summary'!B74,'D-2 Off-Site Habitat Creation'!$AB$11:$AB$256)</f>
        <v>0</v>
      </c>
      <c r="I74" s="1352"/>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3"/>
      <c r="AF74" s="1353"/>
    </row>
    <row r="75" spans="1:32">
      <c r="A75" s="757">
        <f>'D-1 Off-Site Habitat Baseline'!AF79</f>
        <v>0</v>
      </c>
      <c r="B75" s="764"/>
      <c r="C75" s="762">
        <f>SUMIF('D-1 Off-Site Habitat Baseline'!AF79:AF82,B75,'D-1 Off-Site Habitat Baseline'!T79:T82)</f>
        <v>0</v>
      </c>
      <c r="D75" s="1351">
        <f>SUMIF('D-1 Off-Site Habitat Baseline'!$AF$11:$AF$258,'Off-site gain site summary'!$B$7,'D-1 Off-Site Habitat Baseline'!$X$11:$X$258)</f>
        <v>0</v>
      </c>
      <c r="E75" s="1352"/>
      <c r="F75" s="1351">
        <f>SUMIF('D-3 Off-Site Habitat Enhancment'!$AU$12:$AU$258,'Off-site gain site summary'!B75,'D-3 Off-Site Habitat Enhancment'!$AQ$12:$AQ$258)</f>
        <v>0</v>
      </c>
      <c r="G75" s="1352"/>
      <c r="H75" s="1351">
        <f>SUMIF('D-2 Off-Site Habitat Creation'!$AF$11:$AF$256,'Off-site gain site summary'!B75,'D-2 Off-Site Habitat Creation'!$AB$11:$AB$256)</f>
        <v>0</v>
      </c>
      <c r="I75" s="1352"/>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3"/>
      <c r="AF75" s="1353"/>
    </row>
    <row r="76" spans="1:32">
      <c r="A76" s="757">
        <f>'D-1 Off-Site Habitat Baseline'!AF80</f>
        <v>0</v>
      </c>
      <c r="B76" s="764"/>
      <c r="C76" s="762">
        <f>SUMIF('D-1 Off-Site Habitat Baseline'!AF80:AF83,B76,'D-1 Off-Site Habitat Baseline'!T80:T83)</f>
        <v>0</v>
      </c>
      <c r="D76" s="1351">
        <f>SUMIF('D-1 Off-Site Habitat Baseline'!$AF$11:$AF$258,'Off-site gain site summary'!$B$7,'D-1 Off-Site Habitat Baseline'!$X$11:$X$258)</f>
        <v>0</v>
      </c>
      <c r="E76" s="1352"/>
      <c r="F76" s="1351">
        <f>SUMIF('D-3 Off-Site Habitat Enhancment'!$AU$12:$AU$258,'Off-site gain site summary'!B76,'D-3 Off-Site Habitat Enhancment'!$AQ$12:$AQ$258)</f>
        <v>0</v>
      </c>
      <c r="G76" s="1352"/>
      <c r="H76" s="1351">
        <f>SUMIF('D-2 Off-Site Habitat Creation'!$AF$11:$AF$256,'Off-site gain site summary'!B76,'D-2 Off-Site Habitat Creation'!$AB$11:$AB$256)</f>
        <v>0</v>
      </c>
      <c r="I76" s="1352"/>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3"/>
      <c r="AF76" s="1353"/>
    </row>
    <row r="77" spans="1:32">
      <c r="A77" s="757">
        <f>'D-1 Off-Site Habitat Baseline'!AF81</f>
        <v>0</v>
      </c>
      <c r="B77" s="764"/>
      <c r="C77" s="762">
        <f>SUMIF('D-1 Off-Site Habitat Baseline'!AF81:AF84,B77,'D-1 Off-Site Habitat Baseline'!T81:T84)</f>
        <v>0</v>
      </c>
      <c r="D77" s="1351">
        <f>SUMIF('D-1 Off-Site Habitat Baseline'!$AF$11:$AF$258,'Off-site gain site summary'!$B$7,'D-1 Off-Site Habitat Baseline'!$X$11:$X$258)</f>
        <v>0</v>
      </c>
      <c r="E77" s="1352"/>
      <c r="F77" s="1351">
        <f>SUMIF('D-3 Off-Site Habitat Enhancment'!$AU$12:$AU$258,'Off-site gain site summary'!B77,'D-3 Off-Site Habitat Enhancment'!$AQ$12:$AQ$258)</f>
        <v>0</v>
      </c>
      <c r="G77" s="1352"/>
      <c r="H77" s="1351">
        <f>SUMIF('D-2 Off-Site Habitat Creation'!$AF$11:$AF$256,'Off-site gain site summary'!B77,'D-2 Off-Site Habitat Creation'!$AB$11:$AB$256)</f>
        <v>0</v>
      </c>
      <c r="I77" s="1352"/>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3"/>
      <c r="AF77" s="1353"/>
    </row>
    <row r="78" spans="1:32">
      <c r="A78" s="757">
        <f>'D-1 Off-Site Habitat Baseline'!AF82</f>
        <v>0</v>
      </c>
      <c r="B78" s="764"/>
      <c r="C78" s="762">
        <f>SUMIF('D-1 Off-Site Habitat Baseline'!AF82:AF85,B78,'D-1 Off-Site Habitat Baseline'!T82:T85)</f>
        <v>0</v>
      </c>
      <c r="D78" s="1351">
        <f>SUMIF('D-1 Off-Site Habitat Baseline'!$AF$11:$AF$258,'Off-site gain site summary'!$B$7,'D-1 Off-Site Habitat Baseline'!$X$11:$X$258)</f>
        <v>0</v>
      </c>
      <c r="E78" s="1352"/>
      <c r="F78" s="1351">
        <f>SUMIF('D-3 Off-Site Habitat Enhancment'!$AU$12:$AU$258,'Off-site gain site summary'!B78,'D-3 Off-Site Habitat Enhancment'!$AQ$12:$AQ$258)</f>
        <v>0</v>
      </c>
      <c r="G78" s="1352"/>
      <c r="H78" s="1351">
        <f>SUMIF('D-2 Off-Site Habitat Creation'!$AF$11:$AF$256,'Off-site gain site summary'!B78,'D-2 Off-Site Habitat Creation'!$AB$11:$AB$256)</f>
        <v>0</v>
      </c>
      <c r="I78" s="1352"/>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3"/>
      <c r="AF78" s="1353"/>
    </row>
    <row r="79" spans="1:32">
      <c r="A79" s="757">
        <f>'D-1 Off-Site Habitat Baseline'!AF83</f>
        <v>0</v>
      </c>
      <c r="B79" s="764"/>
      <c r="C79" s="762">
        <f>SUMIF('D-1 Off-Site Habitat Baseline'!AF83:AF86,B79,'D-1 Off-Site Habitat Baseline'!T83:T86)</f>
        <v>0</v>
      </c>
      <c r="D79" s="1351">
        <f>SUMIF('D-1 Off-Site Habitat Baseline'!$AF$11:$AF$258,'Off-site gain site summary'!$B$7,'D-1 Off-Site Habitat Baseline'!$X$11:$X$258)</f>
        <v>0</v>
      </c>
      <c r="E79" s="1352"/>
      <c r="F79" s="1351">
        <f>SUMIF('D-3 Off-Site Habitat Enhancment'!$AU$12:$AU$258,'Off-site gain site summary'!B79,'D-3 Off-Site Habitat Enhancment'!$AQ$12:$AQ$258)</f>
        <v>0</v>
      </c>
      <c r="G79" s="1352"/>
      <c r="H79" s="1351">
        <f>SUMIF('D-2 Off-Site Habitat Creation'!$AF$11:$AF$256,'Off-site gain site summary'!B79,'D-2 Off-Site Habitat Creation'!$AB$11:$AB$256)</f>
        <v>0</v>
      </c>
      <c r="I79" s="1352"/>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3"/>
      <c r="AF79" s="1353"/>
    </row>
    <row r="80" spans="1:32">
      <c r="A80" s="757">
        <f>'D-1 Off-Site Habitat Baseline'!AF84</f>
        <v>0</v>
      </c>
      <c r="B80" s="764"/>
      <c r="C80" s="762">
        <f>SUMIF('D-1 Off-Site Habitat Baseline'!AF84:AF87,B80,'D-1 Off-Site Habitat Baseline'!T84:T87)</f>
        <v>0</v>
      </c>
      <c r="D80" s="1351">
        <f>SUMIF('D-1 Off-Site Habitat Baseline'!$AF$11:$AF$258,'Off-site gain site summary'!$B$7,'D-1 Off-Site Habitat Baseline'!$X$11:$X$258)</f>
        <v>0</v>
      </c>
      <c r="E80" s="1352"/>
      <c r="F80" s="1351">
        <f>SUMIF('D-3 Off-Site Habitat Enhancment'!$AU$12:$AU$258,'Off-site gain site summary'!B80,'D-3 Off-Site Habitat Enhancment'!$AQ$12:$AQ$258)</f>
        <v>0</v>
      </c>
      <c r="G80" s="1352"/>
      <c r="H80" s="1351">
        <f>SUMIF('D-2 Off-Site Habitat Creation'!$AF$11:$AF$256,'Off-site gain site summary'!B80,'D-2 Off-Site Habitat Creation'!$AB$11:$AB$256)</f>
        <v>0</v>
      </c>
      <c r="I80" s="1352"/>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3"/>
      <c r="AF80" s="1353"/>
    </row>
    <row r="81" spans="1:32">
      <c r="A81" s="757">
        <f>'D-1 Off-Site Habitat Baseline'!AF85</f>
        <v>0</v>
      </c>
      <c r="B81" s="764"/>
      <c r="C81" s="762">
        <f>SUMIF('D-1 Off-Site Habitat Baseline'!AF85:AF88,B81,'D-1 Off-Site Habitat Baseline'!T85:T88)</f>
        <v>0</v>
      </c>
      <c r="D81" s="1351">
        <f>SUMIF('D-1 Off-Site Habitat Baseline'!$AF$11:$AF$258,'Off-site gain site summary'!$B$7,'D-1 Off-Site Habitat Baseline'!$X$11:$X$258)</f>
        <v>0</v>
      </c>
      <c r="E81" s="1352"/>
      <c r="F81" s="1351">
        <f>SUMIF('D-3 Off-Site Habitat Enhancment'!$AU$12:$AU$258,'Off-site gain site summary'!B81,'D-3 Off-Site Habitat Enhancment'!$AQ$12:$AQ$258)</f>
        <v>0</v>
      </c>
      <c r="G81" s="1352"/>
      <c r="H81" s="1351">
        <f>SUMIF('D-2 Off-Site Habitat Creation'!$AF$11:$AF$256,'Off-site gain site summary'!B81,'D-2 Off-Site Habitat Creation'!$AB$11:$AB$256)</f>
        <v>0</v>
      </c>
      <c r="I81" s="1352"/>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3"/>
      <c r="AF81" s="1353"/>
    </row>
    <row r="82" spans="1:32">
      <c r="A82" s="757">
        <f>'D-1 Off-Site Habitat Baseline'!AF86</f>
        <v>0</v>
      </c>
      <c r="B82" s="764"/>
      <c r="C82" s="762">
        <f>SUMIF('D-1 Off-Site Habitat Baseline'!AF86:AF89,B82,'D-1 Off-Site Habitat Baseline'!T86:T89)</f>
        <v>0</v>
      </c>
      <c r="D82" s="1351">
        <f>SUMIF('D-1 Off-Site Habitat Baseline'!$AF$11:$AF$258,'Off-site gain site summary'!$B$7,'D-1 Off-Site Habitat Baseline'!$X$11:$X$258)</f>
        <v>0</v>
      </c>
      <c r="E82" s="1352"/>
      <c r="F82" s="1351">
        <f>SUMIF('D-3 Off-Site Habitat Enhancment'!$AU$12:$AU$258,'Off-site gain site summary'!B82,'D-3 Off-Site Habitat Enhancment'!$AQ$12:$AQ$258)</f>
        <v>0</v>
      </c>
      <c r="G82" s="1352"/>
      <c r="H82" s="1351">
        <f>SUMIF('D-2 Off-Site Habitat Creation'!$AF$11:$AF$256,'Off-site gain site summary'!B82,'D-2 Off-Site Habitat Creation'!$AB$11:$AB$256)</f>
        <v>0</v>
      </c>
      <c r="I82" s="1352"/>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3"/>
      <c r="AF82" s="1353"/>
    </row>
    <row r="83" spans="1:32">
      <c r="A83" s="757">
        <f>'D-1 Off-Site Habitat Baseline'!AF87</f>
        <v>0</v>
      </c>
      <c r="B83" s="764"/>
      <c r="C83" s="762">
        <f>SUMIF('D-1 Off-Site Habitat Baseline'!AF87:AF90,B83,'D-1 Off-Site Habitat Baseline'!T87:T90)</f>
        <v>0</v>
      </c>
      <c r="D83" s="1351">
        <f>SUMIF('D-1 Off-Site Habitat Baseline'!$AF$11:$AF$258,'Off-site gain site summary'!$B$7,'D-1 Off-Site Habitat Baseline'!$X$11:$X$258)</f>
        <v>0</v>
      </c>
      <c r="E83" s="1352"/>
      <c r="F83" s="1351">
        <f>SUMIF('D-3 Off-Site Habitat Enhancment'!$AU$12:$AU$258,'Off-site gain site summary'!B83,'D-3 Off-Site Habitat Enhancment'!$AQ$12:$AQ$258)</f>
        <v>0</v>
      </c>
      <c r="G83" s="1352"/>
      <c r="H83" s="1351">
        <f>SUMIF('D-2 Off-Site Habitat Creation'!$AF$11:$AF$256,'Off-site gain site summary'!B83,'D-2 Off-Site Habitat Creation'!$AB$11:$AB$256)</f>
        <v>0</v>
      </c>
      <c r="I83" s="1352"/>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3"/>
      <c r="AF83" s="1353"/>
    </row>
    <row r="84" spans="1:32">
      <c r="A84" s="757">
        <f>'D-1 Off-Site Habitat Baseline'!AF88</f>
        <v>0</v>
      </c>
      <c r="B84" s="764"/>
      <c r="C84" s="762">
        <f>SUMIF('D-1 Off-Site Habitat Baseline'!AF88:AF91,B84,'D-1 Off-Site Habitat Baseline'!T88:T91)</f>
        <v>0</v>
      </c>
      <c r="D84" s="1351">
        <f>SUMIF('D-1 Off-Site Habitat Baseline'!$AF$11:$AF$258,'Off-site gain site summary'!$B$7,'D-1 Off-Site Habitat Baseline'!$X$11:$X$258)</f>
        <v>0</v>
      </c>
      <c r="E84" s="1352"/>
      <c r="F84" s="1351">
        <f>SUMIF('D-3 Off-Site Habitat Enhancment'!$AU$12:$AU$258,'Off-site gain site summary'!B84,'D-3 Off-Site Habitat Enhancment'!$AQ$12:$AQ$258)</f>
        <v>0</v>
      </c>
      <c r="G84" s="1352"/>
      <c r="H84" s="1351">
        <f>SUMIF('D-2 Off-Site Habitat Creation'!$AF$11:$AF$256,'Off-site gain site summary'!B84,'D-2 Off-Site Habitat Creation'!$AB$11:$AB$256)</f>
        <v>0</v>
      </c>
      <c r="I84" s="1352"/>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3"/>
      <c r="AF84" s="1353"/>
    </row>
    <row r="85" spans="1:32">
      <c r="A85" s="757">
        <f>'D-1 Off-Site Habitat Baseline'!AF89</f>
        <v>0</v>
      </c>
      <c r="B85" s="764"/>
      <c r="C85" s="762">
        <f>SUMIF('D-1 Off-Site Habitat Baseline'!AF89:AF92,B85,'D-1 Off-Site Habitat Baseline'!T89:T92)</f>
        <v>0</v>
      </c>
      <c r="D85" s="1351">
        <f>SUMIF('D-1 Off-Site Habitat Baseline'!$AF$11:$AF$258,'Off-site gain site summary'!$B$7,'D-1 Off-Site Habitat Baseline'!$X$11:$X$258)</f>
        <v>0</v>
      </c>
      <c r="E85" s="1352"/>
      <c r="F85" s="1351">
        <f>SUMIF('D-3 Off-Site Habitat Enhancment'!$AU$12:$AU$258,'Off-site gain site summary'!B85,'D-3 Off-Site Habitat Enhancment'!$AQ$12:$AQ$258)</f>
        <v>0</v>
      </c>
      <c r="G85" s="1352"/>
      <c r="H85" s="1351">
        <f>SUMIF('D-2 Off-Site Habitat Creation'!$AF$11:$AF$256,'Off-site gain site summary'!B85,'D-2 Off-Site Habitat Creation'!$AB$11:$AB$256)</f>
        <v>0</v>
      </c>
      <c r="I85" s="1352"/>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3"/>
      <c r="AF85" s="1353"/>
    </row>
    <row r="86" spans="1:32">
      <c r="A86" s="757">
        <f>'D-1 Off-Site Habitat Baseline'!AF90</f>
        <v>0</v>
      </c>
      <c r="B86" s="764"/>
      <c r="C86" s="762">
        <f>SUMIF('D-1 Off-Site Habitat Baseline'!AF90:AF93,B86,'D-1 Off-Site Habitat Baseline'!T90:T93)</f>
        <v>0</v>
      </c>
      <c r="D86" s="1351">
        <f>SUMIF('D-1 Off-Site Habitat Baseline'!$AF$11:$AF$258,'Off-site gain site summary'!$B$7,'D-1 Off-Site Habitat Baseline'!$X$11:$X$258)</f>
        <v>0</v>
      </c>
      <c r="E86" s="1352"/>
      <c r="F86" s="1351">
        <f>SUMIF('D-3 Off-Site Habitat Enhancment'!$AU$12:$AU$258,'Off-site gain site summary'!B86,'D-3 Off-Site Habitat Enhancment'!$AQ$12:$AQ$258)</f>
        <v>0</v>
      </c>
      <c r="G86" s="1352"/>
      <c r="H86" s="1351">
        <f>SUMIF('D-2 Off-Site Habitat Creation'!$AF$11:$AF$256,'Off-site gain site summary'!B86,'D-2 Off-Site Habitat Creation'!$AB$11:$AB$256)</f>
        <v>0</v>
      </c>
      <c r="I86" s="1352"/>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3"/>
      <c r="AF86" s="1353"/>
    </row>
    <row r="87" spans="1:32">
      <c r="A87" s="757">
        <f>'D-1 Off-Site Habitat Baseline'!AF91</f>
        <v>0</v>
      </c>
      <c r="B87" s="764"/>
      <c r="C87" s="762">
        <f>SUMIF('D-1 Off-Site Habitat Baseline'!AF91:AF94,B87,'D-1 Off-Site Habitat Baseline'!T91:T94)</f>
        <v>0</v>
      </c>
      <c r="D87" s="1351">
        <f>SUMIF('D-1 Off-Site Habitat Baseline'!$AF$11:$AF$258,'Off-site gain site summary'!$B$7,'D-1 Off-Site Habitat Baseline'!$X$11:$X$258)</f>
        <v>0</v>
      </c>
      <c r="E87" s="1352"/>
      <c r="F87" s="1351">
        <f>SUMIF('D-3 Off-Site Habitat Enhancment'!$AU$12:$AU$258,'Off-site gain site summary'!B87,'D-3 Off-Site Habitat Enhancment'!$AQ$12:$AQ$258)</f>
        <v>0</v>
      </c>
      <c r="G87" s="1352"/>
      <c r="H87" s="1351">
        <f>SUMIF('D-2 Off-Site Habitat Creation'!$AF$11:$AF$256,'Off-site gain site summary'!B87,'D-2 Off-Site Habitat Creation'!$AB$11:$AB$256)</f>
        <v>0</v>
      </c>
      <c r="I87" s="1352"/>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3"/>
      <c r="AF87" s="1353"/>
    </row>
    <row r="88" spans="1:32">
      <c r="A88" s="757">
        <f>'D-1 Off-Site Habitat Baseline'!AF92</f>
        <v>0</v>
      </c>
      <c r="B88" s="764"/>
      <c r="C88" s="762">
        <f>SUMIF('D-1 Off-Site Habitat Baseline'!AF92:AF95,B88,'D-1 Off-Site Habitat Baseline'!T92:T95)</f>
        <v>0</v>
      </c>
      <c r="D88" s="1351">
        <f>SUMIF('D-1 Off-Site Habitat Baseline'!$AF$11:$AF$258,'Off-site gain site summary'!$B$7,'D-1 Off-Site Habitat Baseline'!$X$11:$X$258)</f>
        <v>0</v>
      </c>
      <c r="E88" s="1352"/>
      <c r="F88" s="1351">
        <f>SUMIF('D-3 Off-Site Habitat Enhancment'!$AU$12:$AU$258,'Off-site gain site summary'!B88,'D-3 Off-Site Habitat Enhancment'!$AQ$12:$AQ$258)</f>
        <v>0</v>
      </c>
      <c r="G88" s="1352"/>
      <c r="H88" s="1351">
        <f>SUMIF('D-2 Off-Site Habitat Creation'!$AF$11:$AF$256,'Off-site gain site summary'!B88,'D-2 Off-Site Habitat Creation'!$AB$11:$AB$256)</f>
        <v>0</v>
      </c>
      <c r="I88" s="1352"/>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3"/>
      <c r="AF88" s="1353"/>
    </row>
    <row r="89" spans="1:32">
      <c r="A89" s="757">
        <f>'D-1 Off-Site Habitat Baseline'!AF93</f>
        <v>0</v>
      </c>
      <c r="B89" s="764"/>
      <c r="C89" s="762">
        <f>SUMIF('D-1 Off-Site Habitat Baseline'!AF93:AF96,B89,'D-1 Off-Site Habitat Baseline'!T93:T96)</f>
        <v>0</v>
      </c>
      <c r="D89" s="1351">
        <f>SUMIF('D-1 Off-Site Habitat Baseline'!$AF$11:$AF$258,'Off-site gain site summary'!$B$7,'D-1 Off-Site Habitat Baseline'!$X$11:$X$258)</f>
        <v>0</v>
      </c>
      <c r="E89" s="1352"/>
      <c r="F89" s="1351">
        <f>SUMIF('D-3 Off-Site Habitat Enhancment'!$AU$12:$AU$258,'Off-site gain site summary'!B89,'D-3 Off-Site Habitat Enhancment'!$AQ$12:$AQ$258)</f>
        <v>0</v>
      </c>
      <c r="G89" s="1352"/>
      <c r="H89" s="1351">
        <f>SUMIF('D-2 Off-Site Habitat Creation'!$AF$11:$AF$256,'Off-site gain site summary'!B89,'D-2 Off-Site Habitat Creation'!$AB$11:$AB$256)</f>
        <v>0</v>
      </c>
      <c r="I89" s="1352"/>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3"/>
      <c r="AF89" s="1353"/>
    </row>
    <row r="90" spans="1:32">
      <c r="A90" s="757">
        <f>'D-1 Off-Site Habitat Baseline'!AF94</f>
        <v>0</v>
      </c>
      <c r="B90" s="764"/>
      <c r="C90" s="762">
        <f>SUMIF('D-1 Off-Site Habitat Baseline'!AF94:AF97,B90,'D-1 Off-Site Habitat Baseline'!T94:T97)</f>
        <v>0</v>
      </c>
      <c r="D90" s="1351">
        <f>SUMIF('D-1 Off-Site Habitat Baseline'!$AF$11:$AF$258,'Off-site gain site summary'!$B$7,'D-1 Off-Site Habitat Baseline'!$X$11:$X$258)</f>
        <v>0</v>
      </c>
      <c r="E90" s="1352"/>
      <c r="F90" s="1351">
        <f>SUMIF('D-3 Off-Site Habitat Enhancment'!$AU$12:$AU$258,'Off-site gain site summary'!B90,'D-3 Off-Site Habitat Enhancment'!$AQ$12:$AQ$258)</f>
        <v>0</v>
      </c>
      <c r="G90" s="1352"/>
      <c r="H90" s="1351">
        <f>SUMIF('D-2 Off-Site Habitat Creation'!$AF$11:$AF$256,'Off-site gain site summary'!B90,'D-2 Off-Site Habitat Creation'!$AB$11:$AB$256)</f>
        <v>0</v>
      </c>
      <c r="I90" s="1352"/>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3"/>
      <c r="AF90" s="1353"/>
    </row>
    <row r="91" spans="1:32">
      <c r="A91" s="757">
        <f>'D-1 Off-Site Habitat Baseline'!AF95</f>
        <v>0</v>
      </c>
      <c r="B91" s="764"/>
      <c r="C91" s="762">
        <f>SUMIF('D-1 Off-Site Habitat Baseline'!AF95:AF98,B91,'D-1 Off-Site Habitat Baseline'!T95:T98)</f>
        <v>0</v>
      </c>
      <c r="D91" s="1351">
        <f>SUMIF('D-1 Off-Site Habitat Baseline'!$AF$11:$AF$258,'Off-site gain site summary'!$B$7,'D-1 Off-Site Habitat Baseline'!$X$11:$X$258)</f>
        <v>0</v>
      </c>
      <c r="E91" s="1352"/>
      <c r="F91" s="1351">
        <f>SUMIF('D-3 Off-Site Habitat Enhancment'!$AU$12:$AU$258,'Off-site gain site summary'!B91,'D-3 Off-Site Habitat Enhancment'!$AQ$12:$AQ$258)</f>
        <v>0</v>
      </c>
      <c r="G91" s="1352"/>
      <c r="H91" s="1351">
        <f>SUMIF('D-2 Off-Site Habitat Creation'!$AF$11:$AF$256,'Off-site gain site summary'!B91,'D-2 Off-Site Habitat Creation'!$AB$11:$AB$256)</f>
        <v>0</v>
      </c>
      <c r="I91" s="1352"/>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3"/>
      <c r="AF91" s="1353"/>
    </row>
    <row r="92" spans="1:32">
      <c r="A92" s="757">
        <f>'D-1 Off-Site Habitat Baseline'!AF96</f>
        <v>0</v>
      </c>
      <c r="B92" s="764"/>
      <c r="C92" s="762">
        <f>SUMIF('D-1 Off-Site Habitat Baseline'!AF96:AF99,B92,'D-1 Off-Site Habitat Baseline'!T96:T99)</f>
        <v>0</v>
      </c>
      <c r="D92" s="1351">
        <f>SUMIF('D-1 Off-Site Habitat Baseline'!$AF$11:$AF$258,'Off-site gain site summary'!$B$7,'D-1 Off-Site Habitat Baseline'!$X$11:$X$258)</f>
        <v>0</v>
      </c>
      <c r="E92" s="1352"/>
      <c r="F92" s="1351">
        <f>SUMIF('D-3 Off-Site Habitat Enhancment'!$AU$12:$AU$258,'Off-site gain site summary'!B92,'D-3 Off-Site Habitat Enhancment'!$AQ$12:$AQ$258)</f>
        <v>0</v>
      </c>
      <c r="G92" s="1352"/>
      <c r="H92" s="1351">
        <f>SUMIF('D-2 Off-Site Habitat Creation'!$AF$11:$AF$256,'Off-site gain site summary'!B92,'D-2 Off-Site Habitat Creation'!$AB$11:$AB$256)</f>
        <v>0</v>
      </c>
      <c r="I92" s="1352"/>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3"/>
      <c r="AF92" s="1353"/>
    </row>
    <row r="93" spans="1:32">
      <c r="A93" s="757">
        <f>'D-1 Off-Site Habitat Baseline'!AF97</f>
        <v>0</v>
      </c>
      <c r="B93" s="764"/>
      <c r="C93" s="762">
        <f>SUMIF('D-1 Off-Site Habitat Baseline'!AF97:AF100,B93,'D-1 Off-Site Habitat Baseline'!T97:T100)</f>
        <v>0</v>
      </c>
      <c r="D93" s="1351">
        <f>SUMIF('D-1 Off-Site Habitat Baseline'!$AF$11:$AF$258,'Off-site gain site summary'!$B$7,'D-1 Off-Site Habitat Baseline'!$X$11:$X$258)</f>
        <v>0</v>
      </c>
      <c r="E93" s="1352"/>
      <c r="F93" s="1351">
        <f>SUMIF('D-3 Off-Site Habitat Enhancment'!$AU$12:$AU$258,'Off-site gain site summary'!B93,'D-3 Off-Site Habitat Enhancment'!$AQ$12:$AQ$258)</f>
        <v>0</v>
      </c>
      <c r="G93" s="1352"/>
      <c r="H93" s="1351">
        <f>SUMIF('D-2 Off-Site Habitat Creation'!$AF$11:$AF$256,'Off-site gain site summary'!B93,'D-2 Off-Site Habitat Creation'!$AB$11:$AB$256)</f>
        <v>0</v>
      </c>
      <c r="I93" s="1352"/>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3"/>
      <c r="AF93" s="1353"/>
    </row>
    <row r="94" spans="1:32">
      <c r="A94" s="757">
        <f>'D-1 Off-Site Habitat Baseline'!AF98</f>
        <v>0</v>
      </c>
      <c r="B94" s="764"/>
      <c r="C94" s="762">
        <f>SUMIF('D-1 Off-Site Habitat Baseline'!AF98:AF101,B94,'D-1 Off-Site Habitat Baseline'!T98:T101)</f>
        <v>0</v>
      </c>
      <c r="D94" s="1351">
        <f>SUMIF('D-1 Off-Site Habitat Baseline'!$AF$11:$AF$258,'Off-site gain site summary'!$B$7,'D-1 Off-Site Habitat Baseline'!$X$11:$X$258)</f>
        <v>0</v>
      </c>
      <c r="E94" s="1352"/>
      <c r="F94" s="1351">
        <f>SUMIF('D-3 Off-Site Habitat Enhancment'!$AU$12:$AU$258,'Off-site gain site summary'!B94,'D-3 Off-Site Habitat Enhancment'!$AQ$12:$AQ$258)</f>
        <v>0</v>
      </c>
      <c r="G94" s="1352"/>
      <c r="H94" s="1351">
        <f>SUMIF('D-2 Off-Site Habitat Creation'!$AF$11:$AF$256,'Off-site gain site summary'!B94,'D-2 Off-Site Habitat Creation'!$AB$11:$AB$256)</f>
        <v>0</v>
      </c>
      <c r="I94" s="1352"/>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3"/>
      <c r="AF94" s="1353"/>
    </row>
    <row r="95" spans="1:32">
      <c r="A95" s="757">
        <f>'D-1 Off-Site Habitat Baseline'!AF99</f>
        <v>0</v>
      </c>
      <c r="B95" s="764"/>
      <c r="C95" s="762">
        <f>SUMIF('D-1 Off-Site Habitat Baseline'!AF99:AF102,B95,'D-1 Off-Site Habitat Baseline'!T99:T102)</f>
        <v>0</v>
      </c>
      <c r="D95" s="1351">
        <f>SUMIF('D-1 Off-Site Habitat Baseline'!$AF$11:$AF$258,'Off-site gain site summary'!$B$7,'D-1 Off-Site Habitat Baseline'!$X$11:$X$258)</f>
        <v>0</v>
      </c>
      <c r="E95" s="1352"/>
      <c r="F95" s="1351">
        <f>SUMIF('D-3 Off-Site Habitat Enhancment'!$AU$12:$AU$258,'Off-site gain site summary'!B95,'D-3 Off-Site Habitat Enhancment'!$AQ$12:$AQ$258)</f>
        <v>0</v>
      </c>
      <c r="G95" s="1352"/>
      <c r="H95" s="1351">
        <f>SUMIF('D-2 Off-Site Habitat Creation'!$AF$11:$AF$256,'Off-site gain site summary'!B95,'D-2 Off-Site Habitat Creation'!$AB$11:$AB$256)</f>
        <v>0</v>
      </c>
      <c r="I95" s="1352"/>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3"/>
      <c r="AF95" s="1353"/>
    </row>
    <row r="96" spans="1:32">
      <c r="A96" s="757">
        <f>'D-1 Off-Site Habitat Baseline'!AF100</f>
        <v>0</v>
      </c>
      <c r="B96" s="764"/>
      <c r="C96" s="762">
        <f>SUMIF('D-1 Off-Site Habitat Baseline'!AF100:AF103,B96,'D-1 Off-Site Habitat Baseline'!T100:T103)</f>
        <v>0</v>
      </c>
      <c r="D96" s="1351">
        <f>SUMIF('D-1 Off-Site Habitat Baseline'!$AF$11:$AF$258,'Off-site gain site summary'!$B$7,'D-1 Off-Site Habitat Baseline'!$X$11:$X$258)</f>
        <v>0</v>
      </c>
      <c r="E96" s="1352"/>
      <c r="F96" s="1351">
        <f>SUMIF('D-3 Off-Site Habitat Enhancment'!$AU$12:$AU$258,'Off-site gain site summary'!B96,'D-3 Off-Site Habitat Enhancment'!$AQ$12:$AQ$258)</f>
        <v>0</v>
      </c>
      <c r="G96" s="1352"/>
      <c r="H96" s="1351">
        <f>SUMIF('D-2 Off-Site Habitat Creation'!$AF$11:$AF$256,'Off-site gain site summary'!B96,'D-2 Off-Site Habitat Creation'!$AB$11:$AB$256)</f>
        <v>0</v>
      </c>
      <c r="I96" s="1352"/>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3"/>
      <c r="AF96" s="1353"/>
    </row>
    <row r="97" spans="1:32">
      <c r="A97" s="757">
        <f>'D-1 Off-Site Habitat Baseline'!AF101</f>
        <v>0</v>
      </c>
      <c r="B97" s="764"/>
      <c r="C97" s="762">
        <f>SUMIF('D-1 Off-Site Habitat Baseline'!AF101:AF104,B97,'D-1 Off-Site Habitat Baseline'!T101:T104)</f>
        <v>0</v>
      </c>
      <c r="D97" s="1351">
        <f>SUMIF('D-1 Off-Site Habitat Baseline'!$AF$11:$AF$258,'Off-site gain site summary'!$B$7,'D-1 Off-Site Habitat Baseline'!$X$11:$X$258)</f>
        <v>0</v>
      </c>
      <c r="E97" s="1352"/>
      <c r="F97" s="1351">
        <f>SUMIF('D-3 Off-Site Habitat Enhancment'!$AU$12:$AU$258,'Off-site gain site summary'!B97,'D-3 Off-Site Habitat Enhancment'!$AQ$12:$AQ$258)</f>
        <v>0</v>
      </c>
      <c r="G97" s="1352"/>
      <c r="H97" s="1351">
        <f>SUMIF('D-2 Off-Site Habitat Creation'!$AF$11:$AF$256,'Off-site gain site summary'!B97,'D-2 Off-Site Habitat Creation'!$AB$11:$AB$256)</f>
        <v>0</v>
      </c>
      <c r="I97" s="1352"/>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3"/>
      <c r="AF97" s="1353"/>
    </row>
    <row r="98" spans="1:32">
      <c r="A98" s="757">
        <f>'D-1 Off-Site Habitat Baseline'!AF102</f>
        <v>0</v>
      </c>
      <c r="B98" s="764"/>
      <c r="C98" s="762">
        <f>SUMIF('D-1 Off-Site Habitat Baseline'!AF102:AF105,B98,'D-1 Off-Site Habitat Baseline'!T102:T105)</f>
        <v>0</v>
      </c>
      <c r="D98" s="1351">
        <f>SUMIF('D-1 Off-Site Habitat Baseline'!$AF$11:$AF$258,'Off-site gain site summary'!$B$7,'D-1 Off-Site Habitat Baseline'!$X$11:$X$258)</f>
        <v>0</v>
      </c>
      <c r="E98" s="1352"/>
      <c r="F98" s="1351">
        <f>SUMIF('D-3 Off-Site Habitat Enhancment'!$AU$12:$AU$258,'Off-site gain site summary'!B98,'D-3 Off-Site Habitat Enhancment'!$AQ$12:$AQ$258)</f>
        <v>0</v>
      </c>
      <c r="G98" s="1352"/>
      <c r="H98" s="1351">
        <f>SUMIF('D-2 Off-Site Habitat Creation'!$AF$11:$AF$256,'Off-site gain site summary'!B98,'D-2 Off-Site Habitat Creation'!$AB$11:$AB$256)</f>
        <v>0</v>
      </c>
      <c r="I98" s="1352"/>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3"/>
      <c r="AF98" s="1353"/>
    </row>
    <row r="99" spans="1:32">
      <c r="A99" s="757">
        <f>'D-1 Off-Site Habitat Baseline'!AF103</f>
        <v>0</v>
      </c>
      <c r="B99" s="764"/>
      <c r="C99" s="762">
        <f>SUMIF('D-1 Off-Site Habitat Baseline'!AF103:AF106,B99,'D-1 Off-Site Habitat Baseline'!T103:T106)</f>
        <v>0</v>
      </c>
      <c r="D99" s="1351">
        <f>SUMIF('D-1 Off-Site Habitat Baseline'!$AF$11:$AF$258,'Off-site gain site summary'!$B$7,'D-1 Off-Site Habitat Baseline'!$X$11:$X$258)</f>
        <v>0</v>
      </c>
      <c r="E99" s="1352"/>
      <c r="F99" s="1351">
        <f>SUMIF('D-3 Off-Site Habitat Enhancment'!$AU$12:$AU$258,'Off-site gain site summary'!B99,'D-3 Off-Site Habitat Enhancment'!$AQ$12:$AQ$258)</f>
        <v>0</v>
      </c>
      <c r="G99" s="1352"/>
      <c r="H99" s="1351">
        <f>SUMIF('D-2 Off-Site Habitat Creation'!$AF$11:$AF$256,'Off-site gain site summary'!B99,'D-2 Off-Site Habitat Creation'!$AB$11:$AB$256)</f>
        <v>0</v>
      </c>
      <c r="I99" s="1352"/>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3"/>
      <c r="AF99" s="1353"/>
    </row>
    <row r="100" spans="1:32">
      <c r="A100" s="757">
        <f>'D-1 Off-Site Habitat Baseline'!AF104</f>
        <v>0</v>
      </c>
      <c r="B100" s="764"/>
      <c r="C100" s="762">
        <f>SUMIF('D-1 Off-Site Habitat Baseline'!AF104:AF107,B100,'D-1 Off-Site Habitat Baseline'!T104:T107)</f>
        <v>0</v>
      </c>
      <c r="D100" s="1351">
        <f>SUMIF('D-1 Off-Site Habitat Baseline'!$AF$11:$AF$258,'Off-site gain site summary'!$B$7,'D-1 Off-Site Habitat Baseline'!$X$11:$X$258)</f>
        <v>0</v>
      </c>
      <c r="E100" s="1352"/>
      <c r="F100" s="1351">
        <f>SUMIF('D-3 Off-Site Habitat Enhancment'!$AU$12:$AU$258,'Off-site gain site summary'!B100,'D-3 Off-Site Habitat Enhancment'!$AQ$12:$AQ$258)</f>
        <v>0</v>
      </c>
      <c r="G100" s="1352"/>
      <c r="H100" s="1351">
        <f>SUMIF('D-2 Off-Site Habitat Creation'!$AF$11:$AF$256,'Off-site gain site summary'!B100,'D-2 Off-Site Habitat Creation'!$AB$11:$AB$256)</f>
        <v>0</v>
      </c>
      <c r="I100" s="1352"/>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3"/>
      <c r="AF100" s="1353"/>
    </row>
    <row r="101" spans="1:32">
      <c r="A101" s="757">
        <f>'D-1 Off-Site Habitat Baseline'!AF105</f>
        <v>0</v>
      </c>
      <c r="B101" s="764"/>
      <c r="C101" s="762">
        <f>SUMIF('D-1 Off-Site Habitat Baseline'!AF105:AF108,B101,'D-1 Off-Site Habitat Baseline'!T105:T108)</f>
        <v>0</v>
      </c>
      <c r="D101" s="1351">
        <f>SUMIF('D-1 Off-Site Habitat Baseline'!$AF$11:$AF$258,'Off-site gain site summary'!$B$7,'D-1 Off-Site Habitat Baseline'!$X$11:$X$258)</f>
        <v>0</v>
      </c>
      <c r="E101" s="1352"/>
      <c r="F101" s="1351">
        <f>SUMIF('D-3 Off-Site Habitat Enhancment'!$AU$12:$AU$258,'Off-site gain site summary'!B101,'D-3 Off-Site Habitat Enhancment'!$AQ$12:$AQ$258)</f>
        <v>0</v>
      </c>
      <c r="G101" s="1352"/>
      <c r="H101" s="1351">
        <f>SUMIF('D-2 Off-Site Habitat Creation'!$AF$11:$AF$256,'Off-site gain site summary'!B101,'D-2 Off-Site Habitat Creation'!$AB$11:$AB$256)</f>
        <v>0</v>
      </c>
      <c r="I101" s="1352"/>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3"/>
      <c r="AF101" s="1353"/>
    </row>
    <row r="102" spans="1:32">
      <c r="A102" s="757">
        <f>'D-1 Off-Site Habitat Baseline'!AF106</f>
        <v>0</v>
      </c>
      <c r="B102" s="764"/>
      <c r="C102" s="762">
        <f>SUMIF('D-1 Off-Site Habitat Baseline'!AF106:AF109,B102,'D-1 Off-Site Habitat Baseline'!T106:T109)</f>
        <v>0</v>
      </c>
      <c r="D102" s="1351">
        <f>SUMIF('D-1 Off-Site Habitat Baseline'!$AF$11:$AF$258,'Off-site gain site summary'!$B$7,'D-1 Off-Site Habitat Baseline'!$X$11:$X$258)</f>
        <v>0</v>
      </c>
      <c r="E102" s="1352"/>
      <c r="F102" s="1351">
        <f>SUMIF('D-3 Off-Site Habitat Enhancment'!$AU$12:$AU$258,'Off-site gain site summary'!B102,'D-3 Off-Site Habitat Enhancment'!$AQ$12:$AQ$258)</f>
        <v>0</v>
      </c>
      <c r="G102" s="1352"/>
      <c r="H102" s="1351">
        <f>SUMIF('D-2 Off-Site Habitat Creation'!$AF$11:$AF$256,'Off-site gain site summary'!B102,'D-2 Off-Site Habitat Creation'!$AB$11:$AB$256)</f>
        <v>0</v>
      </c>
      <c r="I102" s="1352"/>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3"/>
      <c r="AF102" s="1353"/>
    </row>
    <row r="103" spans="1:32">
      <c r="A103" s="757">
        <f>'D-1 Off-Site Habitat Baseline'!AF107</f>
        <v>0</v>
      </c>
      <c r="B103" s="764"/>
      <c r="C103" s="762">
        <f>SUMIF('D-1 Off-Site Habitat Baseline'!AF107:AF110,B103,'D-1 Off-Site Habitat Baseline'!T107:T110)</f>
        <v>0</v>
      </c>
      <c r="D103" s="1351">
        <f>SUMIF('D-1 Off-Site Habitat Baseline'!$AF$11:$AF$258,'Off-site gain site summary'!$B$7,'D-1 Off-Site Habitat Baseline'!$X$11:$X$258)</f>
        <v>0</v>
      </c>
      <c r="E103" s="1352"/>
      <c r="F103" s="1351">
        <f>SUMIF('D-3 Off-Site Habitat Enhancment'!$AU$12:$AU$258,'Off-site gain site summary'!B103,'D-3 Off-Site Habitat Enhancment'!$AQ$12:$AQ$258)</f>
        <v>0</v>
      </c>
      <c r="G103" s="1352"/>
      <c r="H103" s="1351">
        <f>SUMIF('D-2 Off-Site Habitat Creation'!$AF$11:$AF$256,'Off-site gain site summary'!B103,'D-2 Off-Site Habitat Creation'!$AB$11:$AB$256)</f>
        <v>0</v>
      </c>
      <c r="I103" s="1352"/>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3"/>
      <c r="AF103" s="1353"/>
    </row>
    <row r="104" spans="1:32">
      <c r="A104" s="757">
        <f>'D-1 Off-Site Habitat Baseline'!AF108</f>
        <v>0</v>
      </c>
      <c r="B104" s="764"/>
      <c r="C104" s="762">
        <f>SUMIF('D-1 Off-Site Habitat Baseline'!AF108:AF111,B104,'D-1 Off-Site Habitat Baseline'!T108:T111)</f>
        <v>0</v>
      </c>
      <c r="D104" s="1351">
        <f>SUMIF('D-1 Off-Site Habitat Baseline'!$AF$11:$AF$258,'Off-site gain site summary'!$B$7,'D-1 Off-Site Habitat Baseline'!$X$11:$X$258)</f>
        <v>0</v>
      </c>
      <c r="E104" s="1352"/>
      <c r="F104" s="1351">
        <f>SUMIF('D-3 Off-Site Habitat Enhancment'!$AU$12:$AU$258,'Off-site gain site summary'!B104,'D-3 Off-Site Habitat Enhancment'!$AQ$12:$AQ$258)</f>
        <v>0</v>
      </c>
      <c r="G104" s="1352"/>
      <c r="H104" s="1351">
        <f>SUMIF('D-2 Off-Site Habitat Creation'!$AF$11:$AF$256,'Off-site gain site summary'!B104,'D-2 Off-Site Habitat Creation'!$AB$11:$AB$256)</f>
        <v>0</v>
      </c>
      <c r="I104" s="1352"/>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3"/>
      <c r="AF104" s="1353"/>
    </row>
    <row r="105" spans="1:32">
      <c r="A105" s="757">
        <f>'D-1 Off-Site Habitat Baseline'!AF109</f>
        <v>0</v>
      </c>
      <c r="B105" s="764"/>
      <c r="C105" s="762">
        <f>SUMIF('D-1 Off-Site Habitat Baseline'!AF109:AF112,B105,'D-1 Off-Site Habitat Baseline'!T109:T112)</f>
        <v>0</v>
      </c>
      <c r="D105" s="1351">
        <f>SUMIF('D-1 Off-Site Habitat Baseline'!$AF$11:$AF$258,'Off-site gain site summary'!$B$7,'D-1 Off-Site Habitat Baseline'!$X$11:$X$258)</f>
        <v>0</v>
      </c>
      <c r="E105" s="1352"/>
      <c r="F105" s="1351">
        <f>SUMIF('D-3 Off-Site Habitat Enhancment'!$AU$12:$AU$258,'Off-site gain site summary'!B105,'D-3 Off-Site Habitat Enhancment'!$AQ$12:$AQ$258)</f>
        <v>0</v>
      </c>
      <c r="G105" s="1352"/>
      <c r="H105" s="1351">
        <f>SUMIF('D-2 Off-Site Habitat Creation'!$AF$11:$AF$256,'Off-site gain site summary'!B105,'D-2 Off-Site Habitat Creation'!$AB$11:$AB$256)</f>
        <v>0</v>
      </c>
      <c r="I105" s="1352"/>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3"/>
      <c r="AF105" s="1353"/>
    </row>
    <row r="106" spans="1:32">
      <c r="A106" s="757">
        <f>'D-1 Off-Site Habitat Baseline'!AF110</f>
        <v>0</v>
      </c>
      <c r="B106" s="764"/>
      <c r="C106" s="762">
        <f>SUMIF('D-1 Off-Site Habitat Baseline'!AF110:AF113,B106,'D-1 Off-Site Habitat Baseline'!T110:T113)</f>
        <v>0</v>
      </c>
      <c r="D106" s="1351">
        <f>SUMIF('D-1 Off-Site Habitat Baseline'!$AF$11:$AF$258,'Off-site gain site summary'!$B$7,'D-1 Off-Site Habitat Baseline'!$X$11:$X$258)</f>
        <v>0</v>
      </c>
      <c r="E106" s="1352"/>
      <c r="F106" s="1351">
        <f>SUMIF('D-3 Off-Site Habitat Enhancment'!$AU$12:$AU$258,'Off-site gain site summary'!B106,'D-3 Off-Site Habitat Enhancment'!$AQ$12:$AQ$258)</f>
        <v>0</v>
      </c>
      <c r="G106" s="1352"/>
      <c r="H106" s="1351">
        <f>SUMIF('D-2 Off-Site Habitat Creation'!$AF$11:$AF$256,'Off-site gain site summary'!B106,'D-2 Off-Site Habitat Creation'!$AB$11:$AB$256)</f>
        <v>0</v>
      </c>
      <c r="I106" s="1352"/>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3"/>
      <c r="AF106" s="1353"/>
    </row>
    <row r="107" spans="1:32" ht="15.75" thickBot="1">
      <c r="A107" s="757">
        <f>'D-1 Off-Site Habitat Baseline'!AF111</f>
        <v>0</v>
      </c>
      <c r="B107" s="767"/>
      <c r="C107" s="768">
        <f>SUMIF('D-1 Off-Site Habitat Baseline'!AF111:AF114,B107,'D-1 Off-Site Habitat Baseline'!T111:T114)</f>
        <v>0</v>
      </c>
      <c r="D107" s="1398">
        <f>SUMIF('D-1 Off-Site Habitat Baseline'!$AF$11:$AF$258,'Off-site gain site summary'!$B$7,'D-1 Off-Site Habitat Baseline'!$X$11:$X$258)</f>
        <v>0</v>
      </c>
      <c r="E107" s="1399"/>
      <c r="F107" s="1398">
        <f>SUMIF('D-3 Off-Site Habitat Enhancment'!$AU$12:$AU$258,'Off-site gain site summary'!B107,'D-3 Off-Site Habitat Enhancment'!$AQ$12:$AQ$258)</f>
        <v>0</v>
      </c>
      <c r="G107" s="1399"/>
      <c r="H107" s="1398">
        <f>SUMIF('D-2 Off-Site Habitat Creation'!$AF$11:$AF$256,'Off-site gain site summary'!B107,'D-2 Off-Site Habitat Creation'!$AB$11:$AB$256)</f>
        <v>0</v>
      </c>
      <c r="I107" s="1399"/>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3"/>
      <c r="AF107" s="1353"/>
    </row>
    <row r="108" spans="1:32" ht="15.75" thickBot="1">
      <c r="A108" s="757">
        <f>'D-1 Off-Site Habitat Baseline'!AF112</f>
        <v>0</v>
      </c>
      <c r="B108" s="1394"/>
      <c r="C108" s="1395"/>
      <c r="D108" s="1395"/>
      <c r="E108" s="1395"/>
      <c r="F108" s="1395"/>
      <c r="G108" s="1395"/>
      <c r="H108" s="1395"/>
      <c r="I108" s="1395"/>
      <c r="J108" s="1395"/>
      <c r="K108" s="1395"/>
      <c r="L108" s="1400"/>
      <c r="M108" s="757">
        <f>'E-1 Off-Site Hedge Baseline'!AB111</f>
        <v>0</v>
      </c>
      <c r="N108" s="775"/>
      <c r="O108" s="776"/>
      <c r="P108" s="776"/>
      <c r="Q108" s="776"/>
      <c r="R108" s="776"/>
      <c r="S108" s="776"/>
      <c r="T108" s="776"/>
      <c r="U108" s="777"/>
      <c r="V108" s="1">
        <f>'F-1 Off-Site WaterC'' Baseline'!AG111</f>
        <v>0</v>
      </c>
      <c r="W108" s="1394"/>
      <c r="X108" s="1395"/>
      <c r="Y108" s="1395"/>
      <c r="Z108" s="1395"/>
      <c r="AA108" s="1395"/>
      <c r="AB108" s="1395"/>
      <c r="AC108" s="1395"/>
      <c r="AD108" s="1395"/>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6600"/>
    <pageSetUpPr fitToPage="1"/>
  </sheetPr>
  <dimension ref="A1:AT275"/>
  <sheetViews>
    <sheetView showGridLines="0" topLeftCell="F1" zoomScale="60" zoomScaleNormal="60" workbookViewId="0">
      <selection activeCell="M34" sqref="M34"/>
    </sheetView>
  </sheetViews>
  <sheetFormatPr defaultColWidth="0" defaultRowHeight="15" zeroHeight="1"/>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75" thickBot="1"/>
    <row r="2" spans="1:43" ht="19.5" thickBot="1">
      <c r="D2" s="1430" t="str">
        <f>CONCATENATE("Project Name:", " ", Start!F12, "     ", "Map Reference:", " ", Start!F55)</f>
        <v xml:space="preserve">Project Name: Barnsley West Commerical     Map Reference: </v>
      </c>
      <c r="E2" s="1431"/>
      <c r="F2" s="1432"/>
      <c r="I2" s="1401" t="s">
        <v>263</v>
      </c>
      <c r="J2" s="1402"/>
      <c r="K2" s="1402"/>
      <c r="L2" s="1402"/>
      <c r="M2" s="1403"/>
      <c r="Q2" s="1420" t="str" cm="1">
        <f t="array" ref="Q2">IF(OR(K11:K258 = "Fairly Good", K11:K258 = "Fairly Poor"),"A 'Fairly' Category has been used - check evidence to ensure this is appropriate ⚠", "")</f>
        <v/>
      </c>
      <c r="R2" s="1420"/>
      <c r="S2" s="1420"/>
      <c r="T2" s="1420"/>
      <c r="U2" s="1420"/>
      <c r="V2" s="1420"/>
      <c r="W2" s="1420"/>
      <c r="X2" s="1420"/>
    </row>
    <row r="3" spans="1:43" ht="15.6" customHeight="1">
      <c r="D3" s="1424" t="str">
        <f ca="1">MID(CELL("filename",C1),FIND("]",CELL("filename",C1))+1,256)</f>
        <v>A-1 On-Site Habitat Baseline</v>
      </c>
      <c r="E3" s="1425"/>
      <c r="F3" s="1426"/>
      <c r="I3" s="1439" t="s">
        <v>264</v>
      </c>
      <c r="J3" s="1440"/>
      <c r="K3" s="1440"/>
      <c r="L3" s="1433">
        <f>'Headline Results'!H47</f>
        <v>24.211490082272675</v>
      </c>
      <c r="M3" s="1434"/>
      <c r="N3" s="735"/>
      <c r="Q3" s="1420"/>
      <c r="R3" s="1420"/>
      <c r="S3" s="1420"/>
      <c r="T3" s="1420"/>
      <c r="U3" s="1420"/>
      <c r="V3" s="1420"/>
      <c r="W3" s="1420"/>
      <c r="X3" s="1420"/>
      <c r="AC3" s="35" t="s">
        <v>265</v>
      </c>
      <c r="AD3" s="35" t="s">
        <v>265</v>
      </c>
      <c r="AE3" s="35" t="s">
        <v>265</v>
      </c>
      <c r="AF3" s="35" t="s">
        <v>265</v>
      </c>
      <c r="AG3" s="35" t="s">
        <v>265</v>
      </c>
      <c r="AH3" s="35" t="s">
        <v>265</v>
      </c>
      <c r="AI3" s="35" t="s">
        <v>265</v>
      </c>
      <c r="AJ3" s="35" t="s">
        <v>265</v>
      </c>
      <c r="AK3" s="35" t="s">
        <v>265</v>
      </c>
      <c r="AL3" s="35" t="s">
        <v>265</v>
      </c>
      <c r="AM3" s="35" t="s">
        <v>265</v>
      </c>
      <c r="AN3" s="35" t="s">
        <v>265</v>
      </c>
    </row>
    <row r="4" spans="1:43" ht="15" customHeight="1" thickBot="1">
      <c r="D4" s="1427"/>
      <c r="E4" s="1428"/>
      <c r="F4" s="1429"/>
      <c r="I4" s="1441" t="s">
        <v>266</v>
      </c>
      <c r="J4" s="1442"/>
      <c r="K4" s="1442"/>
      <c r="L4" s="1435">
        <f>'Headline Results'!H51</f>
        <v>0.22331314528416341</v>
      </c>
      <c r="M4" s="1436"/>
      <c r="N4" s="735"/>
      <c r="Q4" s="1420"/>
      <c r="R4" s="1420"/>
      <c r="S4" s="1420"/>
      <c r="T4" s="1420"/>
      <c r="U4" s="1420"/>
      <c r="V4" s="1420"/>
      <c r="W4" s="1420"/>
      <c r="X4" s="1420"/>
      <c r="AF4" s="35" t="s">
        <v>267</v>
      </c>
      <c r="AG4" s="35" t="s">
        <v>267</v>
      </c>
      <c r="AH4" s="35" t="s">
        <v>267</v>
      </c>
      <c r="AI4" s="35" t="s">
        <v>267</v>
      </c>
      <c r="AJ4" s="35" t="s">
        <v>267</v>
      </c>
      <c r="AK4" s="35" t="s">
        <v>267</v>
      </c>
      <c r="AL4" s="35" t="s">
        <v>267</v>
      </c>
      <c r="AM4" s="35" t="s">
        <v>267</v>
      </c>
      <c r="AN4" s="35" t="s">
        <v>267</v>
      </c>
    </row>
    <row r="5" spans="1:43" ht="15.6" customHeight="1" thickBot="1">
      <c r="I5" s="1443" t="s">
        <v>268</v>
      </c>
      <c r="J5" s="1437"/>
      <c r="K5" s="1437"/>
      <c r="L5" s="1437" t="str" cm="1">
        <f t="array" ref="L5">IF(OR('Trading Summary Area Habitats'!G5:G8="No ▲"), "No - check trading summaries ▲", "Yes ✓")</f>
        <v>No - check trading summaries ▲</v>
      </c>
      <c r="M5" s="1438"/>
      <c r="N5" s="735"/>
      <c r="Q5" s="1420"/>
      <c r="R5" s="1420"/>
      <c r="S5" s="1420"/>
      <c r="T5" s="1420"/>
      <c r="U5" s="1420"/>
      <c r="V5" s="1420"/>
      <c r="W5" s="1420"/>
      <c r="X5" s="1420"/>
    </row>
    <row r="6" spans="1:43" ht="16.149999999999999" customHeight="1">
      <c r="I6" s="1412" t="str" cm="1">
        <f t="array" ref="I6">IF(OR(E11:E258="watercourse footprint"),"Please ensure the watercourse details for any watercourse footprints recorded are included in the watercourse tabs ⚠","")</f>
        <v/>
      </c>
      <c r="J6" s="1412"/>
      <c r="K6" s="1412"/>
      <c r="L6" s="1412"/>
      <c r="M6" s="1412"/>
    </row>
    <row r="7" spans="1:43">
      <c r="I7" s="1181"/>
      <c r="J7" s="1181"/>
      <c r="K7" s="1181"/>
      <c r="L7" s="1181"/>
      <c r="M7" s="1181"/>
    </row>
    <row r="8" spans="1:43" ht="31.15" customHeight="1" thickBot="1">
      <c r="D8" s="38"/>
      <c r="E8" s="38"/>
      <c r="F8" s="38"/>
      <c r="I8" s="1413"/>
      <c r="J8" s="1413"/>
      <c r="K8" s="1413"/>
      <c r="L8" s="1413"/>
      <c r="M8" s="1413"/>
    </row>
    <row r="9" spans="1:43" ht="29.45" customHeight="1" thickBot="1">
      <c r="D9" s="38"/>
      <c r="E9" s="1407" t="s">
        <v>269</v>
      </c>
      <c r="F9" s="1408"/>
      <c r="G9" s="1408"/>
      <c r="H9" s="1409"/>
      <c r="I9" s="1407" t="s">
        <v>270</v>
      </c>
      <c r="J9" s="1409"/>
      <c r="K9" s="1407" t="s">
        <v>271</v>
      </c>
      <c r="L9" s="1409"/>
      <c r="M9" s="1407" t="s">
        <v>272</v>
      </c>
      <c r="N9" s="1408"/>
      <c r="O9" s="1409"/>
      <c r="P9" s="1410" t="s">
        <v>273</v>
      </c>
      <c r="Q9" s="718" t="s">
        <v>274</v>
      </c>
      <c r="R9" s="39"/>
      <c r="S9" s="1404" t="s">
        <v>275</v>
      </c>
      <c r="T9" s="1405"/>
      <c r="U9" s="1405"/>
      <c r="V9" s="1405"/>
      <c r="W9" s="1405"/>
      <c r="X9" s="1406"/>
      <c r="Y9" s="1410" t="s">
        <v>276</v>
      </c>
      <c r="Z9" s="1404" t="s">
        <v>277</v>
      </c>
      <c r="AA9" s="1405"/>
      <c r="AB9" s="1406"/>
      <c r="AC9" s="35" t="s">
        <v>267</v>
      </c>
      <c r="AD9" s="35" t="s">
        <v>267</v>
      </c>
      <c r="AF9" s="40" t="s">
        <v>278</v>
      </c>
      <c r="AG9" s="40"/>
      <c r="AH9" s="40"/>
      <c r="AI9" s="40"/>
      <c r="AJ9" s="40"/>
      <c r="AK9" s="40" t="s">
        <v>279</v>
      </c>
      <c r="AL9" s="40"/>
      <c r="AM9" s="40"/>
      <c r="AN9" s="40"/>
      <c r="AQ9" s="35" t="s">
        <v>280</v>
      </c>
    </row>
    <row r="10" spans="1:43" ht="44.25" customHeight="1" thickBot="1">
      <c r="B10" s="41" t="s">
        <v>281</v>
      </c>
      <c r="D10" s="44" t="s">
        <v>282</v>
      </c>
      <c r="E10" s="476" t="s">
        <v>283</v>
      </c>
      <c r="F10" s="477" t="s">
        <v>284</v>
      </c>
      <c r="G10" s="728" t="s">
        <v>285</v>
      </c>
      <c r="H10" s="43" t="s">
        <v>286</v>
      </c>
      <c r="I10" s="44" t="s">
        <v>270</v>
      </c>
      <c r="J10" s="43" t="s">
        <v>287</v>
      </c>
      <c r="K10" s="44" t="s">
        <v>271</v>
      </c>
      <c r="L10" s="43" t="s">
        <v>287</v>
      </c>
      <c r="M10" s="44" t="s">
        <v>272</v>
      </c>
      <c r="N10" s="292" t="s">
        <v>272</v>
      </c>
      <c r="O10" s="43" t="s">
        <v>288</v>
      </c>
      <c r="P10" s="1411"/>
      <c r="Q10" s="42" t="s">
        <v>289</v>
      </c>
      <c r="R10" s="39"/>
      <c r="S10" s="45" t="s">
        <v>290</v>
      </c>
      <c r="T10" s="46" t="s">
        <v>291</v>
      </c>
      <c r="U10" s="47" t="s">
        <v>292</v>
      </c>
      <c r="V10" s="47" t="s">
        <v>293</v>
      </c>
      <c r="W10" s="47" t="s">
        <v>294</v>
      </c>
      <c r="X10" s="48" t="s">
        <v>295</v>
      </c>
      <c r="Y10" s="1411"/>
      <c r="Z10" s="49" t="s">
        <v>296</v>
      </c>
      <c r="AA10" s="524" t="s">
        <v>297</v>
      </c>
      <c r="AB10" s="48" t="s">
        <v>298</v>
      </c>
      <c r="AC10" s="733" t="s">
        <v>299</v>
      </c>
      <c r="AD10" s="733" t="s">
        <v>300</v>
      </c>
      <c r="AF10" s="40" t="s">
        <v>301</v>
      </c>
      <c r="AG10" s="40" t="s">
        <v>302</v>
      </c>
      <c r="AH10" s="40" t="s">
        <v>303</v>
      </c>
      <c r="AI10" s="40" t="s">
        <v>304</v>
      </c>
      <c r="AJ10" s="40"/>
      <c r="AK10" s="40" t="s">
        <v>301</v>
      </c>
      <c r="AL10" s="40" t="s">
        <v>302</v>
      </c>
      <c r="AM10" s="40" t="s">
        <v>303</v>
      </c>
      <c r="AN10" s="40"/>
    </row>
    <row r="11" spans="1:43" ht="30">
      <c r="A11" s="35" t="str">
        <f>IFERROR(INDEX('G-1 All Habitats'!$AG$3:$AG$17,MATCH(E11,'G-1 All Habitats'!$AF$3:$AF$17,0)),"")</f>
        <v>Cropland</v>
      </c>
      <c r="B11" s="35" t="str">
        <f>IFERROR(INDEX('G-8 Condition Look up'!$I$4:$I$135,MATCH(G11,'G-8 Condition Look up'!$A$4:$A$135,0)),"")</f>
        <v>Cond1</v>
      </c>
      <c r="D11" s="787">
        <v>1</v>
      </c>
      <c r="E11" s="812" t="s">
        <v>124</v>
      </c>
      <c r="F11" s="51" t="s">
        <v>484</v>
      </c>
      <c r="G11" s="788" t="str">
        <f>IFERROR(INDEX('G-1 All Habitats'!$B$3:$B$134,MATCH(F11,'G-1 All Habitats'!$A$3:$A$134,0)),"")</f>
        <v>Cropland - Cereal crops</v>
      </c>
      <c r="H11" s="789">
        <v>1.81296281918</v>
      </c>
      <c r="I11" s="443" t="str">
        <f>IF(G11="","",VLOOKUP(G11,'G-1 All Habitats'!$B$2:$M$134,10,FALSE))</f>
        <v>Low</v>
      </c>
      <c r="J11" s="790">
        <f>IFERROR(VLOOKUP(I11,'G-1 All Habitats'!$V$3:$W$7,2,FALSE),"")</f>
        <v>2</v>
      </c>
      <c r="K11" s="791" t="s">
        <v>493</v>
      </c>
      <c r="L11" s="790">
        <f>IFERROR(INDEX('G-8 Condition Look up'!$A$3:$H$135,MATCH(G11,'G-8 Condition Look up'!$A$3:$A$135,0),MATCH(K11,'G-8 Condition Look up'!$A$3:$H$3,0)),"")</f>
        <v>1</v>
      </c>
      <c r="M11" s="54" t="s">
        <v>1037</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3.62592563836</v>
      </c>
      <c r="R11" s="36"/>
      <c r="S11" s="791">
        <v>0</v>
      </c>
      <c r="T11" s="801">
        <v>0</v>
      </c>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1.81296281918</v>
      </c>
      <c r="X11" s="803">
        <f>IFERROR(IF(H11="","",IF(H11-S11-T11=0&lt;0,"Error in Areas ▲",IF(S11+T11&gt;H11,"Error in Areas ▲",IF(AND(P11='G-1 All Habitats'!$X$3,Y11="Yes"),"Alternative Compensation ✓",IF(W11=0,0,IF(P11='G-1 All Habitats'!$X$3,"Any Loss Unacceptable ▲",Q11-U11-V11)))))),"Check Data ▲")</f>
        <v>3.62592563836</v>
      </c>
      <c r="Y11" s="801"/>
      <c r="Z11" s="56" t="s">
        <v>1686</v>
      </c>
      <c r="AA11" s="525"/>
      <c r="AB11" s="137"/>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25</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0">
      <c r="A12" s="35" t="str">
        <f>IFERROR(INDEX('G-1 All Habitats'!$AG$3:$AG$17,MATCH(E12,'G-1 All Habitats'!$AF$3:$AF$17,0)),"")</f>
        <v>Cropland</v>
      </c>
      <c r="B12" s="35" t="str">
        <f>IFERROR(INDEX('G-8 Condition Look up'!$I$4:$I$135,MATCH(G12,'G-8 Condition Look up'!$A$4:$A$135,0)),"")</f>
        <v>Cond1</v>
      </c>
      <c r="D12" s="287">
        <v>2</v>
      </c>
      <c r="E12" s="892" t="s">
        <v>124</v>
      </c>
      <c r="F12" s="61" t="s">
        <v>484</v>
      </c>
      <c r="G12" s="52" t="str">
        <f>IFERROR(INDEX('G-1 All Habitats'!$B$3:$B$134,MATCH(F12,'G-1 All Habitats'!$A$3:$A$134,0)),"")</f>
        <v>Cropland - Cereal crops</v>
      </c>
      <c r="H12" s="53">
        <v>1.64109285124</v>
      </c>
      <c r="I12" s="362" t="str">
        <f>IF(G12="","",VLOOKUP(G12,'G-1 All Habitats'!$B$2:$M$134,10,FALSE))</f>
        <v>Low</v>
      </c>
      <c r="J12" s="363">
        <f>IFERROR(VLOOKUP(I12,'G-1 All Habitats'!$V$3:$W$7,2,FALSE),"")</f>
        <v>2</v>
      </c>
      <c r="K12" s="54" t="s">
        <v>493</v>
      </c>
      <c r="L12" s="363">
        <f>IFERROR(INDEX('G-8 Condition Look up'!$A$3:$H$135,MATCH(G12,'G-8 Condition Look up'!$A$3:$A$135,0),MATCH(K12,'G-8 Condition Look up'!$A$3:$H$3,0)),"")</f>
        <v>1</v>
      </c>
      <c r="M12" s="54" t="s">
        <v>1037</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3.2821857024800001</v>
      </c>
      <c r="R12" s="38"/>
      <c r="S12" s="54">
        <v>0</v>
      </c>
      <c r="T12" s="55">
        <v>0</v>
      </c>
      <c r="U12" s="374">
        <f>IFERROR(S12*J12*L12*O12,"")</f>
        <v>0</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1.64109285124</v>
      </c>
      <c r="X12" s="378">
        <f>IFERROR(IF(H12="","",IF(H12-S12-T12=0&lt;0,"Error in Areas ▲",IF(S12+T12&gt;H12,"Error in Areas ▲",IF(AND(P12='G-1 All Habitats'!$X$3,Y12="Yes"),"Alternative Compensation ✓",IF(W12=0,0,IF(P12='G-1 All Habitats'!$X$3,"Any Loss Unacceptable ▲",Q12-U12-V12)))))),"Check Data ▲")</f>
        <v>3.2821857024800001</v>
      </c>
      <c r="Y12" s="55"/>
      <c r="Z12" s="62" t="s">
        <v>1687</v>
      </c>
      <c r="AA12" s="526"/>
      <c r="AB12" s="120"/>
      <c r="AC12" s="726" t="str">
        <f>IF(P12="","",IF(P12='G-1 All Habitats'!$X$3,H12-S12-T12,"None"))</f>
        <v>None</v>
      </c>
      <c r="AD12" s="727" t="str">
        <f>IF(P12="","", IF(P12='G-1 All Habitats'!$X$3, AC12*J12*L12*O12,"None"))</f>
        <v>None</v>
      </c>
      <c r="AF12" s="40" t="b">
        <f t="shared" si="0"/>
        <v>0</v>
      </c>
      <c r="AG12" s="40" t="b">
        <f t="shared" si="1"/>
        <v>0</v>
      </c>
      <c r="AH12" s="40" t="e">
        <f>IF(I12="","",IF(#REF!&gt;0,TRUE,FALSE))</f>
        <v>#REF!</v>
      </c>
      <c r="AI12" s="40">
        <v>2</v>
      </c>
      <c r="AJ12" s="40"/>
      <c r="AK12" s="40">
        <f t="array" ref="AK12">IFERROR(INDEX($AI$11:$AI$259, MATCH(0, IF(TRUE=$AF$11:$AF$259, COUNTIF($AK$10:$AK11, $AI$11:$AI$259), ""), 0)),"")</f>
        <v>26</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124</v>
      </c>
      <c r="F13" s="61" t="s">
        <v>484</v>
      </c>
      <c r="G13" s="52" t="str">
        <f>IFERROR(INDEX('G-1 All Habitats'!$B$3:$B$134,MATCH(F13,'G-1 All Habitats'!$A$3:$A$134,0)),"")</f>
        <v>Cropland - Cereal crops</v>
      </c>
      <c r="H13" s="53">
        <v>1.67752054899</v>
      </c>
      <c r="I13" s="362" t="str">
        <f>IF(G13="","",VLOOKUP(G13,'G-1 All Habitats'!$B$2:$M$134,10,FALSE))</f>
        <v>Low</v>
      </c>
      <c r="J13" s="363">
        <f>IFERROR(VLOOKUP(I13,'G-1 All Habitats'!$V$3:$W$7,2,FALSE),"")</f>
        <v>2</v>
      </c>
      <c r="K13" s="54" t="s">
        <v>493</v>
      </c>
      <c r="L13" s="363">
        <f>IFERROR(INDEX('G-8 Condition Look up'!$A$3:$H$135,MATCH(G13,'G-8 Condition Look up'!$A$3:$A$135,0),MATCH(K13,'G-8 Condition Look up'!$A$3:$H$3,0)),"")</f>
        <v>1</v>
      </c>
      <c r="M13" s="54" t="s">
        <v>1037</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3.3550410979800001</v>
      </c>
      <c r="R13" s="38"/>
      <c r="S13" s="54">
        <v>0</v>
      </c>
      <c r="T13" s="55">
        <v>0</v>
      </c>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1.67752054899</v>
      </c>
      <c r="X13" s="378">
        <f>IFERROR(IF(H13="","",IF(H13-S13-T13=0&lt;0,"Error in Areas ▲",IF(S13+T13&gt;H13,"Error in Areas ▲",IF(AND(P13='G-1 All Habitats'!$X$3,Y13="Yes"),"Alternative Compensation ✓",IF(W13=0,0,IF(P13='G-1 All Habitats'!$X$3,"Any Loss Unacceptable ▲",Q13-U13-V13)))))),"Check Data ▲")</f>
        <v>3.3550410979800001</v>
      </c>
      <c r="Y13" s="55"/>
      <c r="Z13" s="62" t="s">
        <v>1688</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t="str">
        <f t="array" ref="AK13">IFERROR(INDEX($AI$11:$AI$259, MATCH(0, IF(TRUE=$AF$11:$AF$259, COUNTIF($AK$10:$AK12, $AI$11:$AI$259), ""), 0)),"")</f>
        <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Urban</v>
      </c>
      <c r="B14" s="35" t="str">
        <f>IFERROR(INDEX('G-8 Condition Look up'!$I$4:$I$135,MATCH(G14,'G-8 Condition Look up'!$A$4:$A$135,0)),"")</f>
        <v>Cond2</v>
      </c>
      <c r="D14" s="287">
        <v>4</v>
      </c>
      <c r="E14" s="267" t="s">
        <v>129</v>
      </c>
      <c r="F14" s="61" t="s">
        <v>686</v>
      </c>
      <c r="G14" s="52" t="str">
        <f>IFERROR(INDEX('G-1 All Habitats'!$B$3:$B$134,MATCH(F14,'G-1 All Habitats'!$A$3:$A$134,0)),"")</f>
        <v>Urban - Artificial unvegetated, unsealed surface</v>
      </c>
      <c r="H14" s="53">
        <v>0.54068310926999996</v>
      </c>
      <c r="I14" s="362" t="str">
        <f>IF(G14="","",VLOOKUP(G14,'G-1 All Habitats'!$B$2:$M$134,10,FALSE))</f>
        <v>V.Low</v>
      </c>
      <c r="J14" s="363">
        <f>IFERROR(VLOOKUP(I14,'G-1 All Habitats'!$V$3:$W$7,2,FALSE),"")</f>
        <v>0</v>
      </c>
      <c r="K14" s="54" t="s">
        <v>497</v>
      </c>
      <c r="L14" s="363">
        <f>IFERROR(INDEX('G-8 Condition Look up'!$A$3:$H$135,MATCH(G14,'G-8 Condition Look up'!$A$3:$A$135,0),MATCH(K14,'G-8 Condition Look up'!$A$3:$H$3,0)),"")</f>
        <v>0</v>
      </c>
      <c r="M14" s="54" t="s">
        <v>1037</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Compensation Not Required</v>
      </c>
      <c r="Q14" s="376">
        <f>IFERROR(IF(P14="","",IF(AND(P14='G-1 All Habitats'!$X$3,T14&gt;0),U14+V14,IF(AND(P14='G-1 All Habitats'!$X$3,S14&gt;0),U14+V14,IF(AND(P14='G-1 All Habitats'!$X$3,AC14&gt;0),"Any Loss Unacceptable ⚠",IF(AND(P14='G-1 All Habitats'!$X$3,W14&gt;0),"Any Loss Unacceptable ⚠",H14*J14*L14*O14))))),"Check Data ▲")</f>
        <v>0</v>
      </c>
      <c r="R14" s="38"/>
      <c r="S14" s="54">
        <v>0</v>
      </c>
      <c r="T14" s="55">
        <v>0</v>
      </c>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0.54068310926999996</v>
      </c>
      <c r="X14" s="378">
        <f>IFERROR(IF(H14="","",IF(H14-S14-T14=0&lt;0,"Error in Areas ▲",IF(S14+T14&gt;H14,"Error in Areas ▲",IF(AND(P14='G-1 All Habitats'!$X$3,Y14="Yes"),"Alternative Compensation ✓",IF(W14=0,0,IF(P14='G-1 All Habitats'!$X$3,"Any Loss Unacceptable ▲",Q14-U14-V14)))))),"Check Data ▲")</f>
        <v>0</v>
      </c>
      <c r="Y14" s="55"/>
      <c r="Z14" s="62" t="s">
        <v>1689</v>
      </c>
      <c r="AA14" s="526"/>
      <c r="AB14" s="120"/>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t="str">
        <f t="array" ref="AK14">IFERROR(INDEX($AI$11:$AI$259, MATCH(0, IF(TRUE=$AF$11:$AF$259, COUNTIF($AK$10:$AK13, $AI$11:$AI$259), ""), 0)),"")</f>
        <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Grassland</v>
      </c>
      <c r="B15" s="35" t="str">
        <f>IFERROR(INDEX('G-8 Condition Look up'!$I$4:$I$135,MATCH(G15,'G-8 Condition Look up'!$A$4:$A$135,0)),"")</f>
        <v>Cond4</v>
      </c>
      <c r="D15" s="287">
        <v>5</v>
      </c>
      <c r="E15" s="267" t="s">
        <v>125</v>
      </c>
      <c r="F15" s="61" t="s">
        <v>547</v>
      </c>
      <c r="G15" s="52" t="str">
        <f>IFERROR(INDEX('G-1 All Habitats'!$B$3:$B$134,MATCH(F15,'G-1 All Habitats'!$A$3:$A$134,0)),"")</f>
        <v>Grassland - Other neutral grassland</v>
      </c>
      <c r="H15" s="53">
        <v>1.316435721E-2</v>
      </c>
      <c r="I15" s="362" t="str">
        <f>IF(G15="","",VLOOKUP(G15,'G-1 All Habitats'!$B$2:$M$134,10,FALSE))</f>
        <v>Medium</v>
      </c>
      <c r="J15" s="363">
        <f>IFERROR(VLOOKUP(I15,'G-1 All Habitats'!$V$3:$W$7,2,FALSE),"")</f>
        <v>4</v>
      </c>
      <c r="K15" s="54" t="s">
        <v>67</v>
      </c>
      <c r="L15" s="363">
        <f>IFERROR(INDEX('G-8 Condition Look up'!$A$3:$H$135,MATCH(G15,'G-8 Condition Look up'!$A$3:$A$135,0),MATCH(K15,'G-8 Condition Look up'!$A$3:$H$3,0)),"")</f>
        <v>2</v>
      </c>
      <c r="M15" s="54" t="s">
        <v>1029</v>
      </c>
      <c r="N15" s="382" t="str">
        <f>IF(M15="","",IF(VLOOKUP(M15,'G-3 Multipliers'!$L$3:$N$6,2,FALSE)=0,"Spatial Data Missing",VLOOKUP(M15,'G-3 Multipliers'!$L$3:$N$6,2,FALSE)))</f>
        <v xml:space="preserve">High strategic significance </v>
      </c>
      <c r="O15" s="368">
        <f>IF(M15="","",IF(VLOOKUP(M15,'G-3 Multipliers'!$L$3:$N$6,3,FALSE)=0,"Spatial Data Missing ▲",VLOOKUP(M15,'G-3 Multipliers'!$L$3:$N$6,3,FALSE)))</f>
        <v>1.1499999999999999</v>
      </c>
      <c r="P15" s="369" t="str">
        <f>IFERROR(VLOOKUP(G15,'G-1 All Habitats'!$B$2:$M$134,12,FALSE),"")</f>
        <v>Same broad habitat or a higher distinctiveness habitat required (≥)</v>
      </c>
      <c r="Q15" s="376">
        <f>IFERROR(IF(P15="","",IF(AND(P15='G-1 All Habitats'!$X$3,T15&gt;0),U15+V15,IF(AND(P15='G-1 All Habitats'!$X$3,S15&gt;0),U15+V15,IF(AND(P15='G-1 All Habitats'!$X$3,AC15&gt;0),"Any Loss Unacceptable ⚠",IF(AND(P15='G-1 All Habitats'!$X$3,W15&gt;0),"Any Loss Unacceptable ⚠",H15*J15*L15*O15))))),"Check Data ▲")</f>
        <v>0.12111208633199999</v>
      </c>
      <c r="R15" s="38"/>
      <c r="S15" s="54">
        <v>0</v>
      </c>
      <c r="T15" s="55">
        <v>0</v>
      </c>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1.316435721E-2</v>
      </c>
      <c r="X15" s="378">
        <f>IFERROR(IF(H15="","",IF(H15-S15-T15=0&lt;0,"Error in Areas ▲",IF(S15+T15&gt;H15,"Error in Areas ▲",IF(AND(P15='G-1 All Habitats'!$X$3,Y15="Yes"),"Alternative Compensation ✓",IF(W15=0,0,IF(P15='G-1 All Habitats'!$X$3,"Any Loss Unacceptable ▲",Q15-U15-V15)))))),"Check Data ▲")</f>
        <v>0.12111208633199999</v>
      </c>
      <c r="Y15" s="55"/>
      <c r="Z15" s="62" t="s">
        <v>1690</v>
      </c>
      <c r="AA15" s="526"/>
      <c r="AB15" s="120"/>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t="str">
        <f t="array" ref="AK15">IFERROR(INDEX($AI$11:$AI$259, MATCH(0, IF(TRUE=$AF$11:$AF$259, COUNTIF($AK$10:$AK14, $AI$11:$AI$259), ""), 0)),"")</f>
        <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125</v>
      </c>
      <c r="F16" s="61" t="s">
        <v>540</v>
      </c>
      <c r="G16" s="52" t="str">
        <f>IFERROR(INDEX('G-1 All Habitats'!$B$3:$B$134,MATCH(F16,'G-1 All Habitats'!$A$3:$A$134,0)),"")</f>
        <v>Grassland - Modified grassland</v>
      </c>
      <c r="H16" s="53">
        <v>0.70235549068000003</v>
      </c>
      <c r="I16" s="362" t="str">
        <f>IF(G16="","",VLOOKUP(G16,'G-1 All Habitats'!$B$2:$M$134,10,FALSE))</f>
        <v>Low</v>
      </c>
      <c r="J16" s="363">
        <f>IFERROR(VLOOKUP(I16,'G-1 All Habitats'!$V$3:$W$7,2,FALSE),"")</f>
        <v>2</v>
      </c>
      <c r="K16" s="54" t="s">
        <v>329</v>
      </c>
      <c r="L16" s="363">
        <f>IFERROR(INDEX('G-8 Condition Look up'!$A$3:$H$135,MATCH(G16,'G-8 Condition Look up'!$A$3:$A$135,0),MATCH(K16,'G-8 Condition Look up'!$A$3:$H$3,0)),"")</f>
        <v>1</v>
      </c>
      <c r="M16" s="54" t="s">
        <v>1029</v>
      </c>
      <c r="N16" s="382" t="str">
        <f>IF(M16="","",IF(VLOOKUP(M16,'G-3 Multipliers'!$L$3:$N$6,2,FALSE)=0,"Spatial Data Missing",VLOOKUP(M16,'G-3 Multipliers'!$L$3:$N$6,2,FALSE)))</f>
        <v xml:space="preserve">High strategic significance </v>
      </c>
      <c r="O16" s="368">
        <f>IF(M16="","",IF(VLOOKUP(M16,'G-3 Multipliers'!$L$3:$N$6,3,FALSE)=0,"Spatial Data Missing ▲",VLOOKUP(M16,'G-3 Multipliers'!$L$3:$N$6,3,FALSE)))</f>
        <v>1.1499999999999999</v>
      </c>
      <c r="P16" s="369" t="str">
        <f>IFERROR(VLOOKUP(G16,'G-1 All Habitats'!$B$2:$M$134,12,FALSE),"")</f>
        <v>Same distinctiveness or better habitat required ≥</v>
      </c>
      <c r="Q16" s="376">
        <f>IFERROR(IF(P16="","",IF(AND(P16='G-1 All Habitats'!$X$3,T16&gt;0),U16+V16,IF(AND(P16='G-1 All Habitats'!$X$3,S16&gt;0),U16+V16,IF(AND(P16='G-1 All Habitats'!$X$3,AC16&gt;0),"Any Loss Unacceptable ⚠",IF(AND(P16='G-1 All Habitats'!$X$3,W16&gt;0),"Any Loss Unacceptable ⚠",H16*J16*L16*O16))))),"Check Data ▲")</f>
        <v>1.6154176285639998</v>
      </c>
      <c r="R16" s="38"/>
      <c r="S16" s="54">
        <v>0</v>
      </c>
      <c r="T16" s="55">
        <v>0</v>
      </c>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0.70235549068000003</v>
      </c>
      <c r="X16" s="378">
        <f>IFERROR(IF(H16="","",IF(H16-S16-T16=0&lt;0,"Error in Areas ▲",IF(S16+T16&gt;H16,"Error in Areas ▲",IF(AND(P16='G-1 All Habitats'!$X$3,Y16="Yes"),"Alternative Compensation ✓",IF(W16=0,0,IF(P16='G-1 All Habitats'!$X$3,"Any Loss Unacceptable ▲",Q16-U16-V16)))))),"Check Data ▲")</f>
        <v>1.6154176285639998</v>
      </c>
      <c r="Y16" s="55"/>
      <c r="Z16" s="62" t="s">
        <v>1773</v>
      </c>
      <c r="AA16" s="526"/>
      <c r="AB16" s="120"/>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30">
      <c r="A17" s="35" t="str">
        <f>IFERROR(INDEX('G-1 All Habitats'!$AG$3:$AG$17,MATCH(E17,'G-1 All Habitats'!$AF$3:$AF$17,0)),"")</f>
        <v>Grassland</v>
      </c>
      <c r="B17" s="35" t="str">
        <f>IFERROR(INDEX('G-8 Condition Look up'!$I$4:$I$135,MATCH(G17,'G-8 Condition Look up'!$A$4:$A$135,0)),"")</f>
        <v>Cond4</v>
      </c>
      <c r="D17" s="287">
        <v>7</v>
      </c>
      <c r="E17" s="267" t="s">
        <v>125</v>
      </c>
      <c r="F17" s="61" t="s">
        <v>540</v>
      </c>
      <c r="G17" s="52" t="str">
        <f>IFERROR(INDEX('G-1 All Habitats'!$B$3:$B$134,MATCH(F17,'G-1 All Habitats'!$A$3:$A$134,0)),"")</f>
        <v>Grassland - Modified grassland</v>
      </c>
      <c r="H17" s="53">
        <v>7.7552001781</v>
      </c>
      <c r="I17" s="362" t="str">
        <f>IF(G17="","",VLOOKUP(G17,'G-1 All Habitats'!$B$2:$M$134,10,FALSE))</f>
        <v>Low</v>
      </c>
      <c r="J17" s="363">
        <f>IFERROR(VLOOKUP(I17,'G-1 All Habitats'!$V$3:$W$7,2,FALSE),"")</f>
        <v>2</v>
      </c>
      <c r="K17" s="54" t="s">
        <v>329</v>
      </c>
      <c r="L17" s="363">
        <f>IFERROR(INDEX('G-8 Condition Look up'!$A$3:$H$135,MATCH(G17,'G-8 Condition Look up'!$A$3:$A$135,0),MATCH(K17,'G-8 Condition Look up'!$A$3:$H$3,0)),"")</f>
        <v>1</v>
      </c>
      <c r="M17" s="54" t="s">
        <v>1029</v>
      </c>
      <c r="N17" s="382" t="str">
        <f>IF(M17="","",IF(VLOOKUP(M17,'G-3 Multipliers'!$L$3:$N$6,2,FALSE)=0,"Spatial Data Missing",VLOOKUP(M17,'G-3 Multipliers'!$L$3:$N$6,2,FALSE)))</f>
        <v xml:space="preserve">High strategic significance </v>
      </c>
      <c r="O17" s="368">
        <f>IF(M17="","",IF(VLOOKUP(M17,'G-3 Multipliers'!$L$3:$N$6,3,FALSE)=0,"Spatial Data Missing ▲",VLOOKUP(M17,'G-3 Multipliers'!$L$3:$N$6,3,FALSE)))</f>
        <v>1.1499999999999999</v>
      </c>
      <c r="P17" s="369" t="str">
        <f>IFERROR(VLOOKUP(G17,'G-1 All Habitats'!$B$2:$M$134,12,FALSE),"")</f>
        <v>Same distinctiveness or better habitat required ≥</v>
      </c>
      <c r="Q17" s="376">
        <f>IFERROR(IF(P17="","",IF(AND(P17='G-1 All Habitats'!$X$3,T17&gt;0),U17+V17,IF(AND(P17='G-1 All Habitats'!$X$3,S17&gt;0),U17+V17,IF(AND(P17='G-1 All Habitats'!$X$3,AC17&gt;0),"Any Loss Unacceptable ⚠",IF(AND(P17='G-1 All Habitats'!$X$3,W17&gt;0),"Any Loss Unacceptable ⚠",H17*J17*L17*O17))))),"Check Data ▲")</f>
        <v>17.836960409629999</v>
      </c>
      <c r="R17" s="38"/>
      <c r="S17" s="54">
        <v>0</v>
      </c>
      <c r="T17" s="55">
        <v>0</v>
      </c>
      <c r="U17" s="374">
        <f t="shared" si="3"/>
        <v>0</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7.7552001781</v>
      </c>
      <c r="X17" s="378">
        <f>IFERROR(IF(H17="","",IF(H17-S17-T17=0&lt;0,"Error in Areas ▲",IF(S17+T17&gt;H17,"Error in Areas ▲",IF(AND(P17='G-1 All Habitats'!$X$3,Y17="Yes"),"Alternative Compensation ✓",IF(W17=0,0,IF(P17='G-1 All Habitats'!$X$3,"Any Loss Unacceptable ▲",Q17-U17-V17)))))),"Check Data ▲")</f>
        <v>17.836960409629999</v>
      </c>
      <c r="Y17" s="55"/>
      <c r="Z17" s="62" t="s">
        <v>1774</v>
      </c>
      <c r="AA17" s="526"/>
      <c r="AB17" s="120"/>
      <c r="AC17" s="726" t="str">
        <f>IF(P17="","",IF(P17='G-1 All Habitats'!$X$3,H17-S17-T17,"None"))</f>
        <v>None</v>
      </c>
      <c r="AD17" s="727" t="str">
        <f>IF(P17="","", IF(P17='G-1 All Habitats'!$X$3, AC17*J17*L17*O17,"None"))</f>
        <v>None</v>
      </c>
      <c r="AF17" s="40" t="b">
        <f t="shared" si="0"/>
        <v>0</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Grassland</v>
      </c>
      <c r="B18" s="35" t="str">
        <f>IFERROR(INDEX('G-8 Condition Look up'!$I$4:$I$135,MATCH(G18,'G-8 Condition Look up'!$A$4:$A$135,0)),"")</f>
        <v>Cond4</v>
      </c>
      <c r="D18" s="287">
        <v>8</v>
      </c>
      <c r="E18" s="267" t="s">
        <v>125</v>
      </c>
      <c r="F18" s="61" t="s">
        <v>540</v>
      </c>
      <c r="G18" s="52" t="str">
        <f>IFERROR(INDEX('G-1 All Habitats'!$B$3:$B$134,MATCH(F18,'G-1 All Habitats'!$A$3:$A$134,0)),"")</f>
        <v>Grassland - Modified grassland</v>
      </c>
      <c r="H18" s="53">
        <v>2.0268096027500002</v>
      </c>
      <c r="I18" s="362" t="str">
        <f>IF(G18="","",VLOOKUP(G18,'G-1 All Habitats'!$B$2:$M$134,10,FALSE))</f>
        <v>Low</v>
      </c>
      <c r="J18" s="363">
        <f>IFERROR(VLOOKUP(I18,'G-1 All Habitats'!$V$3:$W$7,2,FALSE),"")</f>
        <v>2</v>
      </c>
      <c r="K18" s="54" t="s">
        <v>329</v>
      </c>
      <c r="L18" s="363">
        <f>IFERROR(INDEX('G-8 Condition Look up'!$A$3:$H$135,MATCH(G18,'G-8 Condition Look up'!$A$3:$A$135,0),MATCH(K18,'G-8 Condition Look up'!$A$3:$H$3,0)),"")</f>
        <v>1</v>
      </c>
      <c r="M18" s="54" t="s">
        <v>1029</v>
      </c>
      <c r="N18" s="382" t="str">
        <f>IF(M18="","",IF(VLOOKUP(M18,'G-3 Multipliers'!$L$3:$N$6,2,FALSE)=0,"Spatial Data Missing",VLOOKUP(M18,'G-3 Multipliers'!$L$3:$N$6,2,FALSE)))</f>
        <v xml:space="preserve">High strategic significance </v>
      </c>
      <c r="O18" s="368">
        <f>IF(M18="","",IF(VLOOKUP(M18,'G-3 Multipliers'!$L$3:$N$6,3,FALSE)=0,"Spatial Data Missing ▲",VLOOKUP(M18,'G-3 Multipliers'!$L$3:$N$6,3,FALSE)))</f>
        <v>1.1499999999999999</v>
      </c>
      <c r="P18" s="369" t="str">
        <f>IFERROR(VLOOKUP(G18,'G-1 All Habitats'!$B$2:$M$134,12,FALSE),"")</f>
        <v>Same distinctiveness or better habitat required ≥</v>
      </c>
      <c r="Q18" s="376">
        <f>IFERROR(IF(P18="","",IF(AND(P18='G-1 All Habitats'!$X$3,T18&gt;0),U18+V18,IF(AND(P18='G-1 All Habitats'!$X$3,S18&gt;0),U18+V18,IF(AND(P18='G-1 All Habitats'!$X$3,AC18&gt;0),"Any Loss Unacceptable ⚠",IF(AND(P18='G-1 All Habitats'!$X$3,W18&gt;0),"Any Loss Unacceptable ⚠",H18*J18*L18*O18))))),"Check Data ▲")</f>
        <v>4.6616620863250002</v>
      </c>
      <c r="R18" s="38"/>
      <c r="S18" s="54">
        <v>0</v>
      </c>
      <c r="T18" s="55">
        <v>0</v>
      </c>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2.0268096027500002</v>
      </c>
      <c r="X18" s="378">
        <f>IFERROR(IF(H18="","",IF(H18-S18-T18=0&lt;0,"Error in Areas ▲",IF(S18+T18&gt;H18,"Error in Areas ▲",IF(AND(P18='G-1 All Habitats'!$X$3,Y18="Yes"),"Alternative Compensation ✓",IF(W18=0,0,IF(P18='G-1 All Habitats'!$X$3,"Any Loss Unacceptable ▲",Q18-U18-V18)))))),"Check Data ▲")</f>
        <v>4.6616620863250002</v>
      </c>
      <c r="Y18" s="55"/>
      <c r="Z18" s="62" t="s">
        <v>1775</v>
      </c>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Grassland</v>
      </c>
      <c r="B19" s="35" t="str">
        <f>IFERROR(INDEX('G-8 Condition Look up'!$I$4:$I$135,MATCH(G19,'G-8 Condition Look up'!$A$4:$A$135,0)),"")</f>
        <v>Cond4</v>
      </c>
      <c r="D19" s="287">
        <v>9</v>
      </c>
      <c r="E19" s="267" t="s">
        <v>125</v>
      </c>
      <c r="F19" s="61" t="s">
        <v>540</v>
      </c>
      <c r="G19" s="52" t="str">
        <f>IFERROR(INDEX('G-1 All Habitats'!$B$3:$B$134,MATCH(F19,'G-1 All Habitats'!$A$3:$A$134,0)),"")</f>
        <v>Grassland - Modified grassland</v>
      </c>
      <c r="H19" s="53">
        <v>0.81142328086000004</v>
      </c>
      <c r="I19" s="362" t="str">
        <f>IF(G19="","",VLOOKUP(G19,'G-1 All Habitats'!$B$2:$M$134,10,FALSE))</f>
        <v>Low</v>
      </c>
      <c r="J19" s="363">
        <f>IFERROR(VLOOKUP(I19,'G-1 All Habitats'!$V$3:$W$7,2,FALSE),"")</f>
        <v>2</v>
      </c>
      <c r="K19" s="54" t="s">
        <v>329</v>
      </c>
      <c r="L19" s="363">
        <f>IFERROR(INDEX('G-8 Condition Look up'!$A$3:$H$135,MATCH(G19,'G-8 Condition Look up'!$A$3:$A$135,0),MATCH(K19,'G-8 Condition Look up'!$A$3:$H$3,0)),"")</f>
        <v>1</v>
      </c>
      <c r="M19" s="54" t="s">
        <v>1029</v>
      </c>
      <c r="N19" s="382" t="str">
        <f>IF(M19="","",IF(VLOOKUP(M19,'G-3 Multipliers'!$L$3:$N$6,2,FALSE)=0,"Spatial Data Missing",VLOOKUP(M19,'G-3 Multipliers'!$L$3:$N$6,2,FALSE)))</f>
        <v xml:space="preserve">High strategic significance </v>
      </c>
      <c r="O19" s="368">
        <f>IF(M19="","",IF(VLOOKUP(M19,'G-3 Multipliers'!$L$3:$N$6,3,FALSE)=0,"Spatial Data Missing ▲",VLOOKUP(M19,'G-3 Multipliers'!$L$3:$N$6,3,FALSE)))</f>
        <v>1.1499999999999999</v>
      </c>
      <c r="P19" s="369" t="str">
        <f>IFERROR(VLOOKUP(G19,'G-1 All Habitats'!$B$2:$M$134,12,FALSE),"")</f>
        <v>Same distinctiveness or better habitat required ≥</v>
      </c>
      <c r="Q19" s="376">
        <f>IFERROR(IF(P19="","",IF(AND(P19='G-1 All Habitats'!$X$3,T19&gt;0),U19+V19,IF(AND(P19='G-1 All Habitats'!$X$3,S19&gt;0),U19+V19,IF(AND(P19='G-1 All Habitats'!$X$3,AC19&gt;0),"Any Loss Unacceptable ⚠",IF(AND(P19='G-1 All Habitats'!$X$3,W19&gt;0),"Any Loss Unacceptable ⚠",H19*J19*L19*O19))))),"Check Data ▲")</f>
        <v>1.866273545978</v>
      </c>
      <c r="R19" s="38"/>
      <c r="S19" s="54">
        <v>0</v>
      </c>
      <c r="T19" s="55">
        <v>0</v>
      </c>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0.81142328086000004</v>
      </c>
      <c r="X19" s="378">
        <f>IFERROR(IF(H19="","",IF(H19-S19-T19=0&lt;0,"Error in Areas ▲",IF(S19+T19&gt;H19,"Error in Areas ▲",IF(AND(P19='G-1 All Habitats'!$X$3,Y19="Yes"),"Alternative Compensation ✓",IF(W19=0,0,IF(P19='G-1 All Habitats'!$X$3,"Any Loss Unacceptable ▲",Q19-U19-V19)))))),"Check Data ▲")</f>
        <v>1.866273545978</v>
      </c>
      <c r="Y19" s="55"/>
      <c r="Z19" s="62" t="s">
        <v>1776</v>
      </c>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Grassland</v>
      </c>
      <c r="B20" s="35" t="str">
        <f>IFERROR(INDEX('G-8 Condition Look up'!$I$4:$I$135,MATCH(G20,'G-8 Condition Look up'!$A$4:$A$135,0)),"")</f>
        <v>Cond4</v>
      </c>
      <c r="D20" s="287">
        <v>10</v>
      </c>
      <c r="E20" s="267" t="s">
        <v>125</v>
      </c>
      <c r="F20" s="61" t="s">
        <v>540</v>
      </c>
      <c r="G20" s="52" t="str">
        <f>IFERROR(INDEX('G-1 All Habitats'!$B$3:$B$134,MATCH(F20,'G-1 All Habitats'!$A$3:$A$134,0)),"")</f>
        <v>Grassland - Modified grassland</v>
      </c>
      <c r="H20" s="53">
        <v>1.2530869770399999</v>
      </c>
      <c r="I20" s="362" t="str">
        <f>IF(G20="","",VLOOKUP(G20,'G-1 All Habitats'!$B$2:$M$134,10,FALSE))</f>
        <v>Low</v>
      </c>
      <c r="J20" s="363">
        <f>IFERROR(VLOOKUP(I20,'G-1 All Habitats'!$V$3:$W$7,2,FALSE),"")</f>
        <v>2</v>
      </c>
      <c r="K20" s="54" t="s">
        <v>329</v>
      </c>
      <c r="L20" s="363">
        <f>IFERROR(INDEX('G-8 Condition Look up'!$A$3:$H$135,MATCH(G20,'G-8 Condition Look up'!$A$3:$A$135,0),MATCH(K20,'G-8 Condition Look up'!$A$3:$H$3,0)),"")</f>
        <v>1</v>
      </c>
      <c r="M20" s="54" t="s">
        <v>1029</v>
      </c>
      <c r="N20" s="382" t="str">
        <f>IF(M20="","",IF(VLOOKUP(M20,'G-3 Multipliers'!$L$3:$N$6,2,FALSE)=0,"Spatial Data Missing",VLOOKUP(M20,'G-3 Multipliers'!$L$3:$N$6,2,FALSE)))</f>
        <v xml:space="preserve">High strategic significance </v>
      </c>
      <c r="O20" s="368">
        <f>IF(M20="","",IF(VLOOKUP(M20,'G-3 Multipliers'!$L$3:$N$6,3,FALSE)=0,"Spatial Data Missing ▲",VLOOKUP(M20,'G-3 Multipliers'!$L$3:$N$6,3,FALSE)))</f>
        <v>1.1499999999999999</v>
      </c>
      <c r="P20" s="369" t="str">
        <f>IFERROR(VLOOKUP(G20,'G-1 All Habitats'!$B$2:$M$134,12,FALSE),"")</f>
        <v>Same distinctiveness or better habitat required ≥</v>
      </c>
      <c r="Q20" s="376">
        <f>IFERROR(IF(P20="","",IF(AND(P20='G-1 All Habitats'!$X$3,T20&gt;0),U20+V20,IF(AND(P20='G-1 All Habitats'!$X$3,S20&gt;0),U20+V20,IF(AND(P20='G-1 All Habitats'!$X$3,AC20&gt;0),"Any Loss Unacceptable ⚠",IF(AND(P20='G-1 All Habitats'!$X$3,W20&gt;0),"Any Loss Unacceptable ⚠",H20*J20*L20*O20))))),"Check Data ▲")</f>
        <v>2.8821000471919995</v>
      </c>
      <c r="R20" s="38"/>
      <c r="S20" s="54">
        <v>0</v>
      </c>
      <c r="T20" s="55">
        <v>0</v>
      </c>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1.2530869770399999</v>
      </c>
      <c r="X20" s="378">
        <f>IFERROR(IF(H20="","",IF(H20-S20-T20=0&lt;0,"Error in Areas ▲",IF(S20+T20&gt;H20,"Error in Areas ▲",IF(AND(P20='G-1 All Habitats'!$X$3,Y20="Yes"),"Alternative Compensation ✓",IF(W20=0,0,IF(P20='G-1 All Habitats'!$X$3,"Any Loss Unacceptable ▲",Q20-U20-V20)))))),"Check Data ▲")</f>
        <v>2.8821000471919995</v>
      </c>
      <c r="Y20" s="55"/>
      <c r="Z20" s="62" t="s">
        <v>1777</v>
      </c>
      <c r="AA20" s="526"/>
      <c r="AB20" s="120"/>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Grassland</v>
      </c>
      <c r="B21" s="35" t="str">
        <f>IFERROR(INDEX('G-8 Condition Look up'!$I$4:$I$135,MATCH(G21,'G-8 Condition Look up'!$A$4:$A$135,0)),"")</f>
        <v>Cond4</v>
      </c>
      <c r="D21" s="287">
        <v>11</v>
      </c>
      <c r="E21" s="267" t="s">
        <v>125</v>
      </c>
      <c r="F21" s="61" t="s">
        <v>540</v>
      </c>
      <c r="G21" s="52" t="str">
        <f>IFERROR(INDEX('G-1 All Habitats'!$B$3:$B$134,MATCH(F21,'G-1 All Habitats'!$A$3:$A$134,0)),"")</f>
        <v>Grassland - Modified grassland</v>
      </c>
      <c r="H21" s="53">
        <v>6.2194539184200002</v>
      </c>
      <c r="I21" s="362" t="str">
        <f>IF(G21="","",VLOOKUP(G21,'G-1 All Habitats'!$B$2:$M$134,10,FALSE))</f>
        <v>Low</v>
      </c>
      <c r="J21" s="363">
        <f>IFERROR(VLOOKUP(I21,'G-1 All Habitats'!$V$3:$W$7,2,FALSE),"")</f>
        <v>2</v>
      </c>
      <c r="K21" s="54" t="s">
        <v>329</v>
      </c>
      <c r="L21" s="363">
        <f>IFERROR(INDEX('G-8 Condition Look up'!$A$3:$H$135,MATCH(G21,'G-8 Condition Look up'!$A$3:$A$135,0),MATCH(K21,'G-8 Condition Look up'!$A$3:$H$3,0)),"")</f>
        <v>1</v>
      </c>
      <c r="M21" s="54" t="s">
        <v>1029</v>
      </c>
      <c r="N21" s="382" t="str">
        <f>IF(M21="","",IF(VLOOKUP(M21,'G-3 Multipliers'!$L$3:$N$6,2,FALSE)=0,"Spatial Data Missing",VLOOKUP(M21,'G-3 Multipliers'!$L$3:$N$6,2,FALSE)))</f>
        <v xml:space="preserve">High strategic significance </v>
      </c>
      <c r="O21" s="368">
        <f>IF(M21="","",IF(VLOOKUP(M21,'G-3 Multipliers'!$L$3:$N$6,3,FALSE)=0,"Spatial Data Missing ▲",VLOOKUP(M21,'G-3 Multipliers'!$L$3:$N$6,3,FALSE)))</f>
        <v>1.1499999999999999</v>
      </c>
      <c r="P21" s="369" t="str">
        <f>IFERROR(VLOOKUP(G21,'G-1 All Habitats'!$B$2:$M$134,12,FALSE),"")</f>
        <v>Same distinctiveness or better habitat required ≥</v>
      </c>
      <c r="Q21" s="376">
        <f>IFERROR(IF(P21="","",IF(AND(P21='G-1 All Habitats'!$X$3,T21&gt;0),U21+V21,IF(AND(P21='G-1 All Habitats'!$X$3,S21&gt;0),U21+V21,IF(AND(P21='G-1 All Habitats'!$X$3,AC21&gt;0),"Any Loss Unacceptable ⚠",IF(AND(P21='G-1 All Habitats'!$X$3,W21&gt;0),"Any Loss Unacceptable ⚠",H21*J21*L21*O21))))),"Check Data ▲")</f>
        <v>14.304744012365999</v>
      </c>
      <c r="R21" s="38"/>
      <c r="S21" s="54">
        <v>0</v>
      </c>
      <c r="T21" s="55">
        <v>0</v>
      </c>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6.2194539184200002</v>
      </c>
      <c r="X21" s="378">
        <f>IFERROR(IF(H21="","",IF(H21-S21-T21=0&lt;0,"Error in Areas ▲",IF(S21+T21&gt;H21,"Error in Areas ▲",IF(AND(P21='G-1 All Habitats'!$X$3,Y21="Yes"),"Alternative Compensation ✓",IF(W21=0,0,IF(P21='G-1 All Habitats'!$X$3,"Any Loss Unacceptable ▲",Q21-U21-V21)))))),"Check Data ▲")</f>
        <v>14.304744012365999</v>
      </c>
      <c r="Y21" s="55"/>
      <c r="Z21" s="62" t="s">
        <v>1778</v>
      </c>
      <c r="AA21" s="526"/>
      <c r="AB21" s="120"/>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Grassland</v>
      </c>
      <c r="B22" s="35" t="str">
        <f>IFERROR(INDEX('G-8 Condition Look up'!$I$4:$I$135,MATCH(G22,'G-8 Condition Look up'!$A$4:$A$135,0)),"")</f>
        <v>Cond4</v>
      </c>
      <c r="D22" s="287">
        <v>12</v>
      </c>
      <c r="E22" s="267" t="s">
        <v>125</v>
      </c>
      <c r="F22" s="61" t="s">
        <v>540</v>
      </c>
      <c r="G22" s="52" t="str">
        <f>IFERROR(INDEX('G-1 All Habitats'!$B$3:$B$134,MATCH(F22,'G-1 All Habitats'!$A$3:$A$134,0)),"")</f>
        <v>Grassland - Modified grassland</v>
      </c>
      <c r="H22" s="53">
        <v>3.7588102283199998</v>
      </c>
      <c r="I22" s="362" t="str">
        <f>IF(G22="","",VLOOKUP(G22,'G-1 All Habitats'!$B$2:$M$134,10,FALSE))</f>
        <v>Low</v>
      </c>
      <c r="J22" s="363">
        <f>IFERROR(VLOOKUP(I22,'G-1 All Habitats'!$V$3:$W$7,2,FALSE),"")</f>
        <v>2</v>
      </c>
      <c r="K22" s="54" t="s">
        <v>329</v>
      </c>
      <c r="L22" s="363">
        <f>IFERROR(INDEX('G-8 Condition Look up'!$A$3:$H$135,MATCH(G22,'G-8 Condition Look up'!$A$3:$A$135,0),MATCH(K22,'G-8 Condition Look up'!$A$3:$H$3,0)),"")</f>
        <v>1</v>
      </c>
      <c r="M22" s="54" t="s">
        <v>1029</v>
      </c>
      <c r="N22" s="382" t="str">
        <f>IF(M22="","",IF(VLOOKUP(M22,'G-3 Multipliers'!$L$3:$N$6,2,FALSE)=0,"Spatial Data Missing",VLOOKUP(M22,'G-3 Multipliers'!$L$3:$N$6,2,FALSE)))</f>
        <v xml:space="preserve">High strategic significance </v>
      </c>
      <c r="O22" s="368">
        <f>IF(M22="","",IF(VLOOKUP(M22,'G-3 Multipliers'!$L$3:$N$6,3,FALSE)=0,"Spatial Data Missing ▲",VLOOKUP(M22,'G-3 Multipliers'!$L$3:$N$6,3,FALSE)))</f>
        <v>1.1499999999999999</v>
      </c>
      <c r="P22" s="369" t="str">
        <f>IFERROR(VLOOKUP(G22,'G-1 All Habitats'!$B$2:$M$134,12,FALSE),"")</f>
        <v>Same distinctiveness or better habitat required ≥</v>
      </c>
      <c r="Q22" s="376">
        <f>IFERROR(IF(P22="","",IF(AND(P22='G-1 All Habitats'!$X$3,T22&gt;0),U22+V22,IF(AND(P22='G-1 All Habitats'!$X$3,S22&gt;0),U22+V22,IF(AND(P22='G-1 All Habitats'!$X$3,AC22&gt;0),"Any Loss Unacceptable ⚠",IF(AND(P22='G-1 All Habitats'!$X$3,W22&gt;0),"Any Loss Unacceptable ⚠",H22*J22*L22*O22))))),"Check Data ▲")</f>
        <v>8.6452635251359986</v>
      </c>
      <c r="R22" s="38"/>
      <c r="S22" s="54">
        <v>0</v>
      </c>
      <c r="T22" s="55">
        <v>0</v>
      </c>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3.7588102283199998</v>
      </c>
      <c r="X22" s="378">
        <f>IFERROR(IF(H22="","",IF(H22-S22-T22=0&lt;0,"Error in Areas ▲",IF(S22+T22&gt;H22,"Error in Areas ▲",IF(AND(P22='G-1 All Habitats'!$X$3,Y22="Yes"),"Alternative Compensation ✓",IF(W22=0,0,IF(P22='G-1 All Habitats'!$X$3,"Any Loss Unacceptable ▲",Q22-U22-V22)))))),"Check Data ▲")</f>
        <v>8.6452635251359986</v>
      </c>
      <c r="Y22" s="55"/>
      <c r="Z22" s="62" t="s">
        <v>1779</v>
      </c>
      <c r="AA22" s="526"/>
      <c r="AB22" s="120"/>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30">
      <c r="A23" s="35" t="str">
        <f>IFERROR(INDEX('G-1 All Habitats'!$AG$3:$AG$17,MATCH(E23,'G-1 All Habitats'!$AF$3:$AF$17,0)),"")</f>
        <v>Grassland</v>
      </c>
      <c r="B23" s="35" t="str">
        <f>IFERROR(INDEX('G-8 Condition Look up'!$I$4:$I$135,MATCH(G23,'G-8 Condition Look up'!$A$4:$A$135,0)),"")</f>
        <v>Cond4</v>
      </c>
      <c r="D23" s="287">
        <v>13</v>
      </c>
      <c r="E23" s="267" t="s">
        <v>125</v>
      </c>
      <c r="F23" s="61" t="s">
        <v>540</v>
      </c>
      <c r="G23" s="52" t="str">
        <f>IFERROR(INDEX('G-1 All Habitats'!$B$3:$B$134,MATCH(F23,'G-1 All Habitats'!$A$3:$A$134,0)),"")</f>
        <v>Grassland - Modified grassland</v>
      </c>
      <c r="H23" s="53">
        <v>3.7256636430899999</v>
      </c>
      <c r="I23" s="362" t="str">
        <f>IF(G23="","",VLOOKUP(G23,'G-1 All Habitats'!$B$2:$M$134,10,FALSE))</f>
        <v>Low</v>
      </c>
      <c r="J23" s="363">
        <f>IFERROR(VLOOKUP(I23,'G-1 All Habitats'!$V$3:$W$7,2,FALSE),"")</f>
        <v>2</v>
      </c>
      <c r="K23" s="54" t="s">
        <v>329</v>
      </c>
      <c r="L23" s="363">
        <f>IFERROR(INDEX('G-8 Condition Look up'!$A$3:$H$135,MATCH(G23,'G-8 Condition Look up'!$A$3:$A$135,0),MATCH(K23,'G-8 Condition Look up'!$A$3:$H$3,0)),"")</f>
        <v>1</v>
      </c>
      <c r="M23" s="54" t="s">
        <v>1029</v>
      </c>
      <c r="N23" s="382" t="str">
        <f>IF(M23="","",IF(VLOOKUP(M23,'G-3 Multipliers'!$L$3:$N$6,2,FALSE)=0,"Spatial Data Missing",VLOOKUP(M23,'G-3 Multipliers'!$L$3:$N$6,2,FALSE)))</f>
        <v xml:space="preserve">High strategic significance </v>
      </c>
      <c r="O23" s="368">
        <f>IF(M23="","",IF(VLOOKUP(M23,'G-3 Multipliers'!$L$3:$N$6,3,FALSE)=0,"Spatial Data Missing ▲",VLOOKUP(M23,'G-3 Multipliers'!$L$3:$N$6,3,FALSE)))</f>
        <v>1.1499999999999999</v>
      </c>
      <c r="P23" s="369" t="str">
        <f>IFERROR(VLOOKUP(G23,'G-1 All Habitats'!$B$2:$M$134,12,FALSE),"")</f>
        <v>Same distinctiveness or better habitat required ≥</v>
      </c>
      <c r="Q23" s="376">
        <f>IFERROR(IF(P23="","",IF(AND(P23='G-1 All Habitats'!$X$3,T23&gt;0),U23+V23,IF(AND(P23='G-1 All Habitats'!$X$3,S23&gt;0),U23+V23,IF(AND(P23='G-1 All Habitats'!$X$3,AC23&gt;0),"Any Loss Unacceptable ⚠",IF(AND(P23='G-1 All Habitats'!$X$3,W23&gt;0),"Any Loss Unacceptable ⚠",H23*J23*L23*O23))))),"Check Data ▲")</f>
        <v>8.5690263791069992</v>
      </c>
      <c r="R23" s="38"/>
      <c r="S23" s="54">
        <v>0</v>
      </c>
      <c r="T23" s="55">
        <v>0</v>
      </c>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3.7256636430899999</v>
      </c>
      <c r="X23" s="378">
        <f>IFERROR(IF(H23="","",IF(H23-S23-T23=0&lt;0,"Error in Areas ▲",IF(S23+T23&gt;H23,"Error in Areas ▲",IF(AND(P23='G-1 All Habitats'!$X$3,Y23="Yes"),"Alternative Compensation ✓",IF(W23=0,0,IF(P23='G-1 All Habitats'!$X$3,"Any Loss Unacceptable ▲",Q23-U23-V23)))))),"Check Data ▲")</f>
        <v>8.5690263791069992</v>
      </c>
      <c r="Y23" s="55"/>
      <c r="Z23" s="62" t="s">
        <v>1780</v>
      </c>
      <c r="AA23" s="526"/>
      <c r="AB23" s="120"/>
      <c r="AC23" s="726" t="str">
        <f>IF(P23="","",IF(P23='G-1 All Habitats'!$X$3,H23-S23-T23,"None"))</f>
        <v>None</v>
      </c>
      <c r="AD23" s="727" t="str">
        <f>IF(P23="","", IF(P23='G-1 All Habitats'!$X$3, AC23*J23*L23*O23,"None"))</f>
        <v>None</v>
      </c>
      <c r="AF23" s="40" t="b">
        <f t="shared" si="0"/>
        <v>0</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30">
      <c r="A24" s="35" t="str">
        <f>IFERROR(INDEX('G-1 All Habitats'!$AG$3:$AG$17,MATCH(E24,'G-1 All Habitats'!$AF$3:$AF$17,0)),"")</f>
        <v>Grassland</v>
      </c>
      <c r="B24" s="35" t="str">
        <f>IFERROR(INDEX('G-8 Condition Look up'!$I$4:$I$135,MATCH(G24,'G-8 Condition Look up'!$A$4:$A$135,0)),"")</f>
        <v>Cond4</v>
      </c>
      <c r="D24" s="287">
        <v>14</v>
      </c>
      <c r="E24" s="267" t="s">
        <v>125</v>
      </c>
      <c r="F24" s="61" t="s">
        <v>540</v>
      </c>
      <c r="G24" s="52" t="str">
        <f>IFERROR(INDEX('G-1 All Habitats'!$B$3:$B$134,MATCH(F24,'G-1 All Habitats'!$A$3:$A$134,0)),"")</f>
        <v>Grassland - Modified grassland</v>
      </c>
      <c r="H24" s="53">
        <v>1.1843871531500001</v>
      </c>
      <c r="I24" s="362" t="str">
        <f>IF(G24="","",VLOOKUP(G24,'G-1 All Habitats'!$B$2:$M$134,10,FALSE))</f>
        <v>Low</v>
      </c>
      <c r="J24" s="363">
        <f>IFERROR(VLOOKUP(I24,'G-1 All Habitats'!$V$3:$W$7,2,FALSE),"")</f>
        <v>2</v>
      </c>
      <c r="K24" s="54" t="s">
        <v>329</v>
      </c>
      <c r="L24" s="363">
        <f>IFERROR(INDEX('G-8 Condition Look up'!$A$3:$H$135,MATCH(G24,'G-8 Condition Look up'!$A$3:$A$135,0),MATCH(K24,'G-8 Condition Look up'!$A$3:$H$3,0)),"")</f>
        <v>1</v>
      </c>
      <c r="M24" s="54" t="s">
        <v>1029</v>
      </c>
      <c r="N24" s="382" t="str">
        <f>IF(M24="","",IF(VLOOKUP(M24,'G-3 Multipliers'!$L$3:$N$6,2,FALSE)=0,"Spatial Data Missing",VLOOKUP(M24,'G-3 Multipliers'!$L$3:$N$6,2,FALSE)))</f>
        <v xml:space="preserve">High strategic significance </v>
      </c>
      <c r="O24" s="368">
        <f>IF(M24="","",IF(VLOOKUP(M24,'G-3 Multipliers'!$L$3:$N$6,3,FALSE)=0,"Spatial Data Missing ▲",VLOOKUP(M24,'G-3 Multipliers'!$L$3:$N$6,3,FALSE)))</f>
        <v>1.1499999999999999</v>
      </c>
      <c r="P24" s="369" t="str">
        <f>IFERROR(VLOOKUP(G24,'G-1 All Habitats'!$B$2:$M$134,12,FALSE),"")</f>
        <v>Same distinctiveness or better habitat required ≥</v>
      </c>
      <c r="Q24" s="376">
        <f>IFERROR(IF(P24="","",IF(AND(P24='G-1 All Habitats'!$X$3,T24&gt;0),U24+V24,IF(AND(P24='G-1 All Habitats'!$X$3,S24&gt;0),U24+V24,IF(AND(P24='G-1 All Habitats'!$X$3,AC24&gt;0),"Any Loss Unacceptable ⚠",IF(AND(P24='G-1 All Habitats'!$X$3,W24&gt;0),"Any Loss Unacceptable ⚠",H24*J24*L24*O24))))),"Check Data ▲")</f>
        <v>2.724090452245</v>
      </c>
      <c r="R24" s="38"/>
      <c r="S24" s="54">
        <v>0</v>
      </c>
      <c r="T24" s="55">
        <v>0</v>
      </c>
      <c r="U24" s="374">
        <f t="shared" si="3"/>
        <v>0</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1.1843871531500001</v>
      </c>
      <c r="X24" s="378">
        <f>IFERROR(IF(H24="","",IF(H24-S24-T24=0&lt;0,"Error in Areas ▲",IF(S24+T24&gt;H24,"Error in Areas ▲",IF(AND(P24='G-1 All Habitats'!$X$3,Y24="Yes"),"Alternative Compensation ✓",IF(W24=0,0,IF(P24='G-1 All Habitats'!$X$3,"Any Loss Unacceptable ▲",Q24-U24-V24)))))),"Check Data ▲")</f>
        <v>2.724090452245</v>
      </c>
      <c r="Y24" s="55"/>
      <c r="Z24" s="62" t="s">
        <v>1781</v>
      </c>
      <c r="AA24" s="526"/>
      <c r="AB24" s="120"/>
      <c r="AC24" s="726" t="str">
        <f>IF(P24="","",IF(P24='G-1 All Habitats'!$X$3,H24-S24-T24,"None"))</f>
        <v>None</v>
      </c>
      <c r="AD24" s="727" t="str">
        <f>IF(P24="","", IF(P24='G-1 All Habitats'!$X$3, AC24*J24*L24*O24,"None"))</f>
        <v>None</v>
      </c>
      <c r="AF24" s="40" t="b">
        <f t="shared" si="0"/>
        <v>0</v>
      </c>
      <c r="AG24" s="40" t="b">
        <f t="shared" si="1"/>
        <v>0</v>
      </c>
      <c r="AH24" s="40" t="e">
        <f>IF(I24="","",IF(#REF!&gt;0,TRUE,FALSE))</f>
        <v>#REF!</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30">
      <c r="A25" s="35" t="str">
        <f>IFERROR(INDEX('G-1 All Habitats'!$AG$3:$AG$17,MATCH(E25,'G-1 All Habitats'!$AF$3:$AF$17,0)),"")</f>
        <v>Grassland</v>
      </c>
      <c r="B25" s="35" t="str">
        <f>IFERROR(INDEX('G-8 Condition Look up'!$I$4:$I$135,MATCH(G25,'G-8 Condition Look up'!$A$4:$A$135,0)),"")</f>
        <v>Cond4</v>
      </c>
      <c r="D25" s="287">
        <v>15</v>
      </c>
      <c r="E25" s="267" t="s">
        <v>125</v>
      </c>
      <c r="F25" s="61" t="s">
        <v>540</v>
      </c>
      <c r="G25" s="52" t="str">
        <f>IFERROR(INDEX('G-1 All Habitats'!$B$3:$B$134,MATCH(F25,'G-1 All Habitats'!$A$3:$A$134,0)),"")</f>
        <v>Grassland - Modified grassland</v>
      </c>
      <c r="H25" s="53">
        <v>1.37690943296</v>
      </c>
      <c r="I25" s="362" t="str">
        <f>IF(G25="","",VLOOKUP(G25,'G-1 All Habitats'!$B$2:$M$134,10,FALSE))</f>
        <v>Low</v>
      </c>
      <c r="J25" s="363">
        <f>IFERROR(VLOOKUP(I25,'G-1 All Habitats'!$V$3:$W$7,2,FALSE),"")</f>
        <v>2</v>
      </c>
      <c r="K25" s="54" t="s">
        <v>329</v>
      </c>
      <c r="L25" s="363">
        <f>IFERROR(INDEX('G-8 Condition Look up'!$A$3:$H$135,MATCH(G25,'G-8 Condition Look up'!$A$3:$A$135,0),MATCH(K25,'G-8 Condition Look up'!$A$3:$H$3,0)),"")</f>
        <v>1</v>
      </c>
      <c r="M25" s="54" t="s">
        <v>1029</v>
      </c>
      <c r="N25" s="382" t="str">
        <f>IF(M25="","",IF(VLOOKUP(M25,'G-3 Multipliers'!$L$3:$N$6,2,FALSE)=0,"Spatial Data Missing",VLOOKUP(M25,'G-3 Multipliers'!$L$3:$N$6,2,FALSE)))</f>
        <v xml:space="preserve">High strategic significance </v>
      </c>
      <c r="O25" s="368">
        <f>IF(M25="","",IF(VLOOKUP(M25,'G-3 Multipliers'!$L$3:$N$6,3,FALSE)=0,"Spatial Data Missing ▲",VLOOKUP(M25,'G-3 Multipliers'!$L$3:$N$6,3,FALSE)))</f>
        <v>1.1499999999999999</v>
      </c>
      <c r="P25" s="369" t="str">
        <f>IFERROR(VLOOKUP(G25,'G-1 All Habitats'!$B$2:$M$134,12,FALSE),"")</f>
        <v>Same distinctiveness or better habitat required ≥</v>
      </c>
      <c r="Q25" s="376">
        <f>IFERROR(IF(P25="","",IF(AND(P25='G-1 All Habitats'!$X$3,T25&gt;0),U25+V25,IF(AND(P25='G-1 All Habitats'!$X$3,S25&gt;0),U25+V25,IF(AND(P25='G-1 All Habitats'!$X$3,AC25&gt;0),"Any Loss Unacceptable ⚠",IF(AND(P25='G-1 All Habitats'!$X$3,W25&gt;0),"Any Loss Unacceptable ⚠",H25*J25*L25*O25))))),"Check Data ▲")</f>
        <v>3.1668916958079998</v>
      </c>
      <c r="R25" s="38"/>
      <c r="S25" s="54">
        <v>0</v>
      </c>
      <c r="T25" s="55">
        <v>0</v>
      </c>
      <c r="U25" s="374">
        <f t="shared" si="3"/>
        <v>0</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1.37690943296</v>
      </c>
      <c r="X25" s="378">
        <f>IFERROR(IF(H25="","",IF(H25-S25-T25=0&lt;0,"Error in Areas ▲",IF(S25+T25&gt;H25,"Error in Areas ▲",IF(AND(P25='G-1 All Habitats'!$X$3,Y25="Yes"),"Alternative Compensation ✓",IF(W25=0,0,IF(P25='G-1 All Habitats'!$X$3,"Any Loss Unacceptable ▲",Q25-U25-V25)))))),"Check Data ▲")</f>
        <v>3.1668916958079998</v>
      </c>
      <c r="Y25" s="55"/>
      <c r="Z25" s="62" t="s">
        <v>1782</v>
      </c>
      <c r="AA25" s="526"/>
      <c r="AB25" s="120"/>
      <c r="AC25" s="726" t="str">
        <f>IF(P25="","",IF(P25='G-1 All Habitats'!$X$3,H25-S25-T25,"None"))</f>
        <v>None</v>
      </c>
      <c r="AD25" s="727" t="str">
        <f>IF(P25="","", IF(P25='G-1 All Habitats'!$X$3, AC25*J25*L25*O25,"None"))</f>
        <v>None</v>
      </c>
      <c r="AF25" s="40" t="b">
        <f t="shared" si="0"/>
        <v>0</v>
      </c>
      <c r="AG25" s="40" t="b">
        <f t="shared" si="1"/>
        <v>0</v>
      </c>
      <c r="AH25" s="40" t="e">
        <f>IF(I25="","",IF(#REF!&gt;0,TRUE,FALSE))</f>
        <v>#REF!</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30">
      <c r="A26" s="35" t="str">
        <f>IFERROR(INDEX('G-1 All Habitats'!$AG$3:$AG$17,MATCH(E26,'G-1 All Habitats'!$AF$3:$AF$17,0)),"")</f>
        <v>Grassland</v>
      </c>
      <c r="B26" s="35" t="str">
        <f>IFERROR(INDEX('G-8 Condition Look up'!$I$4:$I$135,MATCH(G26,'G-8 Condition Look up'!$A$4:$A$135,0)),"")</f>
        <v>Cond4</v>
      </c>
      <c r="D26" s="287">
        <v>16</v>
      </c>
      <c r="E26" s="267" t="s">
        <v>125</v>
      </c>
      <c r="F26" s="61" t="s">
        <v>540</v>
      </c>
      <c r="G26" s="52" t="str">
        <f>IFERROR(INDEX('G-1 All Habitats'!$B$3:$B$134,MATCH(F26,'G-1 All Habitats'!$A$3:$A$134,0)),"")</f>
        <v>Grassland - Modified grassland</v>
      </c>
      <c r="H26" s="53">
        <v>6.1383793640000003E-2</v>
      </c>
      <c r="I26" s="362" t="str">
        <f>IF(G26="","",VLOOKUP(G26,'G-1 All Habitats'!$B$2:$M$134,10,FALSE))</f>
        <v>Low</v>
      </c>
      <c r="J26" s="363">
        <f>IFERROR(VLOOKUP(I26,'G-1 All Habitats'!$V$3:$W$7,2,FALSE),"")</f>
        <v>2</v>
      </c>
      <c r="K26" s="54" t="s">
        <v>329</v>
      </c>
      <c r="L26" s="363">
        <f>IFERROR(INDEX('G-8 Condition Look up'!$A$3:$H$135,MATCH(G26,'G-8 Condition Look up'!$A$3:$A$135,0),MATCH(K26,'G-8 Condition Look up'!$A$3:$H$3,0)),"")</f>
        <v>1</v>
      </c>
      <c r="M26" s="54" t="s">
        <v>1029</v>
      </c>
      <c r="N26" s="382" t="str">
        <f>IF(M26="","",IF(VLOOKUP(M26,'G-3 Multipliers'!$L$3:$N$6,2,FALSE)=0,"Spatial Data Missing",VLOOKUP(M26,'G-3 Multipliers'!$L$3:$N$6,2,FALSE)))</f>
        <v xml:space="preserve">High strategic significance </v>
      </c>
      <c r="O26" s="368">
        <f>IF(M26="","",IF(VLOOKUP(M26,'G-3 Multipliers'!$L$3:$N$6,3,FALSE)=0,"Spatial Data Missing ▲",VLOOKUP(M26,'G-3 Multipliers'!$L$3:$N$6,3,FALSE)))</f>
        <v>1.1499999999999999</v>
      </c>
      <c r="P26" s="369" t="str">
        <f>IFERROR(VLOOKUP(G26,'G-1 All Habitats'!$B$2:$M$134,12,FALSE),"")</f>
        <v>Same distinctiveness or better habitat required ≥</v>
      </c>
      <c r="Q26" s="376">
        <f>IFERROR(IF(P26="","",IF(AND(P26='G-1 All Habitats'!$X$3,T26&gt;0),U26+V26,IF(AND(P26='G-1 All Habitats'!$X$3,S26&gt;0),U26+V26,IF(AND(P26='G-1 All Habitats'!$X$3,AC26&gt;0),"Any Loss Unacceptable ⚠",IF(AND(P26='G-1 All Habitats'!$X$3,W26&gt;0),"Any Loss Unacceptable ⚠",H26*J26*L26*O26))))),"Check Data ▲")</f>
        <v>0.141182725372</v>
      </c>
      <c r="R26" s="38"/>
      <c r="S26" s="54">
        <v>0</v>
      </c>
      <c r="T26" s="55">
        <v>0</v>
      </c>
      <c r="U26" s="374">
        <f t="shared" si="3"/>
        <v>0</v>
      </c>
      <c r="V26" s="374">
        <f t="shared" si="4"/>
        <v>0</v>
      </c>
      <c r="W26" s="374">
        <f>IF(E26="","",IF(H26&lt;S26+T26,"Error in Areas ▲",IF(P26&lt;&gt;'G-1 All Habitats'!$X$3,H26-S26-T26,IF(AND(P26='G-1 All Habitats'!$X$3,Y26="Yes"),"Unacceptable Loss ⚠",IF(AND(P26='G-1 All Habitats'!$X$3,Y26="No"),AC26,IF(AND(P26='G-1 All Habitats'!$X$3,Y26=""),AC26,IF(AND(P26='G-1 All Habitats'!$X$3,AC26="None",AC26),IF(AND(P26='G-1 All Habitats'!$X$3,AC26&gt;0),H26-S26-T26))))))))</f>
        <v>6.1383793640000003E-2</v>
      </c>
      <c r="X26" s="378">
        <f>IFERROR(IF(H26="","",IF(H26-S26-T26=0&lt;0,"Error in Areas ▲",IF(S26+T26&gt;H26,"Error in Areas ▲",IF(AND(P26='G-1 All Habitats'!$X$3,Y26="Yes"),"Alternative Compensation ✓",IF(W26=0,0,IF(P26='G-1 All Habitats'!$X$3,"Any Loss Unacceptable ▲",Q26-U26-V26)))))),"Check Data ▲")</f>
        <v>0.141182725372</v>
      </c>
      <c r="Y26" s="55"/>
      <c r="Z26" s="62" t="s">
        <v>1783</v>
      </c>
      <c r="AA26" s="526"/>
      <c r="AB26" s="120"/>
      <c r="AC26" s="726" t="str">
        <f>IF(P26="","",IF(P26='G-1 All Habitats'!$X$3,H26-S26-T26,"None"))</f>
        <v>None</v>
      </c>
      <c r="AD26" s="727" t="str">
        <f>IF(P26="","", IF(P26='G-1 All Habitats'!$X$3, AC26*J26*L26*O26,"None"))</f>
        <v>None</v>
      </c>
      <c r="AF26" s="40" t="b">
        <f t="shared" si="0"/>
        <v>0</v>
      </c>
      <c r="AG26" s="40" t="b">
        <f t="shared" si="1"/>
        <v>0</v>
      </c>
      <c r="AH26" s="40" t="e">
        <f>IF(I26="","",IF(#REF!&gt;0,TRUE,FALSE))</f>
        <v>#REF!</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30">
      <c r="A27" s="35" t="str">
        <f>IFERROR(INDEX('G-1 All Habitats'!$AG$3:$AG$17,MATCH(E27,'G-1 All Habitats'!$AF$3:$AF$17,0)),"")</f>
        <v>Grassland</v>
      </c>
      <c r="B27" s="35" t="str">
        <f>IFERROR(INDEX('G-8 Condition Look up'!$I$4:$I$135,MATCH(G27,'G-8 Condition Look up'!$A$4:$A$135,0)),"")</f>
        <v>Cond4</v>
      </c>
      <c r="D27" s="287">
        <v>17</v>
      </c>
      <c r="E27" s="267" t="s">
        <v>125</v>
      </c>
      <c r="F27" s="61" t="s">
        <v>540</v>
      </c>
      <c r="G27" s="52" t="str">
        <f>IFERROR(INDEX('G-1 All Habitats'!$B$3:$B$134,MATCH(F27,'G-1 All Habitats'!$A$3:$A$134,0)),"")</f>
        <v>Grassland - Modified grassland</v>
      </c>
      <c r="H27" s="53">
        <v>1.86879568679</v>
      </c>
      <c r="I27" s="362" t="str">
        <f>IF(G27="","",VLOOKUP(G27,'G-1 All Habitats'!$B$2:$M$134,10,FALSE))</f>
        <v>Low</v>
      </c>
      <c r="J27" s="363">
        <f>IFERROR(VLOOKUP(I27,'G-1 All Habitats'!$V$3:$W$7,2,FALSE),"")</f>
        <v>2</v>
      </c>
      <c r="K27" s="54" t="s">
        <v>329</v>
      </c>
      <c r="L27" s="363">
        <f>IFERROR(INDEX('G-8 Condition Look up'!$A$3:$H$135,MATCH(G27,'G-8 Condition Look up'!$A$3:$A$135,0),MATCH(K27,'G-8 Condition Look up'!$A$3:$H$3,0)),"")</f>
        <v>1</v>
      </c>
      <c r="M27" s="54" t="s">
        <v>1029</v>
      </c>
      <c r="N27" s="382" t="str">
        <f>IF(M27="","",IF(VLOOKUP(M27,'G-3 Multipliers'!$L$3:$N$6,2,FALSE)=0,"Spatial Data Missing",VLOOKUP(M27,'G-3 Multipliers'!$L$3:$N$6,2,FALSE)))</f>
        <v xml:space="preserve">High strategic significance </v>
      </c>
      <c r="O27" s="368">
        <f>IF(M27="","",IF(VLOOKUP(M27,'G-3 Multipliers'!$L$3:$N$6,3,FALSE)=0,"Spatial Data Missing ▲",VLOOKUP(M27,'G-3 Multipliers'!$L$3:$N$6,3,FALSE)))</f>
        <v>1.1499999999999999</v>
      </c>
      <c r="P27" s="369" t="str">
        <f>IFERROR(VLOOKUP(G27,'G-1 All Habitats'!$B$2:$M$134,12,FALSE),"")</f>
        <v>Same distinctiveness or better habitat required ≥</v>
      </c>
      <c r="Q27" s="376">
        <f>IFERROR(IF(P27="","",IF(AND(P27='G-1 All Habitats'!$X$3,T27&gt;0),U27+V27,IF(AND(P27='G-1 All Habitats'!$X$3,S27&gt;0),U27+V27,IF(AND(P27='G-1 All Habitats'!$X$3,AC27&gt;0),"Any Loss Unacceptable ⚠",IF(AND(P27='G-1 All Habitats'!$X$3,W27&gt;0),"Any Loss Unacceptable ⚠",H27*J27*L27*O27))))),"Check Data ▲")</f>
        <v>4.2982300796169994</v>
      </c>
      <c r="R27" s="38"/>
      <c r="S27" s="54">
        <v>0</v>
      </c>
      <c r="T27" s="55">
        <v>0</v>
      </c>
      <c r="U27" s="374">
        <f t="shared" si="3"/>
        <v>0</v>
      </c>
      <c r="V27" s="374">
        <f t="shared" si="4"/>
        <v>0</v>
      </c>
      <c r="W27" s="374">
        <f>IF(E27="","",IF(H27&lt;S27+T27,"Error in Areas ▲",IF(P27&lt;&gt;'G-1 All Habitats'!$X$3,H27-S27-T27,IF(AND(P27='G-1 All Habitats'!$X$3,Y27="Yes"),"Unacceptable Loss ⚠",IF(AND(P27='G-1 All Habitats'!$X$3,Y27="No"),AC27,IF(AND(P27='G-1 All Habitats'!$X$3,Y27=""),AC27,IF(AND(P27='G-1 All Habitats'!$X$3,AC27="None",AC27),IF(AND(P27='G-1 All Habitats'!$X$3,AC27&gt;0),H27-S27-T27))))))))</f>
        <v>1.86879568679</v>
      </c>
      <c r="X27" s="378">
        <f>IFERROR(IF(H27="","",IF(H27-S27-T27=0&lt;0,"Error in Areas ▲",IF(S27+T27&gt;H27,"Error in Areas ▲",IF(AND(P27='G-1 All Habitats'!$X$3,Y27="Yes"),"Alternative Compensation ✓",IF(W27=0,0,IF(P27='G-1 All Habitats'!$X$3,"Any Loss Unacceptable ▲",Q27-U27-V27)))))),"Check Data ▲")</f>
        <v>4.2982300796169994</v>
      </c>
      <c r="Y27" s="55"/>
      <c r="Z27" s="62" t="s">
        <v>1784</v>
      </c>
      <c r="AA27" s="526"/>
      <c r="AB27" s="120"/>
      <c r="AC27" s="726" t="str">
        <f>IF(P27="","",IF(P27='G-1 All Habitats'!$X$3,H27-S27-T27,"None"))</f>
        <v>None</v>
      </c>
      <c r="AD27" s="727" t="str">
        <f>IF(P27="","", IF(P27='G-1 All Habitats'!$X$3, AC27*J27*L27*O27,"None"))</f>
        <v>None</v>
      </c>
      <c r="AF27" s="40" t="b">
        <f t="shared" si="0"/>
        <v>0</v>
      </c>
      <c r="AG27" s="40" t="b">
        <f t="shared" si="1"/>
        <v>0</v>
      </c>
      <c r="AH27" s="40" t="e">
        <f>IF(I27="","",IF(#REF!&gt;0,TRUE,FALSE))</f>
        <v>#REF!</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30">
      <c r="A28" s="35" t="str">
        <f>IFERROR(INDEX('G-1 All Habitats'!$AG$3:$AG$17,MATCH(E28,'G-1 All Habitats'!$AF$3:$AF$17,0)),"")</f>
        <v>Grassland</v>
      </c>
      <c r="B28" s="35" t="str">
        <f>IFERROR(INDEX('G-8 Condition Look up'!$I$4:$I$135,MATCH(G28,'G-8 Condition Look up'!$A$4:$A$135,0)),"")</f>
        <v>Cond4</v>
      </c>
      <c r="D28" s="287">
        <v>18</v>
      </c>
      <c r="E28" s="267" t="s">
        <v>125</v>
      </c>
      <c r="F28" s="61" t="s">
        <v>540</v>
      </c>
      <c r="G28" s="52" t="str">
        <f>IFERROR(INDEX('G-1 All Habitats'!$B$3:$B$134,MATCH(F28,'G-1 All Habitats'!$A$3:$A$134,0)),"")</f>
        <v>Grassland - Modified grassland</v>
      </c>
      <c r="H28" s="53">
        <v>0.63491032954000004</v>
      </c>
      <c r="I28" s="362" t="str">
        <f>IF(G28="","",VLOOKUP(G28,'G-1 All Habitats'!$B$2:$M$134,10,FALSE))</f>
        <v>Low</v>
      </c>
      <c r="J28" s="363">
        <f>IFERROR(VLOOKUP(I28,'G-1 All Habitats'!$V$3:$W$7,2,FALSE),"")</f>
        <v>2</v>
      </c>
      <c r="K28" s="54" t="s">
        <v>329</v>
      </c>
      <c r="L28" s="363">
        <f>IFERROR(INDEX('G-8 Condition Look up'!$A$3:$H$135,MATCH(G28,'G-8 Condition Look up'!$A$3:$A$135,0),MATCH(K28,'G-8 Condition Look up'!$A$3:$H$3,0)),"")</f>
        <v>1</v>
      </c>
      <c r="M28" s="54" t="s">
        <v>1029</v>
      </c>
      <c r="N28" s="382" t="str">
        <f>IF(M28="","",IF(VLOOKUP(M28,'G-3 Multipliers'!$L$3:$N$6,2,FALSE)=0,"Spatial Data Missing",VLOOKUP(M28,'G-3 Multipliers'!$L$3:$N$6,2,FALSE)))</f>
        <v xml:space="preserve">High strategic significance </v>
      </c>
      <c r="O28" s="368">
        <f>IF(M28="","",IF(VLOOKUP(M28,'G-3 Multipliers'!$L$3:$N$6,3,FALSE)=0,"Spatial Data Missing ▲",VLOOKUP(M28,'G-3 Multipliers'!$L$3:$N$6,3,FALSE)))</f>
        <v>1.1499999999999999</v>
      </c>
      <c r="P28" s="369" t="str">
        <f>IFERROR(VLOOKUP(G28,'G-1 All Habitats'!$B$2:$M$134,12,FALSE),"")</f>
        <v>Same distinctiveness or better habitat required ≥</v>
      </c>
      <c r="Q28" s="376">
        <f>IFERROR(IF(P28="","",IF(AND(P28='G-1 All Habitats'!$X$3,T28&gt;0),U28+V28,IF(AND(P28='G-1 All Habitats'!$X$3,S28&gt;0),U28+V28,IF(AND(P28='G-1 All Habitats'!$X$3,AC28&gt;0),"Any Loss Unacceptable ⚠",IF(AND(P28='G-1 All Habitats'!$X$3,W28&gt;0),"Any Loss Unacceptable ⚠",H28*J28*L28*O28))))),"Check Data ▲")</f>
        <v>1.4602937579419999</v>
      </c>
      <c r="R28" s="38"/>
      <c r="S28" s="54">
        <v>0</v>
      </c>
      <c r="T28" s="55">
        <v>0</v>
      </c>
      <c r="U28" s="374">
        <f t="shared" si="3"/>
        <v>0</v>
      </c>
      <c r="V28" s="374">
        <f t="shared" si="4"/>
        <v>0</v>
      </c>
      <c r="W28" s="374">
        <f>IF(E28="","",IF(H28&lt;S28+T28,"Error in Areas ▲",IF(P28&lt;&gt;'G-1 All Habitats'!$X$3,H28-S28-T28,IF(AND(P28='G-1 All Habitats'!$X$3,Y28="Yes"),"Unacceptable Loss ⚠",IF(AND(P28='G-1 All Habitats'!$X$3,Y28="No"),AC28,IF(AND(P28='G-1 All Habitats'!$X$3,Y28=""),AC28,IF(AND(P28='G-1 All Habitats'!$X$3,AC28="None",AC28),IF(AND(P28='G-1 All Habitats'!$X$3,AC28&gt;0),H28-S28-T28))))))))</f>
        <v>0.63491032954000004</v>
      </c>
      <c r="X28" s="378">
        <f>IFERROR(IF(H28="","",IF(H28-S28-T28=0&lt;0,"Error in Areas ▲",IF(S28+T28&gt;H28,"Error in Areas ▲",IF(AND(P28='G-1 All Habitats'!$X$3,Y28="Yes"),"Alternative Compensation ✓",IF(W28=0,0,IF(P28='G-1 All Habitats'!$X$3,"Any Loss Unacceptable ▲",Q28-U28-V28)))))),"Check Data ▲")</f>
        <v>1.4602937579419999</v>
      </c>
      <c r="Y28" s="55"/>
      <c r="Z28" s="62" t="s">
        <v>1785</v>
      </c>
      <c r="AA28" s="526"/>
      <c r="AB28" s="120"/>
      <c r="AC28" s="726" t="str">
        <f>IF(P28="","",IF(P28='G-1 All Habitats'!$X$3,H28-S28-T28,"None"))</f>
        <v>None</v>
      </c>
      <c r="AD28" s="727" t="str">
        <f>IF(P28="","", IF(P28='G-1 All Habitats'!$X$3, AC28*J28*L28*O28,"None"))</f>
        <v>None</v>
      </c>
      <c r="AF28" s="40" t="b">
        <f t="shared" si="0"/>
        <v>0</v>
      </c>
      <c r="AG28" s="40" t="b">
        <f t="shared" si="1"/>
        <v>0</v>
      </c>
      <c r="AH28" s="40" t="e">
        <f>IF(I28="","",IF(#REF!&gt;0,TRUE,FALSE))</f>
        <v>#REF!</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30">
      <c r="A29" s="35" t="str">
        <f>IFERROR(INDEX('G-1 All Habitats'!$AG$3:$AG$17,MATCH(E29,'G-1 All Habitats'!$AF$3:$AF$17,0)),"")</f>
        <v>Lakes</v>
      </c>
      <c r="B29" s="35" t="str">
        <f>IFERROR(INDEX('G-8 Condition Look up'!$I$4:$I$135,MATCH(G29,'G-8 Condition Look up'!$A$4:$A$135,0)),"")</f>
        <v>Cond4</v>
      </c>
      <c r="D29" s="287">
        <v>19</v>
      </c>
      <c r="E29" s="267" t="s">
        <v>127</v>
      </c>
      <c r="F29" s="61" t="s">
        <v>638</v>
      </c>
      <c r="G29" s="52" t="str">
        <f>IFERROR(INDEX('G-1 All Habitats'!$B$3:$B$134,MATCH(F29,'G-1 All Habitats'!$A$3:$A$134,0)),"")</f>
        <v>Lakes - Ponds (priority habitat)</v>
      </c>
      <c r="H29" s="53">
        <v>0.20435537442999999</v>
      </c>
      <c r="I29" s="362" t="str">
        <f>IF(G29="","",VLOOKUP(G29,'G-1 All Habitats'!$B$2:$M$134,10,FALSE))</f>
        <v>High</v>
      </c>
      <c r="J29" s="363">
        <f>IFERROR(VLOOKUP(I29,'G-1 All Habitats'!$V$3:$W$7,2,FALSE),"")</f>
        <v>6</v>
      </c>
      <c r="K29" s="54" t="s">
        <v>67</v>
      </c>
      <c r="L29" s="363">
        <f>IFERROR(INDEX('G-8 Condition Look up'!$A$3:$H$135,MATCH(G29,'G-8 Condition Look up'!$A$3:$A$135,0),MATCH(K29,'G-8 Condition Look up'!$A$3:$H$3,0)),"")</f>
        <v>2</v>
      </c>
      <c r="M29" s="54" t="s">
        <v>1029</v>
      </c>
      <c r="N29" s="382" t="str">
        <f>IF(M29="","",IF(VLOOKUP(M29,'G-3 Multipliers'!$L$3:$N$6,2,FALSE)=0,"Spatial Data Missing",VLOOKUP(M29,'G-3 Multipliers'!$L$3:$N$6,2,FALSE)))</f>
        <v xml:space="preserve">High strategic significance </v>
      </c>
      <c r="O29" s="368">
        <f>IF(M29="","",IF(VLOOKUP(M29,'G-3 Multipliers'!$L$3:$N$6,3,FALSE)=0,"Spatial Data Missing ▲",VLOOKUP(M29,'G-3 Multipliers'!$L$3:$N$6,3,FALSE)))</f>
        <v>1.1499999999999999</v>
      </c>
      <c r="P29" s="369" t="str">
        <f>IFERROR(VLOOKUP(G29,'G-1 All Habitats'!$B$2:$M$134,12,FALSE),"")</f>
        <v>Same habitat required =</v>
      </c>
      <c r="Q29" s="376">
        <f>IFERROR(IF(P29="","",IF(AND(P29='G-1 All Habitats'!$X$3,T29&gt;0),U29+V29,IF(AND(P29='G-1 All Habitats'!$X$3,S29&gt;0),U29+V29,IF(AND(P29='G-1 All Habitats'!$X$3,AC29&gt;0),"Any Loss Unacceptable ⚠",IF(AND(P29='G-1 All Habitats'!$X$3,W29&gt;0),"Any Loss Unacceptable ⚠",H29*J29*L29*O29))))),"Check Data ▲")</f>
        <v>2.8201041671339997</v>
      </c>
      <c r="R29" s="38"/>
      <c r="S29" s="54">
        <v>0</v>
      </c>
      <c r="T29" s="55">
        <v>0</v>
      </c>
      <c r="U29" s="374">
        <f t="shared" si="3"/>
        <v>0</v>
      </c>
      <c r="V29" s="374">
        <f t="shared" si="4"/>
        <v>0</v>
      </c>
      <c r="W29" s="374">
        <f>IF(E29="","",IF(H29&lt;S29+T29,"Error in Areas ▲",IF(P29&lt;&gt;'G-1 All Habitats'!$X$3,H29-S29-T29,IF(AND(P29='G-1 All Habitats'!$X$3,Y29="Yes"),"Unacceptable Loss ⚠",IF(AND(P29='G-1 All Habitats'!$X$3,Y29="No"),AC29,IF(AND(P29='G-1 All Habitats'!$X$3,Y29=""),AC29,IF(AND(P29='G-1 All Habitats'!$X$3,AC29="None",AC29),IF(AND(P29='G-1 All Habitats'!$X$3,AC29&gt;0),H29-S29-T29))))))))</f>
        <v>0.20435537442999999</v>
      </c>
      <c r="X29" s="378">
        <f>IFERROR(IF(H29="","",IF(H29-S29-T29=0&lt;0,"Error in Areas ▲",IF(S29+T29&gt;H29,"Error in Areas ▲",IF(AND(P29='G-1 All Habitats'!$X$3,Y29="Yes"),"Alternative Compensation ✓",IF(W29=0,0,IF(P29='G-1 All Habitats'!$X$3,"Any Loss Unacceptable ▲",Q29-U29-V29)))))),"Check Data ▲")</f>
        <v>2.8201041671339997</v>
      </c>
      <c r="Y29" s="55"/>
      <c r="Z29" s="62" t="s">
        <v>1691</v>
      </c>
      <c r="AA29" s="526"/>
      <c r="AB29" s="120"/>
      <c r="AC29" s="726" t="str">
        <f>IF(P29="","",IF(P29='G-1 All Habitats'!$X$3,H29-S29-T29,"None"))</f>
        <v>None</v>
      </c>
      <c r="AD29" s="727" t="str">
        <f>IF(P29="","", IF(P29='G-1 All Habitats'!$X$3, AC29*J29*L29*O29,"None"))</f>
        <v>None</v>
      </c>
      <c r="AF29" s="40" t="b">
        <f t="shared" si="0"/>
        <v>0</v>
      </c>
      <c r="AG29" s="40" t="b">
        <f t="shared" si="1"/>
        <v>0</v>
      </c>
      <c r="AH29" s="40" t="e">
        <f>IF(I29="","",IF(#REF!&gt;0,TRUE,FALSE))</f>
        <v>#REF!</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30">
      <c r="A30" s="35" t="str">
        <f>IFERROR(INDEX('G-1 All Habitats'!$AG$3:$AG$17,MATCH(E30,'G-1 All Habitats'!$AF$3:$AF$17,0)),"")</f>
        <v>Lakes</v>
      </c>
      <c r="B30" s="35" t="str">
        <f>IFERROR(INDEX('G-8 Condition Look up'!$I$4:$I$135,MATCH(G30,'G-8 Condition Look up'!$A$4:$A$135,0)),"")</f>
        <v>Cond4</v>
      </c>
      <c r="D30" s="287">
        <v>20</v>
      </c>
      <c r="E30" s="267" t="s">
        <v>127</v>
      </c>
      <c r="F30" s="61" t="s">
        <v>638</v>
      </c>
      <c r="G30" s="52" t="str">
        <f>IFERROR(INDEX('G-1 All Habitats'!$B$3:$B$134,MATCH(F30,'G-1 All Habitats'!$A$3:$A$134,0)),"")</f>
        <v>Lakes - Ponds (priority habitat)</v>
      </c>
      <c r="H30" s="53">
        <v>8.7668037099999999E-3</v>
      </c>
      <c r="I30" s="362" t="str">
        <f>IF(G30="","",VLOOKUP(G30,'G-1 All Habitats'!$B$2:$M$134,10,FALSE))</f>
        <v>High</v>
      </c>
      <c r="J30" s="363">
        <f>IFERROR(VLOOKUP(I30,'G-1 All Habitats'!$V$3:$W$7,2,FALSE),"")</f>
        <v>6</v>
      </c>
      <c r="K30" s="54" t="s">
        <v>67</v>
      </c>
      <c r="L30" s="363">
        <f>IFERROR(INDEX('G-8 Condition Look up'!$A$3:$H$135,MATCH(G30,'G-8 Condition Look up'!$A$3:$A$135,0),MATCH(K30,'G-8 Condition Look up'!$A$3:$H$3,0)),"")</f>
        <v>2</v>
      </c>
      <c r="M30" s="54" t="s">
        <v>1029</v>
      </c>
      <c r="N30" s="382" t="str">
        <f>IF(M30="","",IF(VLOOKUP(M30,'G-3 Multipliers'!$L$3:$N$6,2,FALSE)=0,"Spatial Data Missing",VLOOKUP(M30,'G-3 Multipliers'!$L$3:$N$6,2,FALSE)))</f>
        <v xml:space="preserve">High strategic significance </v>
      </c>
      <c r="O30" s="368">
        <f>IF(M30="","",IF(VLOOKUP(M30,'G-3 Multipliers'!$L$3:$N$6,3,FALSE)=0,"Spatial Data Missing ▲",VLOOKUP(M30,'G-3 Multipliers'!$L$3:$N$6,3,FALSE)))</f>
        <v>1.1499999999999999</v>
      </c>
      <c r="P30" s="369" t="str">
        <f>IFERROR(VLOOKUP(G30,'G-1 All Habitats'!$B$2:$M$134,12,FALSE),"")</f>
        <v>Same habitat required =</v>
      </c>
      <c r="Q30" s="376">
        <f>IFERROR(IF(P30="","",IF(AND(P30='G-1 All Habitats'!$X$3,T30&gt;0),U30+V30,IF(AND(P30='G-1 All Habitats'!$X$3,S30&gt;0),U30+V30,IF(AND(P30='G-1 All Habitats'!$X$3,AC30&gt;0),"Any Loss Unacceptable ⚠",IF(AND(P30='G-1 All Habitats'!$X$3,W30&gt;0),"Any Loss Unacceptable ⚠",H30*J30*L30*O30))))),"Check Data ▲")</f>
        <v>0.12098189119799999</v>
      </c>
      <c r="R30" s="38"/>
      <c r="S30" s="54">
        <v>0</v>
      </c>
      <c r="T30" s="55">
        <v>0</v>
      </c>
      <c r="U30" s="374">
        <f t="shared" si="3"/>
        <v>0</v>
      </c>
      <c r="V30" s="374">
        <f t="shared" si="4"/>
        <v>0</v>
      </c>
      <c r="W30" s="374">
        <f>IF(E30="","",IF(H30&lt;S30+T30,"Error in Areas ▲",IF(P30&lt;&gt;'G-1 All Habitats'!$X$3,H30-S30-T30,IF(AND(P30='G-1 All Habitats'!$X$3,Y30="Yes"),"Unacceptable Loss ⚠",IF(AND(P30='G-1 All Habitats'!$X$3,Y30="No"),AC30,IF(AND(P30='G-1 All Habitats'!$X$3,Y30=""),AC30,IF(AND(P30='G-1 All Habitats'!$X$3,AC30="None",AC30),IF(AND(P30='G-1 All Habitats'!$X$3,AC30&gt;0),H30-S30-T30))))))))</f>
        <v>8.7668037099999999E-3</v>
      </c>
      <c r="X30" s="378">
        <f>IFERROR(IF(H30="","",IF(H30-S30-T30=0&lt;0,"Error in Areas ▲",IF(S30+T30&gt;H30,"Error in Areas ▲",IF(AND(P30='G-1 All Habitats'!$X$3,Y30="Yes"),"Alternative Compensation ✓",IF(W30=0,0,IF(P30='G-1 All Habitats'!$X$3,"Any Loss Unacceptable ▲",Q30-U30-V30)))))),"Check Data ▲")</f>
        <v>0.12098189119799999</v>
      </c>
      <c r="Y30" s="55"/>
      <c r="Z30" s="62" t="s">
        <v>1692</v>
      </c>
      <c r="AA30" s="526"/>
      <c r="AB30" s="120"/>
      <c r="AC30" s="726" t="str">
        <f>IF(P30="","",IF(P30='G-1 All Habitats'!$X$3,H30-S30-T30,"None"))</f>
        <v>None</v>
      </c>
      <c r="AD30" s="727" t="str">
        <f>IF(P30="","", IF(P30='G-1 All Habitats'!$X$3, AC30*J30*L30*O30,"None"))</f>
        <v>None</v>
      </c>
      <c r="AF30" s="40" t="b">
        <f t="shared" si="0"/>
        <v>0</v>
      </c>
      <c r="AG30" s="40" t="b">
        <f t="shared" si="1"/>
        <v>0</v>
      </c>
      <c r="AH30" s="40" t="e">
        <f>IF(I30="","",IF(#REF!&gt;0,TRUE,FALSE))</f>
        <v>#REF!</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30">
      <c r="A31" s="35" t="str">
        <f>IFERROR(INDEX('G-1 All Habitats'!$AG$3:$AG$17,MATCH(E31,'G-1 All Habitats'!$AF$3:$AF$17,0)),"")</f>
        <v>Sparsely_vegetated_land</v>
      </c>
      <c r="B31" s="35" t="str">
        <f>IFERROR(INDEX('G-8 Condition Look up'!$I$4:$I$135,MATCH(G31,'G-8 Condition Look up'!$A$4:$A$135,0)),"")</f>
        <v>Cond4</v>
      </c>
      <c r="D31" s="287">
        <v>21</v>
      </c>
      <c r="E31" s="267" t="s">
        <v>128</v>
      </c>
      <c r="F31" s="61" t="s">
        <v>666</v>
      </c>
      <c r="G31" s="52" t="str">
        <f>IFERROR(INDEX('G-1 All Habitats'!$B$3:$B$134,MATCH(F31,'G-1 All Habitats'!$A$3:$A$134,0)),"")</f>
        <v>Sparsely vegetated land - Tall forbs</v>
      </c>
      <c r="H31" s="53">
        <v>1.5473550928199999</v>
      </c>
      <c r="I31" s="362" t="str">
        <f>IF(G31="","",VLOOKUP(G31,'G-1 All Habitats'!$B$2:$M$134,10,FALSE))</f>
        <v>Low</v>
      </c>
      <c r="J31" s="363">
        <f>IFERROR(VLOOKUP(I31,'G-1 All Habitats'!$V$3:$W$7,2,FALSE),"")</f>
        <v>2</v>
      </c>
      <c r="K31" s="54" t="s">
        <v>67</v>
      </c>
      <c r="L31" s="363">
        <f>IFERROR(INDEX('G-8 Condition Look up'!$A$3:$H$135,MATCH(G31,'G-8 Condition Look up'!$A$3:$A$135,0),MATCH(K31,'G-8 Condition Look up'!$A$3:$H$3,0)),"")</f>
        <v>2</v>
      </c>
      <c r="M31" s="54" t="s">
        <v>1033</v>
      </c>
      <c r="N31" s="382" t="str">
        <f>IF(M31="","",IF(VLOOKUP(M31,'G-3 Multipliers'!$L$3:$N$6,2,FALSE)=0,"Spatial Data Missing",VLOOKUP(M31,'G-3 Multipliers'!$L$3:$N$6,2,FALSE)))</f>
        <v xml:space="preserve">Medium strategic significance </v>
      </c>
      <c r="O31" s="368">
        <f>IF(M31="","",IF(VLOOKUP(M31,'G-3 Multipliers'!$L$3:$N$6,3,FALSE)=0,"Spatial Data Missing ▲",VLOOKUP(M31,'G-3 Multipliers'!$L$3:$N$6,3,FALSE)))</f>
        <v>1.1000000000000001</v>
      </c>
      <c r="P31" s="369" t="str">
        <f>IFERROR(VLOOKUP(G31,'G-1 All Habitats'!$B$2:$M$134,12,FALSE),"")</f>
        <v>Same distinctiveness or better habitat required ≥</v>
      </c>
      <c r="Q31" s="376">
        <f>IFERROR(IF(P31="","",IF(AND(P31='G-1 All Habitats'!$X$3,T31&gt;0),U31+V31,IF(AND(P31='G-1 All Habitats'!$X$3,S31&gt;0),U31+V31,IF(AND(P31='G-1 All Habitats'!$X$3,AC31&gt;0),"Any Loss Unacceptable ⚠",IF(AND(P31='G-1 All Habitats'!$X$3,W31&gt;0),"Any Loss Unacceptable ⚠",H31*J31*L31*O31))))),"Check Data ▲")</f>
        <v>6.8083624084080006</v>
      </c>
      <c r="R31" s="38"/>
      <c r="S31" s="54">
        <v>0</v>
      </c>
      <c r="T31" s="55">
        <v>0</v>
      </c>
      <c r="U31" s="374">
        <f t="shared" si="3"/>
        <v>0</v>
      </c>
      <c r="V31" s="374">
        <f t="shared" si="4"/>
        <v>0</v>
      </c>
      <c r="W31" s="374">
        <f>IF(E31="","",IF(H31&lt;S31+T31,"Error in Areas ▲",IF(P31&lt;&gt;'G-1 All Habitats'!$X$3,H31-S31-T31,IF(AND(P31='G-1 All Habitats'!$X$3,Y31="Yes"),"Unacceptable Loss ⚠",IF(AND(P31='G-1 All Habitats'!$X$3,Y31="No"),AC31,IF(AND(P31='G-1 All Habitats'!$X$3,Y31=""),AC31,IF(AND(P31='G-1 All Habitats'!$X$3,AC31="None",AC31),IF(AND(P31='G-1 All Habitats'!$X$3,AC31&gt;0),H31-S31-T31))))))))</f>
        <v>1.5473550928199999</v>
      </c>
      <c r="X31" s="378">
        <f>IFERROR(IF(H31="","",IF(H31-S31-T31=0&lt;0,"Error in Areas ▲",IF(S31+T31&gt;H31,"Error in Areas ▲",IF(AND(P31='G-1 All Habitats'!$X$3,Y31="Yes"),"Alternative Compensation ✓",IF(W31=0,0,IF(P31='G-1 All Habitats'!$X$3,"Any Loss Unacceptable ▲",Q31-U31-V31)))))),"Check Data ▲")</f>
        <v>6.8083624084080006</v>
      </c>
      <c r="Y31" s="55"/>
      <c r="Z31" s="62" t="s">
        <v>1693</v>
      </c>
      <c r="AA31" s="526"/>
      <c r="AB31" s="120"/>
      <c r="AC31" s="726" t="str">
        <f>IF(P31="","",IF(P31='G-1 All Habitats'!$X$3,H31-S31-T31,"None"))</f>
        <v>None</v>
      </c>
      <c r="AD31" s="727" t="str">
        <f>IF(P31="","", IF(P31='G-1 All Habitats'!$X$3, AC31*J31*L31*O31,"None"))</f>
        <v>None</v>
      </c>
      <c r="AF31" s="40" t="b">
        <f t="shared" si="0"/>
        <v>0</v>
      </c>
      <c r="AG31" s="40" t="b">
        <f t="shared" si="1"/>
        <v>0</v>
      </c>
      <c r="AH31" s="40" t="e">
        <f>IF(I31="","",IF(#REF!&gt;0,TRUE,FALSE))</f>
        <v>#REF!</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30">
      <c r="A32" s="35" t="str">
        <f>IFERROR(INDEX('G-1 All Habitats'!$AG$3:$AG$17,MATCH(E32,'G-1 All Habitats'!$AF$3:$AF$17,0)),"")</f>
        <v>Sparsely_vegetated_land</v>
      </c>
      <c r="B32" s="35" t="str">
        <f>IFERROR(INDEX('G-8 Condition Look up'!$I$4:$I$135,MATCH(G32,'G-8 Condition Look up'!$A$4:$A$135,0)),"")</f>
        <v>Cond4</v>
      </c>
      <c r="D32" s="287">
        <v>22</v>
      </c>
      <c r="E32" s="267" t="s">
        <v>128</v>
      </c>
      <c r="F32" s="61" t="s">
        <v>666</v>
      </c>
      <c r="G32" s="52" t="str">
        <f>IFERROR(INDEX('G-1 All Habitats'!$B$3:$B$134,MATCH(F32,'G-1 All Habitats'!$A$3:$A$134,0)),"")</f>
        <v>Sparsely vegetated land - Tall forbs</v>
      </c>
      <c r="H32" s="53">
        <v>1.0151152785399999</v>
      </c>
      <c r="I32" s="362" t="str">
        <f>IF(G32="","",VLOOKUP(G32,'G-1 All Habitats'!$B$2:$M$134,10,FALSE))</f>
        <v>Low</v>
      </c>
      <c r="J32" s="363">
        <f>IFERROR(VLOOKUP(I32,'G-1 All Habitats'!$V$3:$W$7,2,FALSE),"")</f>
        <v>2</v>
      </c>
      <c r="K32" s="54" t="s">
        <v>68</v>
      </c>
      <c r="L32" s="363">
        <f>IFERROR(INDEX('G-8 Condition Look up'!$A$3:$H$135,MATCH(G32,'G-8 Condition Look up'!$A$3:$A$135,0),MATCH(K32,'G-8 Condition Look up'!$A$3:$H$3,0)),"")</f>
        <v>3</v>
      </c>
      <c r="M32" s="54" t="s">
        <v>1033</v>
      </c>
      <c r="N32" s="382" t="str">
        <f>IF(M32="","",IF(VLOOKUP(M32,'G-3 Multipliers'!$L$3:$N$6,2,FALSE)=0,"Spatial Data Missing",VLOOKUP(M32,'G-3 Multipliers'!$L$3:$N$6,2,FALSE)))</f>
        <v xml:space="preserve">Medium strategic significance </v>
      </c>
      <c r="O32" s="368">
        <f>IF(M32="","",IF(VLOOKUP(M32,'G-3 Multipliers'!$L$3:$N$6,3,FALSE)=0,"Spatial Data Missing ▲",VLOOKUP(M32,'G-3 Multipliers'!$L$3:$N$6,3,FALSE)))</f>
        <v>1.1000000000000001</v>
      </c>
      <c r="P32" s="369" t="str">
        <f>IFERROR(VLOOKUP(G32,'G-1 All Habitats'!$B$2:$M$134,12,FALSE),"")</f>
        <v>Same distinctiveness or better habitat required ≥</v>
      </c>
      <c r="Q32" s="376">
        <f>IFERROR(IF(P32="","",IF(AND(P32='G-1 All Habitats'!$X$3,T32&gt;0),U32+V32,IF(AND(P32='G-1 All Habitats'!$X$3,S32&gt;0),U32+V32,IF(AND(P32='G-1 All Habitats'!$X$3,AC32&gt;0),"Any Loss Unacceptable ⚠",IF(AND(P32='G-1 All Habitats'!$X$3,W32&gt;0),"Any Loss Unacceptable ⚠",H32*J32*L32*O32))))),"Check Data ▲")</f>
        <v>6.6997608383640008</v>
      </c>
      <c r="R32" s="38"/>
      <c r="S32" s="54">
        <v>0</v>
      </c>
      <c r="T32" s="55">
        <v>0</v>
      </c>
      <c r="U32" s="374">
        <f t="shared" si="3"/>
        <v>0</v>
      </c>
      <c r="V32" s="374">
        <f t="shared" si="4"/>
        <v>0</v>
      </c>
      <c r="W32" s="374">
        <f>IF(E32="","",IF(H32&lt;S32+T32,"Error in Areas ▲",IF(P32&lt;&gt;'G-1 All Habitats'!$X$3,H32-S32-T32,IF(AND(P32='G-1 All Habitats'!$X$3,Y32="Yes"),"Unacceptable Loss ⚠",IF(AND(P32='G-1 All Habitats'!$X$3,Y32="No"),AC32,IF(AND(P32='G-1 All Habitats'!$X$3,Y32=""),AC32,IF(AND(P32='G-1 All Habitats'!$X$3,AC32="None",AC32),IF(AND(P32='G-1 All Habitats'!$X$3,AC32&gt;0),H32-S32-T32))))))))</f>
        <v>1.0151152785399999</v>
      </c>
      <c r="X32" s="378">
        <f>IFERROR(IF(H32="","",IF(H32-S32-T32=0&lt;0,"Error in Areas ▲",IF(S32+T32&gt;H32,"Error in Areas ▲",IF(AND(P32='G-1 All Habitats'!$X$3,Y32="Yes"),"Alternative Compensation ✓",IF(W32=0,0,IF(P32='G-1 All Habitats'!$X$3,"Any Loss Unacceptable ▲",Q32-U32-V32)))))),"Check Data ▲")</f>
        <v>6.6997608383640008</v>
      </c>
      <c r="Y32" s="55"/>
      <c r="Z32" s="62" t="s">
        <v>1695</v>
      </c>
      <c r="AA32" s="526"/>
      <c r="AB32" s="120"/>
      <c r="AC32" s="726" t="str">
        <f>IF(P32="","",IF(P32='G-1 All Habitats'!$X$3,H32-S32-T32,"None"))</f>
        <v>None</v>
      </c>
      <c r="AD32" s="727" t="str">
        <f>IF(P32="","", IF(P32='G-1 All Habitats'!$X$3, AC32*J32*L32*O32,"None"))</f>
        <v>None</v>
      </c>
      <c r="AF32" s="40" t="b">
        <f t="shared" si="0"/>
        <v>0</v>
      </c>
      <c r="AG32" s="40" t="b">
        <f t="shared" si="1"/>
        <v>0</v>
      </c>
      <c r="AH32" s="40" t="e">
        <f>IF(I32="","",IF(#REF!&gt;0,TRUE,FALSE))</f>
        <v>#REF!</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30">
      <c r="A33" s="35" t="str">
        <f>IFERROR(INDEX('G-1 All Habitats'!$AG$3:$AG$17,MATCH(E33,'G-1 All Habitats'!$AF$3:$AF$17,0)),"")</f>
        <v>Sparsely_vegetated_land</v>
      </c>
      <c r="B33" s="35" t="str">
        <f>IFERROR(INDEX('G-8 Condition Look up'!$I$4:$I$135,MATCH(G33,'G-8 Condition Look up'!$A$4:$A$135,0)),"")</f>
        <v>Cond4</v>
      </c>
      <c r="D33" s="287">
        <v>23</v>
      </c>
      <c r="E33" s="267" t="s">
        <v>128</v>
      </c>
      <c r="F33" s="61" t="s">
        <v>666</v>
      </c>
      <c r="G33" s="52" t="str">
        <f>IFERROR(INDEX('G-1 All Habitats'!$B$3:$B$134,MATCH(F33,'G-1 All Habitats'!$A$3:$A$134,0)),"")</f>
        <v>Sparsely vegetated land - Tall forbs</v>
      </c>
      <c r="H33" s="53">
        <v>4.2922939999999998E-5</v>
      </c>
      <c r="I33" s="362" t="str">
        <f>IF(G33="","",VLOOKUP(G33,'G-1 All Habitats'!$B$2:$M$134,10,FALSE))</f>
        <v>Low</v>
      </c>
      <c r="J33" s="363">
        <f>IFERROR(VLOOKUP(I33,'G-1 All Habitats'!$V$3:$W$7,2,FALSE),"")</f>
        <v>2</v>
      </c>
      <c r="K33" s="54" t="s">
        <v>68</v>
      </c>
      <c r="L33" s="363">
        <f>IFERROR(INDEX('G-8 Condition Look up'!$A$3:$H$135,MATCH(G33,'G-8 Condition Look up'!$A$3:$A$135,0),MATCH(K33,'G-8 Condition Look up'!$A$3:$H$3,0)),"")</f>
        <v>3</v>
      </c>
      <c r="M33" s="54" t="s">
        <v>1033</v>
      </c>
      <c r="N33" s="382" t="str">
        <f>IF(M33="","",IF(VLOOKUP(M33,'G-3 Multipliers'!$L$3:$N$6,2,FALSE)=0,"Spatial Data Missing",VLOOKUP(M33,'G-3 Multipliers'!$L$3:$N$6,2,FALSE)))</f>
        <v xml:space="preserve">Medium strategic significance </v>
      </c>
      <c r="O33" s="368">
        <f>IF(M33="","",IF(VLOOKUP(M33,'G-3 Multipliers'!$L$3:$N$6,3,FALSE)=0,"Spatial Data Missing ▲",VLOOKUP(M33,'G-3 Multipliers'!$L$3:$N$6,3,FALSE)))</f>
        <v>1.1000000000000001</v>
      </c>
      <c r="P33" s="369" t="str">
        <f>IFERROR(VLOOKUP(G33,'G-1 All Habitats'!$B$2:$M$134,12,FALSE),"")</f>
        <v>Same distinctiveness or better habitat required ≥</v>
      </c>
      <c r="Q33" s="376">
        <f>IFERROR(IF(P33="","",IF(AND(P33='G-1 All Habitats'!$X$3,T33&gt;0),U33+V33,IF(AND(P33='G-1 All Habitats'!$X$3,S33&gt;0),U33+V33,IF(AND(P33='G-1 All Habitats'!$X$3,AC33&gt;0),"Any Loss Unacceptable ⚠",IF(AND(P33='G-1 All Habitats'!$X$3,W33&gt;0),"Any Loss Unacceptable ⚠",H33*J33*L33*O33))))),"Check Data ▲")</f>
        <v>2.8329140400000003E-4</v>
      </c>
      <c r="R33" s="38"/>
      <c r="S33" s="54">
        <v>0</v>
      </c>
      <c r="T33" s="55">
        <v>0</v>
      </c>
      <c r="U33" s="374">
        <f t="shared" si="3"/>
        <v>0</v>
      </c>
      <c r="V33" s="374">
        <f t="shared" si="4"/>
        <v>0</v>
      </c>
      <c r="W33" s="374">
        <f>IF(E33="","",IF(H33&lt;S33+T33,"Error in Areas ▲",IF(P33&lt;&gt;'G-1 All Habitats'!$X$3,H33-S33-T33,IF(AND(P33='G-1 All Habitats'!$X$3,Y33="Yes"),"Unacceptable Loss ⚠",IF(AND(P33='G-1 All Habitats'!$X$3,Y33="No"),AC33,IF(AND(P33='G-1 All Habitats'!$X$3,Y33=""),AC33,IF(AND(P33='G-1 All Habitats'!$X$3,AC33="None",AC33),IF(AND(P33='G-1 All Habitats'!$X$3,AC33&gt;0),H33-S33-T33))))))))</f>
        <v>4.2922939999999998E-5</v>
      </c>
      <c r="X33" s="378">
        <f>IFERROR(IF(H33="","",IF(H33-S33-T33=0&lt;0,"Error in Areas ▲",IF(S33+T33&gt;H33,"Error in Areas ▲",IF(AND(P33='G-1 All Habitats'!$X$3,Y33="Yes"),"Alternative Compensation ✓",IF(W33=0,0,IF(P33='G-1 All Habitats'!$X$3,"Any Loss Unacceptable ▲",Q33-U33-V33)))))),"Check Data ▲")</f>
        <v>2.8329140400000003E-4</v>
      </c>
      <c r="Y33" s="55"/>
      <c r="Z33" s="62" t="s">
        <v>1694</v>
      </c>
      <c r="AA33" s="526"/>
      <c r="AB33" s="120"/>
      <c r="AC33" s="726" t="str">
        <f>IF(P33="","",IF(P33='G-1 All Habitats'!$X$3,H33-S33-T33,"None"))</f>
        <v>None</v>
      </c>
      <c r="AD33" s="727" t="str">
        <f>IF(P33="","", IF(P33='G-1 All Habitats'!$X$3, AC33*J33*L33*O33,"None"))</f>
        <v>None</v>
      </c>
      <c r="AF33" s="40" t="b">
        <f t="shared" si="0"/>
        <v>0</v>
      </c>
      <c r="AG33" s="40" t="b">
        <f t="shared" si="1"/>
        <v>0</v>
      </c>
      <c r="AH33" s="40" t="e">
        <f>IF(I33="","",IF(#REF!&gt;0,TRUE,FALSE))</f>
        <v>#REF!</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30">
      <c r="A34" s="35" t="str">
        <f>IFERROR(INDEX('G-1 All Habitats'!$AG$3:$AG$17,MATCH(E34,'G-1 All Habitats'!$AF$3:$AF$17,0)),"")</f>
        <v>Heathland_and_shrub</v>
      </c>
      <c r="B34" s="35" t="str">
        <f>IFERROR(INDEX('G-8 Condition Look up'!$I$4:$I$135,MATCH(G34,'G-8 Condition Look up'!$A$4:$A$135,0)),"")</f>
        <v>Cond4</v>
      </c>
      <c r="D34" s="287">
        <v>24</v>
      </c>
      <c r="E34" s="267" t="s">
        <v>126</v>
      </c>
      <c r="F34" s="61" t="s">
        <v>589</v>
      </c>
      <c r="G34" s="52" t="str">
        <f>IFERROR(INDEX('G-1 All Habitats'!$B$3:$B$134,MATCH(F34,'G-1 All Habitats'!$A$3:$A$134,0)),"")</f>
        <v>Heathland and shrub - Mixed scrub</v>
      </c>
      <c r="H34" s="53">
        <v>0.10080275859</v>
      </c>
      <c r="I34" s="362" t="str">
        <f>IF(G34="","",VLOOKUP(G34,'G-1 All Habitats'!$B$2:$M$134,10,FALSE))</f>
        <v>Medium</v>
      </c>
      <c r="J34" s="363">
        <f>IFERROR(VLOOKUP(I34,'G-1 All Habitats'!$V$3:$W$7,2,FALSE),"")</f>
        <v>4</v>
      </c>
      <c r="K34" s="54" t="s">
        <v>67</v>
      </c>
      <c r="L34" s="363">
        <f>IFERROR(INDEX('G-8 Condition Look up'!$A$3:$H$135,MATCH(G34,'G-8 Condition Look up'!$A$3:$A$135,0),MATCH(K34,'G-8 Condition Look up'!$A$3:$H$3,0)),"")</f>
        <v>2</v>
      </c>
      <c r="M34" s="54" t="s">
        <v>1029</v>
      </c>
      <c r="N34" s="382" t="str">
        <f>IF(M34="","",IF(VLOOKUP(M34,'G-3 Multipliers'!$L$3:$N$6,2,FALSE)=0,"Spatial Data Missing",VLOOKUP(M34,'G-3 Multipliers'!$L$3:$N$6,2,FALSE)))</f>
        <v xml:space="preserve">High strategic significance </v>
      </c>
      <c r="O34" s="368">
        <f>IF(M34="","",IF(VLOOKUP(M34,'G-3 Multipliers'!$L$3:$N$6,3,FALSE)=0,"Spatial Data Missing ▲",VLOOKUP(M34,'G-3 Multipliers'!$L$3:$N$6,3,FALSE)))</f>
        <v>1.1499999999999999</v>
      </c>
      <c r="P34" s="369" t="str">
        <f>IFERROR(VLOOKUP(G34,'G-1 All Habitats'!$B$2:$M$134,12,FALSE),"")</f>
        <v>Same broad habitat or a higher distinctiveness habitat required (≥)</v>
      </c>
      <c r="Q34" s="376">
        <f>IFERROR(IF(P34="","",IF(AND(P34='G-1 All Habitats'!$X$3,T34&gt;0),U34+V34,IF(AND(P34='G-1 All Habitats'!$X$3,S34&gt;0),U34+V34,IF(AND(P34='G-1 All Habitats'!$X$3,AC34&gt;0),"Any Loss Unacceptable ⚠",IF(AND(P34='G-1 All Habitats'!$X$3,W34&gt;0),"Any Loss Unacceptable ⚠",H34*J34*L34*O34))))),"Check Data ▲")</f>
        <v>0.92738537902799989</v>
      </c>
      <c r="R34" s="38"/>
      <c r="S34" s="54">
        <v>0</v>
      </c>
      <c r="T34" s="55">
        <v>0</v>
      </c>
      <c r="U34" s="374">
        <f t="shared" si="3"/>
        <v>0</v>
      </c>
      <c r="V34" s="374">
        <f t="shared" si="4"/>
        <v>0</v>
      </c>
      <c r="W34" s="374">
        <f>IF(E34="","",IF(H34&lt;S34+T34,"Error in Areas ▲",IF(P34&lt;&gt;'G-1 All Habitats'!$X$3,H34-S34-T34,IF(AND(P34='G-1 All Habitats'!$X$3,Y34="Yes"),"Unacceptable Loss ⚠",IF(AND(P34='G-1 All Habitats'!$X$3,Y34="No"),AC34,IF(AND(P34='G-1 All Habitats'!$X$3,Y34=""),AC34,IF(AND(P34='G-1 All Habitats'!$X$3,AC34="None",AC34),IF(AND(P34='G-1 All Habitats'!$X$3,AC34&gt;0),H34-S34-T34))))))))</f>
        <v>0.10080275859</v>
      </c>
      <c r="X34" s="378">
        <f>IFERROR(IF(H34="","",IF(H34-S34-T34=0&lt;0,"Error in Areas ▲",IF(S34+T34&gt;H34,"Error in Areas ▲",IF(AND(P34='G-1 All Habitats'!$X$3,Y34="Yes"),"Alternative Compensation ✓",IF(W34=0,0,IF(P34='G-1 All Habitats'!$X$3,"Any Loss Unacceptable ▲",Q34-U34-V34)))))),"Check Data ▲")</f>
        <v>0.92738537902799989</v>
      </c>
      <c r="Y34" s="55"/>
      <c r="Z34" s="62" t="s">
        <v>1696</v>
      </c>
      <c r="AA34" s="526"/>
      <c r="AB34" s="120"/>
      <c r="AC34" s="726" t="str">
        <f>IF(P34="","",IF(P34='G-1 All Habitats'!$X$3,H34-S34-T34,"None"))</f>
        <v>None</v>
      </c>
      <c r="AD34" s="727" t="str">
        <f>IF(P34="","", IF(P34='G-1 All Habitats'!$X$3, AC34*J34*L34*O34,"None"))</f>
        <v>None</v>
      </c>
      <c r="AF34" s="40" t="b">
        <f t="shared" si="0"/>
        <v>0</v>
      </c>
      <c r="AG34" s="40" t="b">
        <f t="shared" si="1"/>
        <v>0</v>
      </c>
      <c r="AH34" s="40" t="e">
        <f>IF(I34="","",IF(#REF!&gt;0,TRUE,FALSE))</f>
        <v>#REF!</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30">
      <c r="A35" s="35" t="str">
        <f>IFERROR(INDEX('G-1 All Habitats'!$AG$3:$AG$17,MATCH(E35,'G-1 All Habitats'!$AF$3:$AF$17,0)),"")</f>
        <v>Woodland_and_forest</v>
      </c>
      <c r="B35" s="35" t="str">
        <f>IFERROR(INDEX('G-8 Condition Look up'!$I$4:$I$135,MATCH(G35,'G-8 Condition Look up'!$A$4:$A$135,0)),"")</f>
        <v>Cond4</v>
      </c>
      <c r="D35" s="287">
        <v>25</v>
      </c>
      <c r="E35" s="267" t="s">
        <v>131</v>
      </c>
      <c r="F35" s="61" t="s">
        <v>788</v>
      </c>
      <c r="G35" s="52" t="str">
        <f>IFERROR(INDEX('G-1 All Habitats'!$B$3:$B$134,MATCH(F35,'G-1 All Habitats'!$A$3:$A$134,0)),"")</f>
        <v>Woodland and forest - Lowland mixed deciduous woodland</v>
      </c>
      <c r="H35" s="53">
        <v>0.17618396625999999</v>
      </c>
      <c r="I35" s="362" t="str">
        <f>IF(G35="","",VLOOKUP(G35,'G-1 All Habitats'!$B$2:$M$134,10,FALSE))</f>
        <v>High</v>
      </c>
      <c r="J35" s="363">
        <f>IFERROR(VLOOKUP(I35,'G-1 All Habitats'!$V$3:$W$7,2,FALSE),"")</f>
        <v>6</v>
      </c>
      <c r="K35" s="54" t="s">
        <v>67</v>
      </c>
      <c r="L35" s="363">
        <f>IFERROR(INDEX('G-8 Condition Look up'!$A$3:$H$135,MATCH(G35,'G-8 Condition Look up'!$A$3:$A$135,0),MATCH(K35,'G-8 Condition Look up'!$A$3:$H$3,0)),"")</f>
        <v>2</v>
      </c>
      <c r="M35" s="54" t="s">
        <v>1029</v>
      </c>
      <c r="N35" s="382" t="str">
        <f>IF(M35="","",IF(VLOOKUP(M35,'G-3 Multipliers'!$L$3:$N$6,2,FALSE)=0,"Spatial Data Missing",VLOOKUP(M35,'G-3 Multipliers'!$L$3:$N$6,2,FALSE)))</f>
        <v xml:space="preserve">High strategic significance </v>
      </c>
      <c r="O35" s="368">
        <f>IF(M35="","",IF(VLOOKUP(M35,'G-3 Multipliers'!$L$3:$N$6,3,FALSE)=0,"Spatial Data Missing ▲",VLOOKUP(M35,'G-3 Multipliers'!$L$3:$N$6,3,FALSE)))</f>
        <v>1.1499999999999999</v>
      </c>
      <c r="P35" s="369" t="str">
        <f>IFERROR(VLOOKUP(G35,'G-1 All Habitats'!$B$2:$M$134,12,FALSE),"")</f>
        <v>Same habitat required =</v>
      </c>
      <c r="Q35" s="376">
        <f>IFERROR(IF(P35="","",IF(AND(P35='G-1 All Habitats'!$X$3,T35&gt;0),U35+V35,IF(AND(P35='G-1 All Habitats'!$X$3,S35&gt;0),U35+V35,IF(AND(P35='G-1 All Habitats'!$X$3,AC35&gt;0),"Any Loss Unacceptable ⚠",IF(AND(P35='G-1 All Habitats'!$X$3,W35&gt;0),"Any Loss Unacceptable ⚠",H35*J35*L35*O35))))),"Check Data ▲")</f>
        <v>2.4313387343879995</v>
      </c>
      <c r="R35" s="38"/>
      <c r="S35" s="54">
        <v>0.17618396625999999</v>
      </c>
      <c r="T35" s="55">
        <v>0</v>
      </c>
      <c r="U35" s="374">
        <f t="shared" si="3"/>
        <v>2.4313387343879995</v>
      </c>
      <c r="V35" s="374">
        <f t="shared" si="4"/>
        <v>0</v>
      </c>
      <c r="W35" s="374">
        <f>IF(E35="","",IF(H35&lt;S35+T35,"Error in Areas ▲",IF(P35&lt;&gt;'G-1 All Habitats'!$X$3,H35-S35-T35,IF(AND(P35='G-1 All Habitats'!$X$3,Y35="Yes"),"Unacceptable Loss ⚠",IF(AND(P35='G-1 All Habitats'!$X$3,Y35="No"),AC35,IF(AND(P35='G-1 All Habitats'!$X$3,Y35=""),AC35,IF(AND(P35='G-1 All Habitats'!$X$3,AC35="None",AC35),IF(AND(P35='G-1 All Habitats'!$X$3,AC35&gt;0),H35-S35-T35))))))))</f>
        <v>0</v>
      </c>
      <c r="X35" s="378">
        <f>IFERROR(IF(H35="","",IF(H35-S35-T35=0&lt;0,"Error in Areas ▲",IF(S35+T35&gt;H35,"Error in Areas ▲",IF(AND(P35='G-1 All Habitats'!$X$3,Y35="Yes"),"Alternative Compensation ✓",IF(W35=0,0,IF(P35='G-1 All Habitats'!$X$3,"Any Loss Unacceptable ▲",Q35-U35-V35)))))),"Check Data ▲")</f>
        <v>0</v>
      </c>
      <c r="Y35" s="55"/>
      <c r="Z35" s="62" t="s">
        <v>1697</v>
      </c>
      <c r="AA35" s="526"/>
      <c r="AB35" s="120"/>
      <c r="AC35" s="726" t="str">
        <f>IF(P35="","",IF(P35='G-1 All Habitats'!$X$3,H35-S35-T35,"None"))</f>
        <v>None</v>
      </c>
      <c r="AD35" s="727" t="str">
        <f>IF(P35="","", IF(P35='G-1 All Habitats'!$X$3, AC35*J35*L35*O35,"None"))</f>
        <v>None</v>
      </c>
      <c r="AF35" s="40" t="b">
        <f t="shared" si="0"/>
        <v>1</v>
      </c>
      <c r="AG35" s="40" t="b">
        <f t="shared" si="1"/>
        <v>0</v>
      </c>
      <c r="AH35" s="40" t="e">
        <f>IF(I35="","",IF(#REF!&gt;0,TRUE,FALSE))</f>
        <v>#REF!</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30">
      <c r="A36" s="35" t="str">
        <f>IFERROR(INDEX('G-1 All Habitats'!$AG$3:$AG$17,MATCH(E36,'G-1 All Habitats'!$AF$3:$AF$17,0)),"")</f>
        <v>Individual_trees</v>
      </c>
      <c r="B36" s="35" t="str">
        <f>IFERROR(INDEX('G-8 Condition Look up'!$I$4:$I$135,MATCH(G36,'G-8 Condition Look up'!$A$4:$A$135,0)),"")</f>
        <v>Cond4</v>
      </c>
      <c r="D36" s="287">
        <v>26</v>
      </c>
      <c r="E36" s="267" t="s">
        <v>138</v>
      </c>
      <c r="F36" s="61" t="s">
        <v>746</v>
      </c>
      <c r="G36" s="52" t="str">
        <f>IFERROR(INDEX('G-1 All Habitats'!$B$3:$B$134,MATCH(F36,'G-1 All Habitats'!$A$3:$A$134,0)),"")</f>
        <v>Individual trees - Rural tree</v>
      </c>
      <c r="H36" s="53">
        <v>0.4587</v>
      </c>
      <c r="I36" s="362" t="str">
        <f>IF(G36="","",VLOOKUP(G36,'G-1 All Habitats'!$B$2:$M$134,10,FALSE))</f>
        <v>Medium</v>
      </c>
      <c r="J36" s="363">
        <f>IFERROR(VLOOKUP(I36,'G-1 All Habitats'!$V$3:$W$7,2,FALSE),"")</f>
        <v>4</v>
      </c>
      <c r="K36" s="54" t="s">
        <v>68</v>
      </c>
      <c r="L36" s="363">
        <f>IFERROR(INDEX('G-8 Condition Look up'!$A$3:$H$135,MATCH(G36,'G-8 Condition Look up'!$A$3:$A$135,0),MATCH(K36,'G-8 Condition Look up'!$A$3:$H$3,0)),"")</f>
        <v>3</v>
      </c>
      <c r="M36" s="54" t="s">
        <v>1033</v>
      </c>
      <c r="N36" s="382" t="str">
        <f>IF(M36="","",IF(VLOOKUP(M36,'G-3 Multipliers'!$L$3:$N$6,2,FALSE)=0,"Spatial Data Missing",VLOOKUP(M36,'G-3 Multipliers'!$L$3:$N$6,2,FALSE)))</f>
        <v xml:space="preserve">Medium strategic significance </v>
      </c>
      <c r="O36" s="368">
        <f>IF(M36="","",IF(VLOOKUP(M36,'G-3 Multipliers'!$L$3:$N$6,3,FALSE)=0,"Spatial Data Missing ▲",VLOOKUP(M36,'G-3 Multipliers'!$L$3:$N$6,3,FALSE)))</f>
        <v>1.1000000000000001</v>
      </c>
      <c r="P36" s="369" t="str">
        <f>IFERROR(VLOOKUP(G36,'G-1 All Habitats'!$B$2:$M$134,12,FALSE),"")</f>
        <v>Same broad habitat or a higher distinctiveness habitat required (≥)</v>
      </c>
      <c r="Q36" s="376">
        <f>IFERROR(IF(P36="","",IF(AND(P36='G-1 All Habitats'!$X$3,T36&gt;0),U36+V36,IF(AND(P36='G-1 All Habitats'!$X$3,S36&gt;0),U36+V36,IF(AND(P36='G-1 All Habitats'!$X$3,AC36&gt;0),"Any Loss Unacceptable ⚠",IF(AND(P36='G-1 All Habitats'!$X$3,W36&gt;0),"Any Loss Unacceptable ⚠",H36*J36*L36*O36))))),"Check Data ▲")</f>
        <v>6.0548400000000013</v>
      </c>
      <c r="R36" s="38"/>
      <c r="S36" s="54">
        <v>0.4587</v>
      </c>
      <c r="T36" s="55">
        <v>0</v>
      </c>
      <c r="U36" s="374">
        <f t="shared" si="3"/>
        <v>6.0548400000000013</v>
      </c>
      <c r="V36" s="374">
        <f t="shared" si="4"/>
        <v>0</v>
      </c>
      <c r="W36" s="374">
        <f>IF(E36="","",IF(H36&lt;S36+T36,"Error in Areas ▲",IF(P36&lt;&gt;'G-1 All Habitats'!$X$3,H36-S36-T36,IF(AND(P36='G-1 All Habitats'!$X$3,Y36="Yes"),"Unacceptable Loss ⚠",IF(AND(P36='G-1 All Habitats'!$X$3,Y36="No"),AC36,IF(AND(P36='G-1 All Habitats'!$X$3,Y36=""),AC36,IF(AND(P36='G-1 All Habitats'!$X$3,AC36="None",AC36),IF(AND(P36='G-1 All Habitats'!$X$3,AC36&gt;0),H36-S36-T36))))))))</f>
        <v>0</v>
      </c>
      <c r="X36" s="378">
        <f>IFERROR(IF(H36="","",IF(H36-S36-T36=0&lt;0,"Error in Areas ▲",IF(S36+T36&gt;H36,"Error in Areas ▲",IF(AND(P36='G-1 All Habitats'!$X$3,Y36="Yes"),"Alternative Compensation ✓",IF(W36=0,0,IF(P36='G-1 All Habitats'!$X$3,"Any Loss Unacceptable ▲",Q36-U36-V36)))))),"Check Data ▲")</f>
        <v>0</v>
      </c>
      <c r="Y36" s="55"/>
      <c r="Z36" s="62" t="s">
        <v>1725</v>
      </c>
      <c r="AA36" s="526"/>
      <c r="AB36" s="120"/>
      <c r="AC36" s="726" t="str">
        <f>IF(P36="","",IF(P36='G-1 All Habitats'!$X$3,H36-S36-T36,"None"))</f>
        <v>None</v>
      </c>
      <c r="AD36" s="727" t="str">
        <f>IF(P36="","", IF(P36='G-1 All Habitats'!$X$3, AC36*J36*L36*O36,"None"))</f>
        <v>None</v>
      </c>
      <c r="AF36" s="40" t="b">
        <f t="shared" si="0"/>
        <v>1</v>
      </c>
      <c r="AG36" s="40" t="b">
        <f t="shared" si="1"/>
        <v>0</v>
      </c>
      <c r="AH36" s="40" t="e">
        <f>IF(I36="","",IF(#REF!&gt;0,TRUE,FALSE))</f>
        <v>#REF!</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idden="1">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idden="1">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idden="1">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idden="1">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idden="1">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idden="1">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idden="1">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idden="1">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idden="1">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idden="1">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idden="1">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idden="1">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idden="1">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idden="1">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idden="1">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idden="1">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idden="1">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idden="1">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idden="1">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idden="1">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idden="1">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idden="1">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idden="1">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idden="1">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idden="1">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idden="1">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idden="1">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idden="1">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idden="1">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idden="1">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idden="1">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idden="1">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idden="1">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idden="1">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idden="1">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idden="1">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idden="1">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idden="1">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idden="1">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idden="1">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idden="1">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idden="1">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idden="1">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idden="1">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idden="1">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305</v>
      </c>
      <c r="H259" s="785">
        <f>IF('Detailed Results'!K40&gt;0,"Error ▲", SUM(H11:H258))</f>
        <v>40.575935598519997</v>
      </c>
      <c r="N259" s="38"/>
      <c r="P259" s="786"/>
      <c r="Q259" s="403">
        <f>IF('Detailed Results'!K40&gt;0,"Error ▲",SUM(Q11:Q258))</f>
        <v>108.41945758035799</v>
      </c>
      <c r="R259" s="65"/>
      <c r="S259" s="800">
        <f>IF('Detailed Results'!$K$40&gt;0,"Error ▲",SUM(S11:S258))</f>
        <v>0.63488396625999999</v>
      </c>
      <c r="T259" s="343">
        <f>IF('Detailed Results'!$K$40&gt;0,"Error ▲",SUM(T11:T258))</f>
        <v>0</v>
      </c>
      <c r="U259" s="343" cm="1">
        <f t="array" ref="U259">IF(OR('Detailed Results'!$K$40&gt;0,W11:W258="Error in Areas ▲"),"Error ▲",SUM(U11:U258))</f>
        <v>8.4861787343880017</v>
      </c>
      <c r="V259" s="343" cm="1">
        <f t="array" ref="V259">IF(OR('Detailed Results'!$K$40&gt;0, W11:W258="Error in Areas ▲"),"Error ▲",SUM(V11:V258))</f>
        <v>0</v>
      </c>
      <c r="W259" s="343">
        <f>IF('Detailed Results'!$K$40&gt;0,"Error ▲",SUM(W11:W258))</f>
        <v>39.941051632259999</v>
      </c>
      <c r="X259" s="403">
        <f>IF('Detailed Results'!$K$40&gt;0,"Error ▲",SUM(X11:X258))</f>
        <v>99.933278845969994</v>
      </c>
      <c r="AQ259" s="41">
        <f>SUM(AQ11:AQ258)</f>
        <v>0</v>
      </c>
    </row>
    <row r="260" spans="1:43" ht="28.5" customHeight="1" thickBot="1">
      <c r="F260" s="729" t="s">
        <v>306</v>
      </c>
      <c r="G260" s="564"/>
      <c r="H260" s="381">
        <f>IF('Detailed Results'!$K$40&gt;0,"Error ▲",SUMIFS($H$11:$H$256,$G$11:$G$256,"&lt;&gt;"&amp;'G-1 All Habitats'!B80,$G$11:$G$256,"&lt;&gt;"&amp;'G-1 All Habitats'!B81,$G$11:$G$256,"&lt;&gt;"&amp;'G-1 All Habitats'!B67,$G$11:$G$256,"&lt;&gt;"&amp;'G-1 All Habitats'!B68))</f>
        <v>40.117235598519997</v>
      </c>
      <c r="P260" s="38"/>
      <c r="Y260" s="66"/>
    </row>
    <row r="261" spans="1:43" ht="33.950000000000003" customHeight="1" thickBot="1">
      <c r="D261" s="38"/>
      <c r="E261" s="38"/>
      <c r="F261" s="66"/>
      <c r="H261" s="65"/>
      <c r="S261" s="1421" t="s">
        <v>307</v>
      </c>
      <c r="T261" s="1422"/>
      <c r="U261" s="1422"/>
      <c r="V261" s="1423"/>
      <c r="W261" s="366">
        <f>IF('Detailed Results'!$K$40&gt;0,"Error ▲",SUMIFS($W$11:$W$258,$G$11:$G$258,"&lt;&gt;"&amp;'G-1 All Habitats'!B67,$G$11:$G$258,"&lt;&gt;"&amp;'G-1 All Habitats'!B68,$G$11:$G$258,"&lt;&gt;"&amp;'G-1 All Habitats'!B80, $G$11:$G$258,"&lt;&gt;"&amp;'G-1 All Habitats'!B81))</f>
        <v>39.941051632259999</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14" t="s">
        <v>308</v>
      </c>
      <c r="G264" s="36"/>
      <c r="H264" s="730" t="s">
        <v>309</v>
      </c>
      <c r="I264" s="734" t="s">
        <v>310</v>
      </c>
      <c r="J264" s="1416" t="s">
        <v>311</v>
      </c>
      <c r="K264" s="1417"/>
      <c r="L264" s="38"/>
      <c r="M264" s="38"/>
      <c r="N264" s="38"/>
      <c r="O264" s="38"/>
    </row>
    <row r="265" spans="1:43" ht="15" customHeight="1" thickBot="1">
      <c r="D265" s="38"/>
      <c r="E265" s="38"/>
      <c r="F265" s="1415"/>
      <c r="G265" s="36"/>
      <c r="H265" s="730"/>
      <c r="I265" s="373" t="str">
        <f>IF(H264="Hectares",H265,IF(H264="M²",H265/10000,""))</f>
        <v/>
      </c>
      <c r="J265" s="1418" t="str">
        <f>IF(H264="M²",H265,IF(H264="Hectares",H265*10000,""))</f>
        <v/>
      </c>
      <c r="K265" s="1419"/>
      <c r="L265" s="38"/>
      <c r="M265" s="38"/>
      <c r="N265" s="38"/>
      <c r="O265" s="38"/>
    </row>
    <row r="275"/>
  </sheetData>
  <sheetProtection algorithmName="SHA-512" hashValue="+GW0/c4TiBSEJcSaEDpO1HTilIc6zCLN5evWXT8IFQDnCnEPd93rGXiuoIdZ0Z+Z04ENwyFCoPHcm4CzVAPrMg==" saltValue="d6NYMX0QGwowYQfDiu+r5w=="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AC11:AC258">
    <cfRule type="cellIs" dxfId="749" priority="182" operator="equal">
      <formula>""</formula>
    </cfRule>
    <cfRule type="cellIs" dxfId="748" priority="183" operator="equal">
      <formula>"None"</formula>
    </cfRule>
    <cfRule type="cellIs" dxfId="747" priority="187" operator="greaterThan">
      <formula>0</formula>
    </cfRule>
  </conditionalFormatting>
  <conditionalFormatting sqref="AD12">
    <cfRule type="cellIs" dxfId="746" priority="178" operator="equal">
      <formula>"None"</formula>
    </cfRule>
    <cfRule type="cellIs" dxfId="745" priority="181" operator="equal">
      <formula>""</formula>
    </cfRule>
    <cfRule type="cellIs" dxfId="744" priority="184" operator="greaterThan">
      <formula>0</formula>
    </cfRule>
  </conditionalFormatting>
  <conditionalFormatting sqref="AC11">
    <cfRule type="cellIs" dxfId="743" priority="167" operator="equal">
      <formula>""</formula>
    </cfRule>
    <cfRule type="cellIs" dxfId="742" priority="168" operator="equal">
      <formula>"None"</formula>
    </cfRule>
    <cfRule type="cellIs" dxfId="741" priority="171" operator="greaterThan">
      <formula>0</formula>
    </cfRule>
  </conditionalFormatting>
  <conditionalFormatting sqref="AD11:AD258">
    <cfRule type="cellIs" dxfId="740" priority="163" operator="equal">
      <formula>"None"</formula>
    </cfRule>
    <cfRule type="cellIs" dxfId="739" priority="166" operator="equal">
      <formula>""</formula>
    </cfRule>
    <cfRule type="cellIs" dxfId="738" priority="169" operator="greaterThan">
      <formula>0</formula>
    </cfRule>
  </conditionalFormatting>
  <conditionalFormatting sqref="AC11:AC258">
    <cfRule type="cellIs" dxfId="737" priority="152" operator="equal">
      <formula>""</formula>
    </cfRule>
    <cfRule type="cellIs" dxfId="736" priority="153" operator="equal">
      <formula>"None"</formula>
    </cfRule>
    <cfRule type="cellIs" dxfId="735" priority="156" operator="greaterThan">
      <formula>0</formula>
    </cfRule>
  </conditionalFormatting>
  <conditionalFormatting sqref="AD13:AD258">
    <cfRule type="cellIs" dxfId="734" priority="148" operator="equal">
      <formula>"None"</formula>
    </cfRule>
    <cfRule type="cellIs" dxfId="733" priority="151" operator="equal">
      <formula>""</formula>
    </cfRule>
    <cfRule type="cellIs" dxfId="732" priority="154" operator="greaterThan">
      <formula>0</formula>
    </cfRule>
  </conditionalFormatting>
  <conditionalFormatting sqref="AC11:AC258">
    <cfRule type="cellIs" dxfId="731" priority="145" operator="equal">
      <formula>0</formula>
    </cfRule>
  </conditionalFormatting>
  <conditionalFormatting sqref="L11:L258">
    <cfRule type="cellIs" dxfId="730" priority="137" operator="equal">
      <formula>"Not Possible"</formula>
    </cfRule>
  </conditionalFormatting>
  <conditionalFormatting sqref="W11:W258">
    <cfRule type="cellIs" dxfId="729" priority="65" operator="equal">
      <formula>"Error in Areas ▲"</formula>
    </cfRule>
    <cfRule type="cellIs" dxfId="728" priority="95" operator="equal">
      <formula>"Unacceptable Loss ▲"</formula>
    </cfRule>
  </conditionalFormatting>
  <conditionalFormatting sqref="Q11:Q258">
    <cfRule type="cellIs" dxfId="727" priority="73" operator="equal">
      <formula>"Any loss Unacceptable ⚠"</formula>
    </cfRule>
  </conditionalFormatting>
  <conditionalFormatting sqref="Q11:Q258">
    <cfRule type="expression" dxfId="726" priority="75">
      <formula>"p18=""Avoid"""</formula>
    </cfRule>
  </conditionalFormatting>
  <conditionalFormatting sqref="Q11:Q258">
    <cfRule type="cellIs" dxfId="725" priority="74" operator="equal">
      <formula>"Any loss Unacceptable ⚠"</formula>
    </cfRule>
  </conditionalFormatting>
  <conditionalFormatting sqref="Q11:Q258">
    <cfRule type="cellIs" dxfId="724" priority="70" operator="equal">
      <formula>"Any loss Unacceptable ⚠"</formula>
    </cfRule>
  </conditionalFormatting>
  <conditionalFormatting sqref="Q11:Q258">
    <cfRule type="expression" dxfId="723" priority="72">
      <formula>"p18=""Avoid"""</formula>
    </cfRule>
  </conditionalFormatting>
  <conditionalFormatting sqref="Q11:Q258">
    <cfRule type="cellIs" dxfId="722" priority="71" operator="equal">
      <formula>"Any loss Unacceptable ⚠"</formula>
    </cfRule>
  </conditionalFormatting>
  <conditionalFormatting sqref="Q12:Q258">
    <cfRule type="cellIs" dxfId="721" priority="67" operator="equal">
      <formula>"Any loss Unacceptable ▲"</formula>
    </cfRule>
  </conditionalFormatting>
  <conditionalFormatting sqref="Q12:Q258">
    <cfRule type="expression" dxfId="720" priority="69">
      <formula>"p18=""Avoid"""</formula>
    </cfRule>
  </conditionalFormatting>
  <conditionalFormatting sqref="Q12:Q258">
    <cfRule type="cellIs" dxfId="719" priority="68" operator="equal">
      <formula>"Any loss Unacceptable ▲"</formula>
    </cfRule>
  </conditionalFormatting>
  <conditionalFormatting sqref="Q11:Q258">
    <cfRule type="cellIs" dxfId="718" priority="66" operator="equal">
      <formula>"Check Data ▲"</formula>
    </cfRule>
  </conditionalFormatting>
  <conditionalFormatting sqref="Y11:Y258">
    <cfRule type="cellIs" dxfId="717" priority="133" operator="equal">
      <formula>"No"</formula>
    </cfRule>
    <cfRule type="cellIs" dxfId="716" priority="134" operator="equal">
      <formula>"Yes"</formula>
    </cfRule>
  </conditionalFormatting>
  <conditionalFormatting sqref="X11:X258">
    <cfRule type="containsText" dxfId="715" priority="9" operator="containsText" text="✓">
      <formula>NOT(ISERROR(SEARCH("✓",X11)))</formula>
    </cfRule>
    <cfRule type="containsText" dxfId="714" priority="39" operator="containsText" text="Check">
      <formula>NOT(ISERROR(SEARCH("Check",X11)))</formula>
    </cfRule>
    <cfRule type="cellIs" dxfId="713" priority="50" operator="equal">
      <formula>"Error in Areas ▲"</formula>
    </cfRule>
  </conditionalFormatting>
  <conditionalFormatting sqref="X11:X258">
    <cfRule type="containsText" dxfId="712" priority="51"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11" priority="35" operator="equal">
      <formula>"Error in Areas"</formula>
    </cfRule>
    <cfRule type="cellIs" dxfId="710" priority="36" operator="equal">
      <formula>"Unacceptable Loss"</formula>
    </cfRule>
  </conditionalFormatting>
  <conditionalFormatting sqref="W11:W258">
    <cfRule type="cellIs" dxfId="709" priority="28" operator="equal">
      <formula>"Error in Areas ▲"</formula>
    </cfRule>
    <cfRule type="cellIs" dxfId="708" priority="29" operator="equal">
      <formula>"Unacceptable Loss ⚠"</formula>
    </cfRule>
  </conditionalFormatting>
  <conditionalFormatting sqref="L3">
    <cfRule type="containsText" dxfId="707" priority="23" operator="containsText" text="Error">
      <formula>NOT(ISERROR(SEARCH("Error",L3)))</formula>
    </cfRule>
    <cfRule type="containsText" dxfId="706" priority="24" operator="containsText" text="Check">
      <formula>NOT(ISERROR(SEARCH("Check",L3)))</formula>
    </cfRule>
  </conditionalFormatting>
  <conditionalFormatting sqref="L4">
    <cfRule type="containsText" dxfId="705" priority="11" operator="containsText" text="Check">
      <formula>NOT(ISERROR(SEARCH("Check",L4)))</formula>
    </cfRule>
    <cfRule type="containsText" dxfId="704" priority="12" operator="containsText" text="Error">
      <formula>NOT(ISERROR(SEARCH("Error",L4)))</formula>
    </cfRule>
  </conditionalFormatting>
  <conditionalFormatting sqref="L5">
    <cfRule type="containsText" dxfId="703" priority="17" operator="containsText" text="No">
      <formula>NOT(ISERROR(SEARCH("No",L5)))</formula>
    </cfRule>
    <cfRule type="containsText" dxfId="702" priority="18" operator="containsText" text="Yes">
      <formula>NOT(ISERROR(SEARCH("Yes",L5)))</formula>
    </cfRule>
  </conditionalFormatting>
  <conditionalFormatting sqref="L4">
    <cfRule type="cellIs" dxfId="701" priority="6" operator="equal">
      <formula>0</formula>
    </cfRule>
  </conditionalFormatting>
  <conditionalFormatting sqref="Q2">
    <cfRule type="containsText" dxfId="700" priority="10" operator="containsText" text="Check">
      <formula>NOT(ISERROR(SEARCH("Check",Q2)))</formula>
    </cfRule>
  </conditionalFormatting>
  <conditionalFormatting sqref="U259:V259">
    <cfRule type="containsText" dxfId="699" priority="8" operator="containsText" text="Error">
      <formula>NOT(ISERROR(SEARCH("Error",U259)))</formula>
    </cfRule>
  </conditionalFormatting>
  <conditionalFormatting sqref="I6:M8">
    <cfRule type="containsText" dxfId="698" priority="7" operator="containsText" text="⚠">
      <formula>NOT(ISERROR(SEARCH("⚠",I6)))</formula>
    </cfRule>
  </conditionalFormatting>
  <conditionalFormatting sqref="L4:M4">
    <cfRule type="cellIs" dxfId="697" priority="13" operator="lessThan">
      <formula>0</formula>
    </cfRule>
  </conditionalFormatting>
  <conditionalFormatting sqref="X259">
    <cfRule type="containsText" dxfId="696" priority="5" operator="containsText" text="▲">
      <formula>NOT(ISERROR(SEARCH("▲",X259)))</formula>
    </cfRule>
  </conditionalFormatting>
  <conditionalFormatting sqref="W259">
    <cfRule type="containsText" dxfId="695" priority="4" operator="containsText" text="▲">
      <formula>NOT(ISERROR(SEARCH("▲",W259)))</formula>
    </cfRule>
  </conditionalFormatting>
  <conditionalFormatting sqref="Q259:T259">
    <cfRule type="containsText" dxfId="694" priority="3" operator="containsText" text="Error">
      <formula>NOT(ISERROR(SEARCH("Error",Q259)))</formula>
    </cfRule>
  </conditionalFormatting>
  <conditionalFormatting sqref="W261">
    <cfRule type="containsText" dxfId="693" priority="2" operator="containsText" text="▲">
      <formula>NOT(ISERROR(SEARCH("▲",W261)))</formula>
    </cfRule>
  </conditionalFormatting>
  <conditionalFormatting sqref="H259:H260">
    <cfRule type="containsText" dxfId="692" priority="1" operator="containsText" text="▲">
      <formula>NOT(ISERROR(SEARCH("▲",H259)))</formula>
    </cfRule>
  </conditionalFormatting>
  <dataValidations xWindow="350" yWindow="550" count="4">
    <dataValidation type="list" allowBlank="1" showInputMessage="1" showErrorMessage="1" sqref="F11:F258">
      <formula1>INDIRECT(A11)</formula1>
    </dataValidation>
    <dataValidation allowBlank="1" showErrorMessage="1" errorTitle="Invalid Habitat" error="Select from List" sqref="G11:G258"/>
    <dataValidation type="list" allowBlank="1" showInputMessage="1" showErrorMessage="1" sqref="K11:K258">
      <formula1>INDIRECT(B11)</formula1>
    </dataValidation>
    <dataValidation type="list" allowBlank="1" showInputMessage="1" showErrorMessage="1" sqref="H264">
      <formula1>"Hectares, M²"</formula1>
    </dataValidation>
  </dataValidations>
  <pageMargins left="0.7" right="0.7" top="0.75" bottom="0.75" header="0.3" footer="0.3"/>
  <pageSetup paperSize="8" scale="38"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2" operator="equal" id="{78251F4B-D9B8-491B-A3CB-C3E31CF4FAF9}">
            <xm:f>'G-1 All Habitats'!$X$6</xm:f>
            <x14:dxf>
              <font>
                <color rgb="FF383745"/>
              </font>
              <fill>
                <patternFill>
                  <fgColor auto="1"/>
                  <bgColor theme="8" tint="0.59996337778862885"/>
                </patternFill>
              </fill>
            </x14:dxf>
          </x14:cfRule>
          <x14:cfRule type="cellIs" priority="245" operator="equal" id="{CE433DA3-276C-48D8-8968-BAC21DBC1720}">
            <xm:f>'G-1 All Habitats'!$X$5</xm:f>
            <x14:dxf>
              <font>
                <color rgb="FF383745"/>
              </font>
              <fill>
                <patternFill>
                  <bgColor theme="8" tint="-0.24994659260841701"/>
                </patternFill>
              </fill>
            </x14:dxf>
          </x14:cfRule>
          <x14:cfRule type="cellIs" priority="246" operator="equal" id="{FAF3837B-61C2-4812-84DC-4861E4B549AE}">
            <xm:f>'G-1 All Habitats'!$X$4</xm:f>
            <x14:dxf>
              <font>
                <color rgb="FF383745"/>
              </font>
              <fill>
                <patternFill>
                  <bgColor theme="6"/>
                </patternFill>
              </fill>
            </x14:dxf>
          </x14:cfRule>
          <x14:cfRule type="cellIs" priority="247"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5" operator="lessThan" id="{593D0BA2-2099-43F5-91C6-6C5B4FA9AD26}">
            <xm:f>Start!$F$22</xm:f>
            <x14:dxf>
              <font>
                <color rgb="FF383745"/>
              </font>
              <fill>
                <patternFill>
                  <bgColor rgb="FFFFC000"/>
                </patternFill>
              </fill>
            </x14:dxf>
          </x14:cfRule>
          <x14:cfRule type="cellIs" priority="426"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14:formula1>
            <xm:f>'G-3 Multipliers'!$L$4:$L$6</xm:f>
          </x14:formula1>
          <xm:sqref>M11:M258</xm:sqref>
        </x14:dataValidation>
        <x14:dataValidation type="list" allowBlank="1" showInputMessage="1" showErrorMessage="1">
          <x14:formula1>
            <xm:f>'G-1 All Habitats'!$AD$3:$AD$4</xm:f>
          </x14:formula1>
          <xm:sqref>Y11:Y258</xm:sqref>
        </x14:dataValidation>
        <x14:dataValidation type="list" allowBlank="1" showInputMessage="1" showErrorMessage="1">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6600"/>
    <pageSetUpPr fitToPage="1"/>
  </sheetPr>
  <dimension ref="A1:XFC266"/>
  <sheetViews>
    <sheetView showGridLines="0" topLeftCell="O1" zoomScale="91" zoomScaleNormal="91" workbookViewId="0">
      <pane ySplit="10" topLeftCell="A11" activePane="bottomLeft" state="frozen"/>
      <selection pane="bottomLeft" activeCell="Z16" sqref="Z16"/>
    </sheetView>
  </sheetViews>
  <sheetFormatPr defaultColWidth="0" defaultRowHeight="15" zeroHeight="1"/>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75" thickBot="1"/>
    <row r="2" spans="1:34" ht="18.75" customHeight="1" thickBot="1">
      <c r="D2" s="1445" t="str">
        <f>CONCATENATE("Project Name:", " ", Start!F12, "     ", "Map Reference:", " ", Start!K55)</f>
        <v xml:space="preserve">Project Name: Barnsley West Commerical     Map Reference: </v>
      </c>
      <c r="E2" s="1446"/>
      <c r="G2" s="894">
        <v>0.01</v>
      </c>
      <c r="H2" s="1401" t="s">
        <v>263</v>
      </c>
      <c r="I2" s="1402"/>
      <c r="J2" s="1402"/>
      <c r="K2" s="1402"/>
      <c r="L2" s="1403"/>
      <c r="N2" s="1460"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O2" s="1460"/>
      <c r="P2" s="1460"/>
      <c r="Q2" s="1460"/>
      <c r="R2" s="1460"/>
      <c r="S2" s="1464" t="str" cm="1">
        <f t="array" ref="S2">IF(OR(J11:J256 = "Fairly Good", J11:J256 = "Fairly Poor"),"A 'Fairly' Category has been used - check evidence to ensure this is appropriate ⚠", "")</f>
        <v/>
      </c>
      <c r="T2" s="1464"/>
      <c r="U2" s="1464"/>
      <c r="V2" s="1464"/>
      <c r="W2" s="1464"/>
      <c r="X2" s="1464"/>
    </row>
    <row r="3" spans="1:34" ht="24" customHeight="1" thickBot="1">
      <c r="D3" s="1447" t="str">
        <f ca="1">MID(CELL("filename",D1),FIND("]",CELL("filename",D1))+1,256)</f>
        <v>A-2 On-Site Habitat Creation</v>
      </c>
      <c r="E3" s="1448"/>
      <c r="H3" s="1465" t="s">
        <v>264</v>
      </c>
      <c r="I3" s="1466"/>
      <c r="J3" s="1467"/>
      <c r="K3" s="1468">
        <f>'Headline Results'!H47</f>
        <v>24.211490082272675</v>
      </c>
      <c r="L3" s="1469"/>
      <c r="N3" s="1460"/>
      <c r="O3" s="1460"/>
      <c r="P3" s="1460"/>
      <c r="Q3" s="1460"/>
      <c r="R3" s="1460"/>
      <c r="S3" s="1464"/>
      <c r="T3" s="1464"/>
      <c r="U3" s="1464"/>
      <c r="V3" s="1464"/>
      <c r="W3" s="1464"/>
      <c r="X3" s="1464"/>
    </row>
    <row r="4" spans="1:34" ht="12.6" customHeight="1">
      <c r="H4" s="1470" t="s">
        <v>266</v>
      </c>
      <c r="I4" s="1471"/>
      <c r="J4" s="1472"/>
      <c r="K4" s="1473">
        <f>'Headline Results'!H51</f>
        <v>0.22331314528416341</v>
      </c>
      <c r="L4" s="1474"/>
      <c r="N4" s="1461"/>
      <c r="O4" s="1461"/>
      <c r="P4" s="1461"/>
      <c r="Q4" s="1461"/>
      <c r="R4" s="1461"/>
      <c r="S4" s="1464"/>
      <c r="T4" s="1464"/>
      <c r="U4" s="1464"/>
      <c r="V4" s="1464"/>
      <c r="W4" s="1464"/>
      <c r="X4" s="1464"/>
    </row>
    <row r="5" spans="1:34" ht="15.6" customHeight="1">
      <c r="H5" s="1470" t="s">
        <v>268</v>
      </c>
      <c r="I5" s="1471"/>
      <c r="J5" s="1472"/>
      <c r="K5" s="1475" t="str" cm="1">
        <f t="array" ref="K5">IF(OR('Trading Summary Area Habitats'!G5:G8="No ▲"), "No - check trading summaries ▲", "Yes ✓")</f>
        <v>No - check trading summaries ▲</v>
      </c>
      <c r="L5" s="1476"/>
      <c r="M5" s="199"/>
      <c r="N5" s="1461"/>
      <c r="O5" s="1461"/>
      <c r="P5" s="1461"/>
      <c r="Q5" s="1461"/>
      <c r="R5" s="1461"/>
      <c r="S5" s="1464"/>
      <c r="T5" s="1464"/>
      <c r="U5" s="1464"/>
      <c r="V5" s="1464"/>
      <c r="W5" s="1464"/>
      <c r="X5" s="1464"/>
    </row>
    <row r="6" spans="1:34" ht="36" customHeight="1" thickBot="1">
      <c r="H6" s="1479" t="s">
        <v>1678</v>
      </c>
      <c r="I6" s="1480"/>
      <c r="J6" s="1481"/>
      <c r="K6" s="1477" t="str">
        <f>IF(ABS('A-1 On-Site Habitat Baseline'!W261 - G259)&lt;=G2,  "Area Acceptable 🗸", "Error - Area created does not equal area lost ▲")</f>
        <v>Area Acceptable 🗸</v>
      </c>
      <c r="L6" s="1478"/>
      <c r="N6" s="1461"/>
      <c r="O6" s="1461"/>
      <c r="P6" s="1461"/>
      <c r="Q6" s="1461"/>
      <c r="R6" s="1461"/>
    </row>
    <row r="7" spans="1:34" ht="39" customHeight="1" thickBot="1">
      <c r="E7" s="38"/>
      <c r="H7" s="1482" t="str" cm="1">
        <f t="array" ref="H7">IF(OR(E11:E258="watercourse footprint"),"Please ensure the watercourse details for any watercourse footprints recorded are included in the watercourse tabs ⚠", "")</f>
        <v/>
      </c>
      <c r="I7" s="1482"/>
      <c r="J7" s="1482"/>
      <c r="K7" s="1482"/>
      <c r="L7" s="1482"/>
      <c r="P7" s="311"/>
      <c r="Q7" s="311"/>
      <c r="R7" s="311"/>
      <c r="S7" s="309"/>
      <c r="T7" s="309"/>
      <c r="U7" s="309"/>
      <c r="V7" s="309"/>
      <c r="W7" s="309"/>
    </row>
    <row r="8" spans="1:34" ht="15.75" thickBot="1">
      <c r="D8" s="1455" t="s">
        <v>312</v>
      </c>
      <c r="E8" s="1456"/>
      <c r="F8" s="1456"/>
      <c r="G8" s="1456"/>
      <c r="H8" s="1456"/>
      <c r="I8" s="1456"/>
      <c r="J8" s="1456"/>
      <c r="K8" s="1456"/>
      <c r="L8" s="1456"/>
      <c r="M8" s="1456"/>
      <c r="N8" s="1456"/>
      <c r="O8" s="1456"/>
      <c r="P8" s="1456"/>
      <c r="Q8" s="1456"/>
      <c r="R8" s="1456"/>
      <c r="S8" s="1456"/>
      <c r="T8" s="1456"/>
      <c r="U8" s="1456"/>
      <c r="V8" s="1456"/>
      <c r="W8" s="1456"/>
      <c r="X8" s="1456"/>
      <c r="Y8" s="1456"/>
      <c r="Z8" s="1456"/>
      <c r="AA8" s="1457"/>
      <c r="AE8" s="1444" t="s">
        <v>313</v>
      </c>
    </row>
    <row r="9" spans="1:34" s="37" customFormat="1" ht="15" customHeight="1" thickBot="1">
      <c r="B9" s="35"/>
      <c r="D9" s="1453" t="s">
        <v>283</v>
      </c>
      <c r="E9" s="1449" t="s">
        <v>314</v>
      </c>
      <c r="F9" s="1449" t="s">
        <v>314</v>
      </c>
      <c r="G9" s="1451" t="s">
        <v>286</v>
      </c>
      <c r="H9" s="1404" t="s">
        <v>270</v>
      </c>
      <c r="I9" s="1406"/>
      <c r="J9" s="1404" t="s">
        <v>271</v>
      </c>
      <c r="K9" s="1406"/>
      <c r="L9" s="1404" t="s">
        <v>272</v>
      </c>
      <c r="M9" s="1405"/>
      <c r="N9" s="1406"/>
      <c r="O9" s="1404" t="s">
        <v>315</v>
      </c>
      <c r="P9" s="1405"/>
      <c r="Q9" s="1405"/>
      <c r="R9" s="1405"/>
      <c r="S9" s="1405"/>
      <c r="T9" s="1406"/>
      <c r="U9" s="1407" t="s">
        <v>316</v>
      </c>
      <c r="V9" s="1408"/>
      <c r="W9" s="1408"/>
      <c r="X9" s="1409"/>
      <c r="Y9" s="1410" t="s">
        <v>317</v>
      </c>
      <c r="Z9" s="1458" t="s">
        <v>277</v>
      </c>
      <c r="AA9" s="1459"/>
      <c r="AB9" s="35"/>
      <c r="AC9" s="35"/>
      <c r="AD9" s="35"/>
      <c r="AE9" s="1444"/>
      <c r="AF9" s="35"/>
      <c r="AG9" s="35"/>
      <c r="AH9" s="35"/>
    </row>
    <row r="10" spans="1:34" ht="66" customHeight="1" thickBot="1">
      <c r="A10" s="41" t="s">
        <v>281</v>
      </c>
      <c r="D10" s="1454"/>
      <c r="E10" s="1450"/>
      <c r="F10" s="1450"/>
      <c r="G10" s="1452"/>
      <c r="H10" s="807" t="s">
        <v>270</v>
      </c>
      <c r="I10" s="304" t="s">
        <v>287</v>
      </c>
      <c r="J10" s="808" t="s">
        <v>271</v>
      </c>
      <c r="K10" s="809" t="s">
        <v>287</v>
      </c>
      <c r="L10" s="45" t="s">
        <v>272</v>
      </c>
      <c r="M10" s="47" t="s">
        <v>272</v>
      </c>
      <c r="N10" s="48" t="s">
        <v>318</v>
      </c>
      <c r="O10" s="49" t="s">
        <v>319</v>
      </c>
      <c r="P10" s="753" t="s">
        <v>320</v>
      </c>
      <c r="Q10" s="753" t="s">
        <v>321</v>
      </c>
      <c r="R10" s="753" t="s">
        <v>322</v>
      </c>
      <c r="S10" s="753" t="s">
        <v>323</v>
      </c>
      <c r="T10" s="810" t="s">
        <v>324</v>
      </c>
      <c r="U10" s="746" t="s">
        <v>325</v>
      </c>
      <c r="V10" s="745" t="s">
        <v>326</v>
      </c>
      <c r="W10" s="745" t="s">
        <v>327</v>
      </c>
      <c r="X10" s="682" t="s">
        <v>328</v>
      </c>
      <c r="Y10" s="1411"/>
      <c r="Z10" s="44" t="s">
        <v>296</v>
      </c>
      <c r="AA10" s="43" t="s">
        <v>297</v>
      </c>
      <c r="AB10" s="48" t="s">
        <v>298</v>
      </c>
      <c r="AE10" s="35" t="s">
        <v>329</v>
      </c>
    </row>
    <row r="11" spans="1:34" ht="30">
      <c r="A11" s="35" t="str">
        <f>IFERROR(INDEX('G-8 Condition Look up'!$I$4:$I$135,MATCH(F11,'G-8 Condition Look up'!$A$4:$A$135,0)),"")</f>
        <v>Cond4</v>
      </c>
      <c r="C11" s="299" t="str">
        <f>IFERROR(INDEX('G-1 All Habitats'!$AG$3:$AG$17,MATCH(D11,'G-1 All Habitats'!$AF$3:$AF$17,0)),"")</f>
        <v>Grassland</v>
      </c>
      <c r="D11" s="791" t="s">
        <v>125</v>
      </c>
      <c r="E11" s="812" t="s">
        <v>547</v>
      </c>
      <c r="F11" s="813" t="str">
        <f>IFERROR(INDEX('G-1 All Habitats'!$B$3:$B$134,MATCH(E11,'G-1 All Habitats'!$A$3:$A$134,0)),"")</f>
        <v>Grassland - Other neutral grassland</v>
      </c>
      <c r="G11" s="789">
        <v>2.5477869199999999E-2</v>
      </c>
      <c r="H11" s="443" t="str">
        <f>IF(F11="","",VLOOKUP(F11,'G-1 All Habitats'!$B$2:$M$134,10,FALSE))</f>
        <v>Medium</v>
      </c>
      <c r="I11" s="790">
        <f>IFERROR(VLOOKUP(H11,'G-1 All Habitats'!$V$3:$W$7,2,FALSE),"")</f>
        <v>4</v>
      </c>
      <c r="J11" s="791" t="s">
        <v>67</v>
      </c>
      <c r="K11" s="790">
        <f>IFERROR(INDEX('G-8 Condition Look up'!$A$3:$H$135,MATCH(F11,'G-8 Condition Look up'!$A$3:$A$135,0),MATCH(J11,'G-8 Condition Look up'!$A$3:$H$3,0)),"")</f>
        <v>2</v>
      </c>
      <c r="L11" s="54" t="s">
        <v>1029</v>
      </c>
      <c r="M11" s="370" t="str">
        <f>IF(L11="","",IF(VLOOKUP(L11,'G-3 Multipliers'!$L$3:$N$6,2,FALSE)=0,"Spatial Data Missing",VLOOKUP(L11,'G-3 Multipliers'!$L$3:$N$6,2,FALSE)))</f>
        <v xml:space="preserve">High strategic significance </v>
      </c>
      <c r="N11" s="368">
        <f>IF(L11="","",IF(VLOOKUP(L11,'G-3 Multipliers'!$L$3:$N$6,3,FALSE)=0,"Spatial Data Missing",VLOOKUP(L11,'G-3 Multipliers'!$L$3:$N$6,3,FALSE)))</f>
        <v>1.1499999999999999</v>
      </c>
      <c r="O11" s="443">
        <f>IFERROR(INDEX(TemporalData,MATCH(F11,TemporalHabitats,0),MATCH(J11,TemporalConditions,0)),"")</f>
        <v>5</v>
      </c>
      <c r="P11" s="812">
        <v>0</v>
      </c>
      <c r="Q11" s="812">
        <v>3</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Delay in starting habitat in required condition? ⚠</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8</v>
      </c>
      <c r="T11" s="814">
        <f>IFERROR(IF(S11="Check Data ⚠","Check Data ⚠",VLOOKUP(S11,'G-4 Temporal multipliers'!$A$4:$C$37,3,FALSE)),"")</f>
        <v>0.75200115350000007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0.17626636064952353</v>
      </c>
      <c r="Z11" s="194" t="s">
        <v>1771</v>
      </c>
      <c r="AA11" s="195"/>
      <c r="AB11" s="118"/>
      <c r="AE11" s="40">
        <f t="shared" ref="AE11:AE74" si="0">IFERROR(INDEX(TemporalData,MATCH(F11,TemporalHabitats,0),MATCH($AE$10,TemporalConditions,0)),"")</f>
        <v>2</v>
      </c>
    </row>
    <row r="12" spans="1:34" ht="30">
      <c r="A12" s="35" t="str">
        <f>IFERROR(INDEX('G-8 Condition Look up'!$I$4:$I$135,MATCH(F12,'G-8 Condition Look up'!$A$4:$A$135,0)),"")</f>
        <v>Cond4</v>
      </c>
      <c r="C12" s="299" t="str">
        <f>IFERROR(INDEX('G-1 All Habitats'!$AG$3:$AG$17,MATCH(D12,'G-1 All Habitats'!$AF$3:$AF$17,0)),"")</f>
        <v>Grassland</v>
      </c>
      <c r="D12" s="54" t="s">
        <v>125</v>
      </c>
      <c r="E12" s="61" t="s">
        <v>547</v>
      </c>
      <c r="F12" s="296" t="str">
        <f>IFERROR(INDEX('G-1 All Habitats'!$B$3:$B$134,MATCH(E12,'G-1 All Habitats'!$A$3:$A$134,0)),"")</f>
        <v>Grassland - Other neutral grassland</v>
      </c>
      <c r="G12" s="53">
        <v>4.5685958088899996</v>
      </c>
      <c r="H12" s="362" t="str">
        <f>IF(F12="","",VLOOKUP(F12,'G-1 All Habitats'!$B$2:$M$134,10,FALSE))</f>
        <v>Medium</v>
      </c>
      <c r="I12" s="363">
        <f>IFERROR(VLOOKUP(H12,'G-1 All Habitats'!$V$3:$W$7,2,FALSE),"")</f>
        <v>4</v>
      </c>
      <c r="J12" s="54" t="s">
        <v>67</v>
      </c>
      <c r="K12" s="363">
        <f>IFERROR(INDEX('G-8 Condition Look up'!$A$3:$H$135,MATCH(F12,'G-8 Condition Look up'!$A$3:$A$135,0),MATCH(J12,'G-8 Condition Look up'!$A$3:$H$3,0)),"")</f>
        <v>2</v>
      </c>
      <c r="L12" s="54" t="s">
        <v>1029</v>
      </c>
      <c r="M12" s="370" t="str">
        <f>IF(L12="","",IF(VLOOKUP(L12,'G-3 Multipliers'!$L$3:$N$6,2,FALSE)=0,"Spatial Data Missing",VLOOKUP(L12,'G-3 Multipliers'!$L$3:$N$6,2,FALSE)))</f>
        <v xml:space="preserve">High strategic significance </v>
      </c>
      <c r="N12" s="368">
        <f>IF(L12="","",IF(VLOOKUP(L12,'G-3 Multipliers'!$L$3:$N$6,3,FALSE)=0,"Spatial Data Missing",VLOOKUP(L12,'G-3 Multipliers'!$L$3:$N$6,3,FALSE)))</f>
        <v>1.1499999999999999</v>
      </c>
      <c r="O12" s="362">
        <f t="shared" ref="O12:O74" si="1">IFERROR(INDEX(TemporalData,MATCH(F12,TemporalHabitats,0),MATCH(J12,TemporalConditions,0)),"")</f>
        <v>5</v>
      </c>
      <c r="P12" s="63">
        <v>0</v>
      </c>
      <c r="Q12" s="63">
        <v>3</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8</v>
      </c>
      <c r="T12" s="384">
        <f>IFERROR(IF(S12="Check Data ⚠","Check Data ⚠",VLOOKUP(S12,'G-4 Temporal multipliers'!$A$4:$C$37,3,FALSE)),"")</f>
        <v>0.75200115350000007</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31.607421727077014</v>
      </c>
      <c r="Z12" s="194" t="s">
        <v>1726</v>
      </c>
      <c r="AA12" s="195"/>
      <c r="AB12" s="120"/>
      <c r="AE12" s="40">
        <f t="shared" si="0"/>
        <v>2</v>
      </c>
    </row>
    <row r="13" spans="1:34" ht="30">
      <c r="A13" s="35" t="str">
        <f>IFERROR(INDEX('G-8 Condition Look up'!$I$4:$I$135,MATCH(F13,'G-8 Condition Look up'!$A$4:$A$135,0)),"")</f>
        <v>Cond4</v>
      </c>
      <c r="C13" s="299" t="str">
        <f>IFERROR(INDEX('G-1 All Habitats'!$AG$3:$AG$17,MATCH(D13,'G-1 All Habitats'!$AF$3:$AF$17,0)),"")</f>
        <v>Grassland</v>
      </c>
      <c r="D13" s="54" t="s">
        <v>125</v>
      </c>
      <c r="E13" s="61" t="s">
        <v>547</v>
      </c>
      <c r="F13" s="296" t="str">
        <f>IFERROR(INDEX('G-1 All Habitats'!$B$3:$B$134,MATCH(E13,'G-1 All Habitats'!$A$3:$A$134,0)),"")</f>
        <v>Grassland - Other neutral grassland</v>
      </c>
      <c r="G13" s="53">
        <v>0.65625451886999997</v>
      </c>
      <c r="H13" s="362" t="str">
        <f>IF(F13="","",VLOOKUP(F13,'G-1 All Habitats'!$B$2:$M$134,10,FALSE))</f>
        <v>Medium</v>
      </c>
      <c r="I13" s="363">
        <f>IFERROR(VLOOKUP(H13,'G-1 All Habitats'!$V$3:$W$7,2,FALSE),"")</f>
        <v>4</v>
      </c>
      <c r="J13" s="54" t="s">
        <v>67</v>
      </c>
      <c r="K13" s="363">
        <f>IFERROR(INDEX('G-8 Condition Look up'!$A$3:$H$135,MATCH(F13,'G-8 Condition Look up'!$A$3:$A$135,0),MATCH(J13,'G-8 Condition Look up'!$A$3:$H$3,0)),"")</f>
        <v>2</v>
      </c>
      <c r="L13" s="54" t="s">
        <v>1029</v>
      </c>
      <c r="M13" s="370" t="str">
        <f>IF(L13="","",IF(VLOOKUP(L13,'G-3 Multipliers'!$L$3:$N$6,2,FALSE)=0,"Spatial Data Missing",VLOOKUP(L13,'G-3 Multipliers'!$L$3:$N$6,2,FALSE)))</f>
        <v xml:space="preserve">High strategic significance </v>
      </c>
      <c r="N13" s="368">
        <f>IF(L13="","",IF(VLOOKUP(L13,'G-3 Multipliers'!$L$3:$N$6,3,FALSE)=0,"Spatial Data Missing",VLOOKUP(L13,'G-3 Multipliers'!$L$3:$N$6,3,FALSE)))</f>
        <v>1.1499999999999999</v>
      </c>
      <c r="O13" s="362">
        <f t="shared" si="1"/>
        <v>5</v>
      </c>
      <c r="P13" s="63">
        <v>0</v>
      </c>
      <c r="Q13" s="63">
        <v>3</v>
      </c>
      <c r="R13" s="370" t="str">
        <f t="shared" si="2"/>
        <v>Check details- Delay in starting habitat in required condition? ⚠</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8</v>
      </c>
      <c r="T13" s="384">
        <f>IFERROR(IF(S13="Check Data ⚠","Check Data ⚠",VLOOKUP(S13,'G-4 Temporal multipliers'!$A$4:$C$37,3,FALSE)),"")</f>
        <v>0.75200115350000007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4.5402382276544131</v>
      </c>
      <c r="Z13" s="194" t="s">
        <v>1727</v>
      </c>
      <c r="AA13" s="195"/>
      <c r="AB13" s="120"/>
      <c r="AE13" s="40">
        <f t="shared" si="0"/>
        <v>2</v>
      </c>
    </row>
    <row r="14" spans="1:34" ht="30">
      <c r="A14" s="35" t="str">
        <f>IFERROR(INDEX('G-8 Condition Look up'!$I$4:$I$135,MATCH(F14,'G-8 Condition Look up'!$A$4:$A$135,0)),"")</f>
        <v>Cond4</v>
      </c>
      <c r="C14" s="299" t="str">
        <f>IFERROR(INDEX('G-1 All Habitats'!$AG$3:$AG$17,MATCH(D14,'G-1 All Habitats'!$AF$3:$AF$17,0)),"")</f>
        <v>Grassland</v>
      </c>
      <c r="D14" s="54" t="s">
        <v>125</v>
      </c>
      <c r="E14" s="61" t="s">
        <v>547</v>
      </c>
      <c r="F14" s="296" t="str">
        <f>IFERROR(INDEX('G-1 All Habitats'!$B$3:$B$134,MATCH(E14,'G-1 All Habitats'!$A$3:$A$134,0)),"")</f>
        <v>Grassland - Other neutral grassland</v>
      </c>
      <c r="G14" s="53">
        <v>4.0473692280000001E-2</v>
      </c>
      <c r="H14" s="362" t="str">
        <f>IF(F14="","",VLOOKUP(F14,'G-1 All Habitats'!$B$2:$M$134,10,FALSE))</f>
        <v>Medium</v>
      </c>
      <c r="I14" s="363">
        <f>IFERROR(VLOOKUP(H14,'G-1 All Habitats'!$V$3:$W$7,2,FALSE),"")</f>
        <v>4</v>
      </c>
      <c r="J14" s="54" t="s">
        <v>67</v>
      </c>
      <c r="K14" s="363">
        <f>IFERROR(INDEX('G-8 Condition Look up'!$A$3:$H$135,MATCH(F14,'G-8 Condition Look up'!$A$3:$A$135,0),MATCH(J14,'G-8 Condition Look up'!$A$3:$H$3,0)),"")</f>
        <v>2</v>
      </c>
      <c r="L14" s="54" t="s">
        <v>1029</v>
      </c>
      <c r="M14" s="370" t="str">
        <f>IF(L14="","",IF(VLOOKUP(L14,'G-3 Multipliers'!$L$3:$N$6,2,FALSE)=0,"Spatial Data Missing",VLOOKUP(L14,'G-3 Multipliers'!$L$3:$N$6,2,FALSE)))</f>
        <v xml:space="preserve">High strategic significance </v>
      </c>
      <c r="N14" s="368">
        <f>IF(L14="","",IF(VLOOKUP(L14,'G-3 Multipliers'!$L$3:$N$6,3,FALSE)=0,"Spatial Data Missing",VLOOKUP(L14,'G-3 Multipliers'!$L$3:$N$6,3,FALSE)))</f>
        <v>1.1499999999999999</v>
      </c>
      <c r="O14" s="362">
        <f t="shared" si="1"/>
        <v>5</v>
      </c>
      <c r="P14" s="63">
        <v>0</v>
      </c>
      <c r="Q14" s="63">
        <v>3</v>
      </c>
      <c r="R14" s="370" t="str">
        <f t="shared" si="2"/>
        <v>Check details- Delay in starting habitat in required condition? ⚠</v>
      </c>
      <c r="S14" s="383">
        <f t="shared" si="3"/>
        <v>8</v>
      </c>
      <c r="T14" s="384">
        <f>IFERROR(IF(S14="Check Data ⚠","Check Data ⚠",VLOOKUP(S14,'G-4 Temporal multipliers'!$A$4:$C$37,3,FALSE)),"")</f>
        <v>0.75200115350000007</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0.28001362218486925</v>
      </c>
      <c r="Z14" s="194" t="s">
        <v>1728</v>
      </c>
      <c r="AA14" s="195"/>
      <c r="AB14" s="120"/>
      <c r="AE14" s="40">
        <f t="shared" si="0"/>
        <v>2</v>
      </c>
    </row>
    <row r="15" spans="1:34" ht="30">
      <c r="A15" s="35" t="str">
        <f>IFERROR(INDEX('G-8 Condition Look up'!$I$4:$I$135,MATCH(F15,'G-8 Condition Look up'!$A$4:$A$135,0)),"")</f>
        <v>Cond4</v>
      </c>
      <c r="C15" s="299" t="str">
        <f>IFERROR(INDEX('G-1 All Habitats'!$AG$3:$AG$17,MATCH(D15,'G-1 All Habitats'!$AF$3:$AF$17,0)),"")</f>
        <v>Heathland_and_shrub</v>
      </c>
      <c r="D15" s="54" t="s">
        <v>126</v>
      </c>
      <c r="E15" s="61" t="s">
        <v>573</v>
      </c>
      <c r="F15" s="296" t="str">
        <f>IFERROR(INDEX('G-1 All Habitats'!$B$3:$B$134,MATCH(E15,'G-1 All Habitats'!$A$3:$A$134,0)),"")</f>
        <v>Heathland and shrub - Gorse scrub</v>
      </c>
      <c r="G15" s="53">
        <v>0.62943768652999998</v>
      </c>
      <c r="H15" s="362" t="str">
        <f>IF(F15="","",VLOOKUP(F15,'G-1 All Habitats'!$B$2:$M$134,10,FALSE))</f>
        <v>Medium</v>
      </c>
      <c r="I15" s="363">
        <f>IFERROR(VLOOKUP(H15,'G-1 All Habitats'!$V$3:$W$7,2,FALSE),"")</f>
        <v>4</v>
      </c>
      <c r="J15" s="54" t="s">
        <v>67</v>
      </c>
      <c r="K15" s="363">
        <f>IFERROR(INDEX('G-8 Condition Look up'!$A$3:$H$135,MATCH(F15,'G-8 Condition Look up'!$A$3:$A$135,0),MATCH(J15,'G-8 Condition Look up'!$A$3:$H$3,0)),"")</f>
        <v>2</v>
      </c>
      <c r="L15" s="54" t="s">
        <v>1029</v>
      </c>
      <c r="M15" s="370" t="str">
        <f>IF(L15="","",IF(VLOOKUP(L15,'G-3 Multipliers'!$L$3:$N$6,2,FALSE)=0,"Spatial Data Missing",VLOOKUP(L15,'G-3 Multipliers'!$L$3:$N$6,2,FALSE)))</f>
        <v xml:space="preserve">High strategic significance </v>
      </c>
      <c r="N15" s="368">
        <f>IF(L15="","",IF(VLOOKUP(L15,'G-3 Multipliers'!$L$3:$N$6,3,FALSE)=0,"Spatial Data Missing",VLOOKUP(L15,'G-3 Multipliers'!$L$3:$N$6,3,FALSE)))</f>
        <v>1.1499999999999999</v>
      </c>
      <c r="O15" s="362">
        <f t="shared" si="1"/>
        <v>5</v>
      </c>
      <c r="P15" s="63">
        <v>0</v>
      </c>
      <c r="Q15" s="63">
        <v>3</v>
      </c>
      <c r="R15" s="370" t="str">
        <f t="shared" si="2"/>
        <v>Check details- Delay in starting habitat in required condition? ⚠</v>
      </c>
      <c r="S15" s="383">
        <f t="shared" si="3"/>
        <v>8</v>
      </c>
      <c r="T15" s="384">
        <f>IFERROR(IF(S15="Check Data ⚠","Check Data ⚠",VLOOKUP(S15,'G-4 Temporal multipliers'!$A$4:$C$37,3,FALSE)),"")</f>
        <v>0.75200115350000007</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4.3547083702077689</v>
      </c>
      <c r="Z15" s="194" t="s">
        <v>1729</v>
      </c>
      <c r="AA15" s="195"/>
      <c r="AB15" s="120"/>
      <c r="AE15" s="40">
        <f t="shared" si="0"/>
        <v>1</v>
      </c>
    </row>
    <row r="16" spans="1:34" ht="30">
      <c r="A16" s="35" t="str">
        <f>IFERROR(INDEX('G-8 Condition Look up'!$I$4:$I$135,MATCH(F16,'G-8 Condition Look up'!$A$4:$A$135,0)),"")</f>
        <v>Cond4</v>
      </c>
      <c r="C16" s="299" t="str">
        <f>IFERROR(INDEX('G-1 All Habitats'!$AG$3:$AG$17,MATCH(D16,'G-1 All Habitats'!$AF$3:$AF$17,0)),"")</f>
        <v>Heathland_and_shrub</v>
      </c>
      <c r="D16" s="54" t="s">
        <v>126</v>
      </c>
      <c r="E16" s="61" t="s">
        <v>589</v>
      </c>
      <c r="F16" s="296" t="str">
        <f>IFERROR(INDEX('G-1 All Habitats'!$B$3:$B$134,MATCH(E16,'G-1 All Habitats'!$A$3:$A$134,0)),"")</f>
        <v>Heathland and shrub - Mixed scrub</v>
      </c>
      <c r="G16" s="53">
        <v>0.53895536834000002</v>
      </c>
      <c r="H16" s="362" t="str">
        <f>IF(F16="","",VLOOKUP(F16,'G-1 All Habitats'!$B$2:$M$134,10,FALSE))</f>
        <v>Medium</v>
      </c>
      <c r="I16" s="363">
        <f>IFERROR(VLOOKUP(H16,'G-1 All Habitats'!$V$3:$W$7,2,FALSE),"")</f>
        <v>4</v>
      </c>
      <c r="J16" s="54" t="s">
        <v>67</v>
      </c>
      <c r="K16" s="363">
        <f>IFERROR(INDEX('G-8 Condition Look up'!$A$3:$H$135,MATCH(F16,'G-8 Condition Look up'!$A$3:$A$135,0),MATCH(J16,'G-8 Condition Look up'!$A$3:$H$3,0)),"")</f>
        <v>2</v>
      </c>
      <c r="L16" s="54" t="s">
        <v>1029</v>
      </c>
      <c r="M16" s="370" t="str">
        <f>IF(L16="","",IF(VLOOKUP(L16,'G-3 Multipliers'!$L$3:$N$6,2,FALSE)=0,"Spatial Data Missing",VLOOKUP(L16,'G-3 Multipliers'!$L$3:$N$6,2,FALSE)))</f>
        <v xml:space="preserve">High strategic significance </v>
      </c>
      <c r="N16" s="368">
        <f>IF(L16="","",IF(VLOOKUP(L16,'G-3 Multipliers'!$L$3:$N$6,3,FALSE)=0,"Spatial Data Missing",VLOOKUP(L16,'G-3 Multipliers'!$L$3:$N$6,3,FALSE)))</f>
        <v>1.1499999999999999</v>
      </c>
      <c r="O16" s="362">
        <f t="shared" si="1"/>
        <v>5</v>
      </c>
      <c r="P16" s="63">
        <v>0</v>
      </c>
      <c r="Q16" s="63">
        <v>3</v>
      </c>
      <c r="R16" s="370" t="str">
        <f t="shared" si="2"/>
        <v>Check details- Delay in starting habitat in required condition? ⚠</v>
      </c>
      <c r="S16" s="383">
        <f t="shared" si="3"/>
        <v>8</v>
      </c>
      <c r="T16" s="384">
        <f>IFERROR(IF(S16="Check Data ⚠","Check Data ⚠",VLOOKUP(S16,'G-4 Temporal multipliers'!$A$4:$C$37,3,FALSE)),"")</f>
        <v>0.75200115350000007</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3.7287145398256158</v>
      </c>
      <c r="Z16" s="194" t="s">
        <v>1730</v>
      </c>
      <c r="AA16" s="195"/>
      <c r="AB16" s="120"/>
      <c r="AE16" s="40">
        <f t="shared" si="0"/>
        <v>1</v>
      </c>
    </row>
    <row r="17" spans="1:31" ht="30">
      <c r="A17" s="35" t="str">
        <f>IFERROR(INDEX('G-8 Condition Look up'!$I$4:$I$135,MATCH(F17,'G-8 Condition Look up'!$A$4:$A$135,0)),"")</f>
        <v>Cond4</v>
      </c>
      <c r="C17" s="299" t="str">
        <f>IFERROR(INDEX('G-1 All Habitats'!$AG$3:$AG$17,MATCH(D17,'G-1 All Habitats'!$AF$3:$AF$17,0)),"")</f>
        <v>Urban</v>
      </c>
      <c r="D17" s="54" t="s">
        <v>129</v>
      </c>
      <c r="E17" s="61" t="s">
        <v>728</v>
      </c>
      <c r="F17" s="296" t="str">
        <f>IFERROR(INDEX('G-1 All Habitats'!$B$3:$B$134,MATCH(E17,'G-1 All Habitats'!$A$3:$A$134,0)),"")</f>
        <v>Urban - Sustainable drainage system</v>
      </c>
      <c r="G17" s="53">
        <v>1.9591430670700001</v>
      </c>
      <c r="H17" s="362" t="str">
        <f>IF(F17="","",VLOOKUP(F17,'G-1 All Habitats'!$B$2:$M$134,10,FALSE))</f>
        <v>Low</v>
      </c>
      <c r="I17" s="363">
        <f>IFERROR(VLOOKUP(H17,'G-1 All Habitats'!$V$3:$W$7,2,FALSE),"")</f>
        <v>2</v>
      </c>
      <c r="J17" s="54" t="s">
        <v>68</v>
      </c>
      <c r="K17" s="363">
        <f>IFERROR(INDEX('G-8 Condition Look up'!$A$3:$H$135,MATCH(F17,'G-8 Condition Look up'!$A$3:$A$135,0),MATCH(J17,'G-8 Condition Look up'!$A$3:$H$3,0)),"")</f>
        <v>3</v>
      </c>
      <c r="L17" s="54" t="s">
        <v>1033</v>
      </c>
      <c r="M17" s="370" t="str">
        <f>IF(L17="","",IF(VLOOKUP(L17,'G-3 Multipliers'!$L$3:$N$6,2,FALSE)=0,"Spatial Data Missing",VLOOKUP(L17,'G-3 Multipliers'!$L$3:$N$6,2,FALSE)))</f>
        <v xml:space="preserve">Medium strategic significance </v>
      </c>
      <c r="N17" s="368">
        <f>IF(L17="","",IF(VLOOKUP(L17,'G-3 Multipliers'!$L$3:$N$6,3,FALSE)=0,"Spatial Data Missing",VLOOKUP(L17,'G-3 Multipliers'!$L$3:$N$6,3,FALSE)))</f>
        <v>1.1000000000000001</v>
      </c>
      <c r="O17" s="362">
        <f t="shared" si="1"/>
        <v>5</v>
      </c>
      <c r="P17" s="63">
        <v>0</v>
      </c>
      <c r="Q17" s="63">
        <v>3</v>
      </c>
      <c r="R17" s="370" t="str">
        <f t="shared" si="2"/>
        <v>Check details- Delay in starting habitat in required condition? ⚠</v>
      </c>
      <c r="S17" s="383">
        <f t="shared" si="3"/>
        <v>8</v>
      </c>
      <c r="T17" s="384">
        <f>IFERROR(IF(S17="Check Data ⚠","Check Data ⚠",VLOOKUP(S17,'G-4 Temporal multipliers'!$A$4:$C$37,3,FALSE)),"")</f>
        <v>0.75200115350000007</v>
      </c>
      <c r="U17" s="385" t="str">
        <f>IF(F17="","",VLOOKUP(F17,'G-3 Multipliers'!$A$2:$E$134,2,FALSE))</f>
        <v>Medium</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6.5148346363747196</v>
      </c>
      <c r="Z17" s="194" t="s">
        <v>1772</v>
      </c>
      <c r="AA17" s="195"/>
      <c r="AB17" s="120"/>
      <c r="AE17" s="40">
        <f t="shared" si="0"/>
        <v>1</v>
      </c>
    </row>
    <row r="18" spans="1:31" ht="30">
      <c r="A18" s="35" t="str">
        <f>IFERROR(INDEX('G-8 Condition Look up'!$I$4:$I$135,MATCH(F18,'G-8 Condition Look up'!$A$4:$A$135,0)),"")</f>
        <v>Cond2</v>
      </c>
      <c r="C18" s="299" t="str">
        <f>IFERROR(INDEX('G-1 All Habitats'!$AG$3:$AG$17,MATCH(D18,'G-1 All Habitats'!$AF$3:$AF$17,0)),"")</f>
        <v>Urban</v>
      </c>
      <c r="D18" s="54" t="s">
        <v>129</v>
      </c>
      <c r="E18" s="61" t="s">
        <v>699</v>
      </c>
      <c r="F18" s="296" t="str">
        <f>IFERROR(INDEX('G-1 All Habitats'!$B$3:$B$134,MATCH(E18,'G-1 All Habitats'!$A$3:$A$134,0)),"")</f>
        <v>Urban - Developed land; sealed surface</v>
      </c>
      <c r="G18" s="53">
        <v>0.1953051613</v>
      </c>
      <c r="H18" s="362" t="str">
        <f>IF(F18="","",VLOOKUP(F18,'G-1 All Habitats'!$B$2:$M$134,10,FALSE))</f>
        <v>V.Low</v>
      </c>
      <c r="I18" s="363">
        <f>IFERROR(VLOOKUP(H18,'G-1 All Habitats'!$V$3:$W$7,2,FALSE),"")</f>
        <v>0</v>
      </c>
      <c r="J18" s="54" t="s">
        <v>497</v>
      </c>
      <c r="K18" s="363">
        <f>IFERROR(INDEX('G-8 Condition Look up'!$A$3:$H$135,MATCH(F18,'G-8 Condition Look up'!$A$3:$A$135,0),MATCH(J18,'G-8 Condition Look up'!$A$3:$H$3,0)),"")</f>
        <v>0</v>
      </c>
      <c r="L18" s="54" t="s">
        <v>1037</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3</v>
      </c>
      <c r="R18" s="370" t="str">
        <f t="shared" si="2"/>
        <v>Standard time to target condition applied</v>
      </c>
      <c r="S18" s="383">
        <f t="shared" si="3"/>
        <v>3</v>
      </c>
      <c r="T18" s="384">
        <f>IFERROR(IF(S18="Check Data ⚠","Check Data ⚠",VLOOKUP(S18,'G-4 Temporal multipliers'!$A$4:$C$37,3,FALSE)),"")</f>
        <v>0.898632125</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1740</v>
      </c>
      <c r="AA18" s="195"/>
      <c r="AB18" s="120"/>
      <c r="AE18" s="40" t="str">
        <f t="shared" si="0"/>
        <v>Not Possible</v>
      </c>
    </row>
    <row r="19" spans="1:31" ht="30">
      <c r="A19" s="35" t="str">
        <f>IFERROR(INDEX('G-8 Condition Look up'!$I$4:$I$135,MATCH(F19,'G-8 Condition Look up'!$A$4:$A$135,0)),"")</f>
        <v>Cond2</v>
      </c>
      <c r="C19" s="299" t="str">
        <f>IFERROR(INDEX('G-1 All Habitats'!$AG$3:$AG$17,MATCH(D19,'G-1 All Habitats'!$AF$3:$AF$17,0)),"")</f>
        <v>Urban</v>
      </c>
      <c r="D19" s="54" t="s">
        <v>129</v>
      </c>
      <c r="E19" s="61" t="s">
        <v>699</v>
      </c>
      <c r="F19" s="296" t="str">
        <f>IFERROR(INDEX('G-1 All Habitats'!$B$3:$B$134,MATCH(E19,'G-1 All Habitats'!$A$3:$A$134,0)),"")</f>
        <v>Urban - Developed land; sealed surface</v>
      </c>
      <c r="G19" s="53">
        <v>6.01784064E-3</v>
      </c>
      <c r="H19" s="362" t="str">
        <f>IF(F19="","",VLOOKUP(F19,'G-1 All Habitats'!$B$2:$M$134,10,FALSE))</f>
        <v>V.Low</v>
      </c>
      <c r="I19" s="363">
        <f>IFERROR(VLOOKUP(H19,'G-1 All Habitats'!$V$3:$W$7,2,FALSE),"")</f>
        <v>0</v>
      </c>
      <c r="J19" s="54" t="s">
        <v>497</v>
      </c>
      <c r="K19" s="363">
        <f>IFERROR(INDEX('G-8 Condition Look up'!$A$3:$H$135,MATCH(F19,'G-8 Condition Look up'!$A$3:$A$135,0),MATCH(J19,'G-8 Condition Look up'!$A$3:$H$3,0)),"")</f>
        <v>0</v>
      </c>
      <c r="L19" s="54" t="s">
        <v>1037</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0</v>
      </c>
      <c r="P19" s="63">
        <v>0</v>
      </c>
      <c r="Q19" s="63">
        <v>3</v>
      </c>
      <c r="R19" s="370" t="str">
        <f t="shared" si="2"/>
        <v>Standard time to target condition applied</v>
      </c>
      <c r="S19" s="383">
        <f t="shared" si="3"/>
        <v>3</v>
      </c>
      <c r="T19" s="384">
        <f>IFERROR(IF(S19="Check Data ⚠","Check Data ⚠",VLOOKUP(S19,'G-4 Temporal multipliers'!$A$4:$C$37,3,FALSE)),"")</f>
        <v>0.898632125</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Medium</v>
      </c>
      <c r="X19" s="386">
        <f>IFERROR(IF(E19="","",VLOOKUP(W19, 'G-3 Multipliers'!$P$2:$Q$6,2,FALSE)),"")</f>
        <v>0.67</v>
      </c>
      <c r="Y19" s="390">
        <f t="shared" si="4"/>
        <v>0</v>
      </c>
      <c r="Z19" s="194" t="s">
        <v>1741</v>
      </c>
      <c r="AA19" s="195"/>
      <c r="AB19" s="120"/>
      <c r="AE19" s="40" t="str">
        <f t="shared" si="0"/>
        <v>Not Possible</v>
      </c>
    </row>
    <row r="20" spans="1:31" ht="30">
      <c r="A20" s="35" t="str">
        <f>IFERROR(INDEX('G-8 Condition Look up'!$I$4:$I$135,MATCH(F20,'G-8 Condition Look up'!$A$4:$A$135,0)),"")</f>
        <v>Cond2</v>
      </c>
      <c r="C20" s="299" t="str">
        <f>IFERROR(INDEX('G-1 All Habitats'!$AG$3:$AG$17,MATCH(D20,'G-1 All Habitats'!$AF$3:$AF$17,0)),"")</f>
        <v>Urban</v>
      </c>
      <c r="D20" s="54" t="s">
        <v>129</v>
      </c>
      <c r="E20" s="61" t="s">
        <v>699</v>
      </c>
      <c r="F20" s="296" t="str">
        <f>IFERROR(INDEX('G-1 All Habitats'!$B$3:$B$134,MATCH(E20,'G-1 All Habitats'!$A$3:$A$134,0)),"")</f>
        <v>Urban - Developed land; sealed surface</v>
      </c>
      <c r="G20" s="53">
        <v>0.78520390696999998</v>
      </c>
      <c r="H20" s="362" t="str">
        <f>IF(F20="","",VLOOKUP(F20,'G-1 All Habitats'!$B$2:$M$134,10,FALSE))</f>
        <v>V.Low</v>
      </c>
      <c r="I20" s="363">
        <f>IFERROR(VLOOKUP(H20,'G-1 All Habitats'!$V$3:$W$7,2,FALSE),"")</f>
        <v>0</v>
      </c>
      <c r="J20" s="54" t="s">
        <v>497</v>
      </c>
      <c r="K20" s="363">
        <f>IFERROR(INDEX('G-8 Condition Look up'!$A$3:$H$135,MATCH(F20,'G-8 Condition Look up'!$A$3:$A$135,0),MATCH(J20,'G-8 Condition Look up'!$A$3:$H$3,0)),"")</f>
        <v>0</v>
      </c>
      <c r="L20" s="54" t="s">
        <v>1037</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0</v>
      </c>
      <c r="P20" s="63">
        <v>0</v>
      </c>
      <c r="Q20" s="63">
        <v>3</v>
      </c>
      <c r="R20" s="370" t="str">
        <f t="shared" si="2"/>
        <v>Standard time to target condition applied</v>
      </c>
      <c r="S20" s="383">
        <f t="shared" si="3"/>
        <v>3</v>
      </c>
      <c r="T20" s="384">
        <f>IFERROR(IF(S20="Check Data ⚠","Check Data ⚠",VLOOKUP(S20,'G-4 Temporal multipliers'!$A$4:$C$37,3,FALSE)),"")</f>
        <v>0.898632125</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Medium</v>
      </c>
      <c r="X20" s="386">
        <f>IFERROR(IF(E20="","",VLOOKUP(W20, 'G-3 Multipliers'!$P$2:$Q$6,2,FALSE)),"")</f>
        <v>0.67</v>
      </c>
      <c r="Y20" s="390">
        <f t="shared" si="4"/>
        <v>0</v>
      </c>
      <c r="Z20" s="194" t="s">
        <v>1742</v>
      </c>
      <c r="AA20" s="195"/>
      <c r="AB20" s="120"/>
      <c r="AE20" s="40" t="str">
        <f t="shared" si="0"/>
        <v>Not Possible</v>
      </c>
    </row>
    <row r="21" spans="1:31" ht="30">
      <c r="A21" s="35" t="str">
        <f>IFERROR(INDEX('G-8 Condition Look up'!$I$4:$I$135,MATCH(F21,'G-8 Condition Look up'!$A$4:$A$135,0)),"")</f>
        <v>Cond2</v>
      </c>
      <c r="C21" s="299" t="str">
        <f>IFERROR(INDEX('G-1 All Habitats'!$AG$3:$AG$17,MATCH(D21,'G-1 All Habitats'!$AF$3:$AF$17,0)),"")</f>
        <v>Urban</v>
      </c>
      <c r="D21" s="54" t="s">
        <v>129</v>
      </c>
      <c r="E21" s="61" t="s">
        <v>699</v>
      </c>
      <c r="F21" s="296" t="str">
        <f>IFERROR(INDEX('G-1 All Habitats'!$B$3:$B$134,MATCH(E21,'G-1 All Habitats'!$A$3:$A$134,0)),"")</f>
        <v>Urban - Developed land; sealed surface</v>
      </c>
      <c r="G21" s="53">
        <v>14.485098465</v>
      </c>
      <c r="H21" s="362" t="str">
        <f>IF(F21="","",VLOOKUP(F21,'G-1 All Habitats'!$B$2:$M$134,10,FALSE))</f>
        <v>V.Low</v>
      </c>
      <c r="I21" s="363">
        <f>IFERROR(VLOOKUP(H21,'G-1 All Habitats'!$V$3:$W$7,2,FALSE),"")</f>
        <v>0</v>
      </c>
      <c r="J21" s="54" t="s">
        <v>497</v>
      </c>
      <c r="K21" s="363">
        <f>IFERROR(INDEX('G-8 Condition Look up'!$A$3:$H$135,MATCH(F21,'G-8 Condition Look up'!$A$3:$A$135,0),MATCH(J21,'G-8 Condition Look up'!$A$3:$H$3,0)),"")</f>
        <v>0</v>
      </c>
      <c r="L21" s="54" t="s">
        <v>1037</v>
      </c>
      <c r="M21" s="370" t="str">
        <f>IF(L21="","",IF(VLOOKUP(L21,'G-3 Multipliers'!$L$3:$N$6,2,FALSE)=0,"Spatial Data Missing",VLOOKUP(L21,'G-3 Multipliers'!$L$3:$N$6,2,FALSE)))</f>
        <v>Low Strategic Significance</v>
      </c>
      <c r="N21" s="368">
        <f>IF(L21="","",IF(VLOOKUP(L21,'G-3 Multipliers'!$L$3:$N$6,3,FALSE)=0,"Spatial Data Missing",VLOOKUP(L21,'G-3 Multipliers'!$L$3:$N$6,3,FALSE)))</f>
        <v>1</v>
      </c>
      <c r="O21" s="362">
        <f t="shared" si="1"/>
        <v>0</v>
      </c>
      <c r="P21" s="63">
        <v>0</v>
      </c>
      <c r="Q21" s="63">
        <v>3</v>
      </c>
      <c r="R21" s="370" t="str">
        <f t="shared" si="2"/>
        <v>Standard time to target condition applied</v>
      </c>
      <c r="S21" s="383">
        <f t="shared" si="3"/>
        <v>3</v>
      </c>
      <c r="T21" s="384">
        <f>IFERROR(IF(S21="Check Data ⚠","Check Data ⚠",VLOOKUP(S21,'G-4 Temporal multipliers'!$A$4:$C$37,3,FALSE)),"")</f>
        <v>0.898632125</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Medium</v>
      </c>
      <c r="X21" s="386">
        <f>IFERROR(IF(E21="","",VLOOKUP(W21, 'G-3 Multipliers'!$P$2:$Q$6,2,FALSE)),"")</f>
        <v>0.67</v>
      </c>
      <c r="Y21" s="390">
        <f t="shared" si="4"/>
        <v>0</v>
      </c>
      <c r="Z21" s="194" t="s">
        <v>1743</v>
      </c>
      <c r="AA21" s="195"/>
      <c r="AB21" s="120"/>
      <c r="AE21" s="40" t="str">
        <f t="shared" si="0"/>
        <v>Not Possible</v>
      </c>
    </row>
    <row r="22" spans="1:31" ht="30">
      <c r="A22" s="35" t="str">
        <f>IFERROR(INDEX('G-8 Condition Look up'!$I$4:$I$135,MATCH(F22,'G-8 Condition Look up'!$A$4:$A$135,0)),"")</f>
        <v>Cond2</v>
      </c>
      <c r="C22" s="299" t="str">
        <f>IFERROR(INDEX('G-1 All Habitats'!$AG$3:$AG$17,MATCH(D22,'G-1 All Habitats'!$AF$3:$AF$17,0)),"")</f>
        <v>Urban</v>
      </c>
      <c r="D22" s="54" t="s">
        <v>129</v>
      </c>
      <c r="E22" s="61" t="s">
        <v>699</v>
      </c>
      <c r="F22" s="296" t="str">
        <f>IFERROR(INDEX('G-1 All Habitats'!$B$3:$B$134,MATCH(E22,'G-1 All Habitats'!$A$3:$A$134,0)),"")</f>
        <v>Urban - Developed land; sealed surface</v>
      </c>
      <c r="G22" s="53">
        <v>1.6562317894900001</v>
      </c>
      <c r="H22" s="362" t="str">
        <f>IF(F22="","",VLOOKUP(F22,'G-1 All Habitats'!$B$2:$M$134,10,FALSE))</f>
        <v>V.Low</v>
      </c>
      <c r="I22" s="363">
        <f>IFERROR(VLOOKUP(H22,'G-1 All Habitats'!$V$3:$W$7,2,FALSE),"")</f>
        <v>0</v>
      </c>
      <c r="J22" s="54" t="s">
        <v>497</v>
      </c>
      <c r="K22" s="363">
        <f>IFERROR(INDEX('G-8 Condition Look up'!$A$3:$H$135,MATCH(F22,'G-8 Condition Look up'!$A$3:$A$135,0),MATCH(J22,'G-8 Condition Look up'!$A$3:$H$3,0)),"")</f>
        <v>0</v>
      </c>
      <c r="L22" s="54" t="s">
        <v>1037</v>
      </c>
      <c r="M22" s="370" t="str">
        <f>IF(L22="","",IF(VLOOKUP(L22,'G-3 Multipliers'!$L$3:$N$6,2,FALSE)=0,"Spatial Data Missing",VLOOKUP(L22,'G-3 Multipliers'!$L$3:$N$6,2,FALSE)))</f>
        <v>Low Strategic Significance</v>
      </c>
      <c r="N22" s="368">
        <f>IF(L22="","",IF(VLOOKUP(L22,'G-3 Multipliers'!$L$3:$N$6,3,FALSE)=0,"Spatial Data Missing",VLOOKUP(L22,'G-3 Multipliers'!$L$3:$N$6,3,FALSE)))</f>
        <v>1</v>
      </c>
      <c r="O22" s="362">
        <f t="shared" si="1"/>
        <v>0</v>
      </c>
      <c r="P22" s="63">
        <v>0</v>
      </c>
      <c r="Q22" s="63">
        <v>3</v>
      </c>
      <c r="R22" s="370" t="str">
        <f t="shared" si="2"/>
        <v>Standard time to target condition applied</v>
      </c>
      <c r="S22" s="383">
        <f t="shared" si="3"/>
        <v>3</v>
      </c>
      <c r="T22" s="384">
        <f>IFERROR(IF(S22="Check Data ⚠","Check Data ⚠",VLOOKUP(S22,'G-4 Temporal multipliers'!$A$4:$C$37,3,FALSE)),"")</f>
        <v>0.898632125</v>
      </c>
      <c r="U22" s="385" t="str">
        <f>IF(F22="","",VLOOKUP(F22,'G-3 Multipliers'!$A$2:$E$134,2,FALSE))</f>
        <v>Low</v>
      </c>
      <c r="V22" s="382" t="str">
        <f t="shared" si="5"/>
        <v>Standard difficulty applied</v>
      </c>
      <c r="W22" s="382" t="str">
        <f>IF(E22="","",IF(AND(V22="Standard difficulty applied",O22&gt;P22),U22,IF(AND(V22="Low Difficulty - only applicable if all habitat created before losses",P22&gt;=O22),"Low",VLOOKUP(F22,'G-3 Multipliers'!$A$2:$E$134,4,FALSE))))</f>
        <v>Medium</v>
      </c>
      <c r="X22" s="386">
        <f>IFERROR(IF(E22="","",VLOOKUP(W22, 'G-3 Multipliers'!$P$2:$Q$6,2,FALSE)),"")</f>
        <v>0.67</v>
      </c>
      <c r="Y22" s="390">
        <f t="shared" si="4"/>
        <v>0</v>
      </c>
      <c r="Z22" s="194" t="s">
        <v>1732</v>
      </c>
      <c r="AA22" s="195"/>
      <c r="AB22" s="120"/>
      <c r="AE22" s="40" t="str">
        <f t="shared" si="0"/>
        <v>Not Possible</v>
      </c>
    </row>
    <row r="23" spans="1:31" ht="30">
      <c r="A23" s="35" t="str">
        <f>IFERROR(INDEX('G-8 Condition Look up'!$I$4:$I$135,MATCH(F23,'G-8 Condition Look up'!$A$4:$A$135,0)),"")</f>
        <v>Cond2</v>
      </c>
      <c r="C23" s="299" t="str">
        <f>IFERROR(INDEX('G-1 All Habitats'!$AG$3:$AG$17,MATCH(D23,'G-1 All Habitats'!$AF$3:$AF$17,0)),"")</f>
        <v>Urban</v>
      </c>
      <c r="D23" s="54" t="s">
        <v>129</v>
      </c>
      <c r="E23" s="61" t="s">
        <v>699</v>
      </c>
      <c r="F23" s="296" t="str">
        <f>IFERROR(INDEX('G-1 All Habitats'!$B$3:$B$134,MATCH(E23,'G-1 All Habitats'!$A$3:$A$134,0)),"")</f>
        <v>Urban - Developed land; sealed surface</v>
      </c>
      <c r="G23" s="53">
        <v>1.2921931313499999</v>
      </c>
      <c r="H23" s="362" t="str">
        <f>IF(F23="","",VLOOKUP(F23,'G-1 All Habitats'!$B$2:$M$134,10,FALSE))</f>
        <v>V.Low</v>
      </c>
      <c r="I23" s="363">
        <f>IFERROR(VLOOKUP(H23,'G-1 All Habitats'!$V$3:$W$7,2,FALSE),"")</f>
        <v>0</v>
      </c>
      <c r="J23" s="54" t="s">
        <v>497</v>
      </c>
      <c r="K23" s="363">
        <f>IFERROR(INDEX('G-8 Condition Look up'!$A$3:$H$135,MATCH(F23,'G-8 Condition Look up'!$A$3:$A$135,0),MATCH(J23,'G-8 Condition Look up'!$A$3:$H$3,0)),"")</f>
        <v>0</v>
      </c>
      <c r="L23" s="54" t="s">
        <v>1037</v>
      </c>
      <c r="M23" s="370" t="str">
        <f>IF(L23="","",IF(VLOOKUP(L23,'G-3 Multipliers'!$L$3:$N$6,2,FALSE)=0,"Spatial Data Missing",VLOOKUP(L23,'G-3 Multipliers'!$L$3:$N$6,2,FALSE)))</f>
        <v>Low Strategic Significance</v>
      </c>
      <c r="N23" s="368">
        <f>IF(L23="","",IF(VLOOKUP(L23,'G-3 Multipliers'!$L$3:$N$6,3,FALSE)=0,"Spatial Data Missing",VLOOKUP(L23,'G-3 Multipliers'!$L$3:$N$6,3,FALSE)))</f>
        <v>1</v>
      </c>
      <c r="O23" s="362">
        <f t="shared" si="1"/>
        <v>0</v>
      </c>
      <c r="P23" s="63">
        <v>0</v>
      </c>
      <c r="Q23" s="63">
        <v>3</v>
      </c>
      <c r="R23" s="370" t="str">
        <f t="shared" si="2"/>
        <v>Standard time to target condition applied</v>
      </c>
      <c r="S23" s="383">
        <f t="shared" si="3"/>
        <v>3</v>
      </c>
      <c r="T23" s="384">
        <f>IFERROR(IF(S23="Check Data ⚠","Check Data ⚠",VLOOKUP(S23,'G-4 Temporal multipliers'!$A$4:$C$37,3,FALSE)),"")</f>
        <v>0.898632125</v>
      </c>
      <c r="U23" s="385" t="str">
        <f>IF(F23="","",VLOOKUP(F23,'G-3 Multipliers'!$A$2:$E$134,2,FALSE))</f>
        <v>Low</v>
      </c>
      <c r="V23" s="382" t="str">
        <f t="shared" si="5"/>
        <v>Standard difficulty applied</v>
      </c>
      <c r="W23" s="382" t="str">
        <f>IF(E23="","",IF(AND(V23="Standard difficulty applied",O23&gt;P23),U23,IF(AND(V23="Low Difficulty - only applicable if all habitat created before losses",P23&gt;=O23),"Low",VLOOKUP(F23,'G-3 Multipliers'!$A$2:$E$134,4,FALSE))))</f>
        <v>Medium</v>
      </c>
      <c r="X23" s="386">
        <f>IFERROR(IF(E23="","",VLOOKUP(W23, 'G-3 Multipliers'!$P$2:$Q$6,2,FALSE)),"")</f>
        <v>0.67</v>
      </c>
      <c r="Y23" s="390">
        <f t="shared" si="4"/>
        <v>0</v>
      </c>
      <c r="Z23" s="194" t="s">
        <v>1733</v>
      </c>
      <c r="AA23" s="195"/>
      <c r="AB23" s="120"/>
      <c r="AE23" s="40" t="str">
        <f t="shared" si="0"/>
        <v>Not Possible</v>
      </c>
    </row>
    <row r="24" spans="1:31" ht="30">
      <c r="A24" s="35" t="str">
        <f>IFERROR(INDEX('G-8 Condition Look up'!$I$4:$I$135,MATCH(F24,'G-8 Condition Look up'!$A$4:$A$135,0)),"")</f>
        <v>Cond2</v>
      </c>
      <c r="C24" s="299" t="str">
        <f>IFERROR(INDEX('G-1 All Habitats'!$AG$3:$AG$17,MATCH(D24,'G-1 All Habitats'!$AF$3:$AF$17,0)),"")</f>
        <v>Urban</v>
      </c>
      <c r="D24" s="54" t="s">
        <v>129</v>
      </c>
      <c r="E24" s="61" t="s">
        <v>699</v>
      </c>
      <c r="F24" s="296" t="str">
        <f>IFERROR(INDEX('G-1 All Habitats'!$B$3:$B$134,MATCH(E24,'G-1 All Habitats'!$A$3:$A$134,0)),"")</f>
        <v>Urban - Developed land; sealed surface</v>
      </c>
      <c r="G24" s="53">
        <v>0.96344259704000001</v>
      </c>
      <c r="H24" s="362" t="str">
        <f>IF(F24="","",VLOOKUP(F24,'G-1 All Habitats'!$B$2:$M$134,10,FALSE))</f>
        <v>V.Low</v>
      </c>
      <c r="I24" s="363">
        <f>IFERROR(VLOOKUP(H24,'G-1 All Habitats'!$V$3:$W$7,2,FALSE),"")</f>
        <v>0</v>
      </c>
      <c r="J24" s="54" t="s">
        <v>497</v>
      </c>
      <c r="K24" s="363">
        <f>IFERROR(INDEX('G-8 Condition Look up'!$A$3:$H$135,MATCH(F24,'G-8 Condition Look up'!$A$3:$A$135,0),MATCH(J24,'G-8 Condition Look up'!$A$3:$H$3,0)),"")</f>
        <v>0</v>
      </c>
      <c r="L24" s="54" t="s">
        <v>1037</v>
      </c>
      <c r="M24" s="370" t="str">
        <f>IF(L24="","",IF(VLOOKUP(L24,'G-3 Multipliers'!$L$3:$N$6,2,FALSE)=0,"Spatial Data Missing",VLOOKUP(L24,'G-3 Multipliers'!$L$3:$N$6,2,FALSE)))</f>
        <v>Low Strategic Significance</v>
      </c>
      <c r="N24" s="368">
        <f>IF(L24="","",IF(VLOOKUP(L24,'G-3 Multipliers'!$L$3:$N$6,3,FALSE)=0,"Spatial Data Missing",VLOOKUP(L24,'G-3 Multipliers'!$L$3:$N$6,3,FALSE)))</f>
        <v>1</v>
      </c>
      <c r="O24" s="362">
        <f t="shared" si="1"/>
        <v>0</v>
      </c>
      <c r="P24" s="63">
        <v>0</v>
      </c>
      <c r="Q24" s="63">
        <v>3</v>
      </c>
      <c r="R24" s="370" t="str">
        <f t="shared" si="2"/>
        <v>Standard time to target condition applied</v>
      </c>
      <c r="S24" s="383">
        <f t="shared" si="3"/>
        <v>3</v>
      </c>
      <c r="T24" s="384">
        <f>IFERROR(IF(S24="Check Data ⚠","Check Data ⚠",VLOOKUP(S24,'G-4 Temporal multipliers'!$A$4:$C$37,3,FALSE)),"")</f>
        <v>0.898632125</v>
      </c>
      <c r="U24" s="385" t="str">
        <f>IF(F24="","",VLOOKUP(F24,'G-3 Multipliers'!$A$2:$E$134,2,FALSE))</f>
        <v>Low</v>
      </c>
      <c r="V24" s="382" t="str">
        <f t="shared" si="5"/>
        <v>Standard difficulty applied</v>
      </c>
      <c r="W24" s="382" t="str">
        <f>IF(E24="","",IF(AND(V24="Standard difficulty applied",O24&gt;P24),U24,IF(AND(V24="Low Difficulty - only applicable if all habitat created before losses",P24&gt;=O24),"Low",VLOOKUP(F24,'G-3 Multipliers'!$A$2:$E$134,4,FALSE))))</f>
        <v>Medium</v>
      </c>
      <c r="X24" s="386">
        <f>IFERROR(IF(E24="","",VLOOKUP(W24, 'G-3 Multipliers'!$P$2:$Q$6,2,FALSE)),"")</f>
        <v>0.67</v>
      </c>
      <c r="Y24" s="390">
        <f t="shared" si="4"/>
        <v>0</v>
      </c>
      <c r="Z24" s="194" t="s">
        <v>1734</v>
      </c>
      <c r="AA24" s="195"/>
      <c r="AB24" s="120"/>
      <c r="AE24" s="40" t="str">
        <f t="shared" si="0"/>
        <v>Not Possible</v>
      </c>
    </row>
    <row r="25" spans="1:31" ht="30">
      <c r="A25" s="35" t="str">
        <f>IFERROR(INDEX('G-8 Condition Look up'!$I$4:$I$135,MATCH(F25,'G-8 Condition Look up'!$A$4:$A$135,0)),"")</f>
        <v>Cond2</v>
      </c>
      <c r="C25" s="299" t="str">
        <f>IFERROR(INDEX('G-1 All Habitats'!$AG$3:$AG$17,MATCH(D25,'G-1 All Habitats'!$AF$3:$AF$17,0)),"")</f>
        <v>Urban</v>
      </c>
      <c r="D25" s="54" t="s">
        <v>129</v>
      </c>
      <c r="E25" s="61" t="s">
        <v>699</v>
      </c>
      <c r="F25" s="296" t="str">
        <f>IFERROR(INDEX('G-1 All Habitats'!$B$3:$B$134,MATCH(E25,'G-1 All Habitats'!$A$3:$A$134,0)),"")</f>
        <v>Urban - Developed land; sealed surface</v>
      </c>
      <c r="G25" s="53">
        <v>4.7393067630400001</v>
      </c>
      <c r="H25" s="362" t="str">
        <f>IF(F25="","",VLOOKUP(F25,'G-1 All Habitats'!$B$2:$M$134,10,FALSE))</f>
        <v>V.Low</v>
      </c>
      <c r="I25" s="363">
        <f>IFERROR(VLOOKUP(H25,'G-1 All Habitats'!$V$3:$W$7,2,FALSE),"")</f>
        <v>0</v>
      </c>
      <c r="J25" s="54" t="s">
        <v>497</v>
      </c>
      <c r="K25" s="363">
        <f>IFERROR(INDEX('G-8 Condition Look up'!$A$3:$H$135,MATCH(F25,'G-8 Condition Look up'!$A$3:$A$135,0),MATCH(J25,'G-8 Condition Look up'!$A$3:$H$3,0)),"")</f>
        <v>0</v>
      </c>
      <c r="L25" s="54" t="s">
        <v>1037</v>
      </c>
      <c r="M25" s="370" t="str">
        <f>IF(L25="","",IF(VLOOKUP(L25,'G-3 Multipliers'!$L$3:$N$6,2,FALSE)=0,"Spatial Data Missing",VLOOKUP(L25,'G-3 Multipliers'!$L$3:$N$6,2,FALSE)))</f>
        <v>Low Strategic Significance</v>
      </c>
      <c r="N25" s="368">
        <f>IF(L25="","",IF(VLOOKUP(L25,'G-3 Multipliers'!$L$3:$N$6,3,FALSE)=0,"Spatial Data Missing",VLOOKUP(L25,'G-3 Multipliers'!$L$3:$N$6,3,FALSE)))</f>
        <v>1</v>
      </c>
      <c r="O25" s="362">
        <f t="shared" si="1"/>
        <v>0</v>
      </c>
      <c r="P25" s="63">
        <v>0</v>
      </c>
      <c r="Q25" s="63">
        <v>3</v>
      </c>
      <c r="R25" s="370" t="str">
        <f t="shared" si="2"/>
        <v>Standard time to target condition applied</v>
      </c>
      <c r="S25" s="383">
        <f t="shared" si="3"/>
        <v>3</v>
      </c>
      <c r="T25" s="384">
        <f>IFERROR(IF(S25="Check Data ⚠","Check Data ⚠",VLOOKUP(S25,'G-4 Temporal multipliers'!$A$4:$C$37,3,FALSE)),"")</f>
        <v>0.898632125</v>
      </c>
      <c r="U25" s="385" t="str">
        <f>IF(F25="","",VLOOKUP(F25,'G-3 Multipliers'!$A$2:$E$134,2,FALSE))</f>
        <v>Low</v>
      </c>
      <c r="V25" s="382" t="str">
        <f t="shared" si="5"/>
        <v>Standard difficulty applied</v>
      </c>
      <c r="W25" s="382" t="str">
        <f>IF(E25="","",IF(AND(V25="Standard difficulty applied",O25&gt;P25),U25,IF(AND(V25="Low Difficulty - only applicable if all habitat created before losses",P25&gt;=O25),"Low",VLOOKUP(F25,'G-3 Multipliers'!$A$2:$E$134,4,FALSE))))</f>
        <v>Medium</v>
      </c>
      <c r="X25" s="386">
        <f>IFERROR(IF(E25="","",VLOOKUP(W25, 'G-3 Multipliers'!$P$2:$Q$6,2,FALSE)),"")</f>
        <v>0.67</v>
      </c>
      <c r="Y25" s="390">
        <f t="shared" si="4"/>
        <v>0</v>
      </c>
      <c r="Z25" s="194" t="s">
        <v>1735</v>
      </c>
      <c r="AA25" s="195"/>
      <c r="AB25" s="120"/>
      <c r="AE25" s="40" t="str">
        <f t="shared" si="0"/>
        <v>Not Possible</v>
      </c>
    </row>
    <row r="26" spans="1:31" ht="30">
      <c r="A26" s="35" t="str">
        <f>IFERROR(INDEX('G-8 Condition Look up'!$I$4:$I$135,MATCH(F26,'G-8 Condition Look up'!$A$4:$A$135,0)),"")</f>
        <v>Cond2</v>
      </c>
      <c r="C26" s="299" t="str">
        <f>IFERROR(INDEX('G-1 All Habitats'!$AG$3:$AG$17,MATCH(D26,'G-1 All Habitats'!$AF$3:$AF$17,0)),"")</f>
        <v>Urban</v>
      </c>
      <c r="D26" s="54" t="s">
        <v>129</v>
      </c>
      <c r="E26" s="61" t="s">
        <v>699</v>
      </c>
      <c r="F26" s="296" t="str">
        <f>IFERROR(INDEX('G-1 All Habitats'!$B$3:$B$134,MATCH(E26,'G-1 All Habitats'!$A$3:$A$134,0)),"")</f>
        <v>Urban - Developed land; sealed surface</v>
      </c>
      <c r="G26" s="53">
        <v>1.3011564660899999</v>
      </c>
      <c r="H26" s="362" t="str">
        <f>IF(F26="","",VLOOKUP(F26,'G-1 All Habitats'!$B$2:$M$134,10,FALSE))</f>
        <v>V.Low</v>
      </c>
      <c r="I26" s="363">
        <f>IFERROR(VLOOKUP(H26,'G-1 All Habitats'!$V$3:$W$7,2,FALSE),"")</f>
        <v>0</v>
      </c>
      <c r="J26" s="54" t="s">
        <v>497</v>
      </c>
      <c r="K26" s="363">
        <f>IFERROR(INDEX('G-8 Condition Look up'!$A$3:$H$135,MATCH(F26,'G-8 Condition Look up'!$A$3:$A$135,0),MATCH(J26,'G-8 Condition Look up'!$A$3:$H$3,0)),"")</f>
        <v>0</v>
      </c>
      <c r="L26" s="54" t="s">
        <v>1037</v>
      </c>
      <c r="M26" s="370" t="str">
        <f>IF(L26="","",IF(VLOOKUP(L26,'G-3 Multipliers'!$L$3:$N$6,2,FALSE)=0,"Spatial Data Missing",VLOOKUP(L26,'G-3 Multipliers'!$L$3:$N$6,2,FALSE)))</f>
        <v>Low Strategic Significance</v>
      </c>
      <c r="N26" s="368">
        <f>IF(L26="","",IF(VLOOKUP(L26,'G-3 Multipliers'!$L$3:$N$6,3,FALSE)=0,"Spatial Data Missing",VLOOKUP(L26,'G-3 Multipliers'!$L$3:$N$6,3,FALSE)))</f>
        <v>1</v>
      </c>
      <c r="O26" s="362">
        <f t="shared" si="1"/>
        <v>0</v>
      </c>
      <c r="P26" s="63">
        <v>0</v>
      </c>
      <c r="Q26" s="63">
        <v>3</v>
      </c>
      <c r="R26" s="370" t="str">
        <f t="shared" si="2"/>
        <v>Standard time to target condition applied</v>
      </c>
      <c r="S26" s="383">
        <f t="shared" si="3"/>
        <v>3</v>
      </c>
      <c r="T26" s="384">
        <f>IFERROR(IF(S26="Check Data ⚠","Check Data ⚠",VLOOKUP(S26,'G-4 Temporal multipliers'!$A$4:$C$37,3,FALSE)),"")</f>
        <v>0.898632125</v>
      </c>
      <c r="U26" s="385" t="str">
        <f>IF(F26="","",VLOOKUP(F26,'G-3 Multipliers'!$A$2:$E$134,2,FALSE))</f>
        <v>Low</v>
      </c>
      <c r="V26" s="382" t="str">
        <f t="shared" si="5"/>
        <v>Standard difficulty applied</v>
      </c>
      <c r="W26" s="382" t="str">
        <f>IF(E26="","",IF(AND(V26="Standard difficulty applied",O26&gt;P26),U26,IF(AND(V26="Low Difficulty - only applicable if all habitat created before losses",P26&gt;=O26),"Low",VLOOKUP(F26,'G-3 Multipliers'!$A$2:$E$134,4,FALSE))))</f>
        <v>Medium</v>
      </c>
      <c r="X26" s="386">
        <f>IFERROR(IF(E26="","",VLOOKUP(W26, 'G-3 Multipliers'!$P$2:$Q$6,2,FALSE)),"")</f>
        <v>0.67</v>
      </c>
      <c r="Y26" s="390">
        <f t="shared" si="4"/>
        <v>0</v>
      </c>
      <c r="Z26" s="194" t="s">
        <v>1736</v>
      </c>
      <c r="AA26" s="195"/>
      <c r="AB26" s="120"/>
      <c r="AE26" s="40" t="str">
        <f t="shared" si="0"/>
        <v>Not Possible</v>
      </c>
    </row>
    <row r="27" spans="1:31" ht="30">
      <c r="A27" s="35" t="str">
        <f>IFERROR(INDEX('G-8 Condition Look up'!$I$4:$I$135,MATCH(F27,'G-8 Condition Look up'!$A$4:$A$135,0)),"")</f>
        <v>Cond2</v>
      </c>
      <c r="C27" s="299" t="str">
        <f>IFERROR(INDEX('G-1 All Habitats'!$AG$3:$AG$17,MATCH(D27,'G-1 All Habitats'!$AF$3:$AF$17,0)),"")</f>
        <v>Urban</v>
      </c>
      <c r="D27" s="54" t="s">
        <v>129</v>
      </c>
      <c r="E27" s="61" t="s">
        <v>699</v>
      </c>
      <c r="F27" s="296" t="str">
        <f>IFERROR(INDEX('G-1 All Habitats'!$B$3:$B$134,MATCH(E27,'G-1 All Habitats'!$A$3:$A$134,0)),"")</f>
        <v>Urban - Developed land; sealed surface</v>
      </c>
      <c r="G27" s="53">
        <v>0.29580264089000002</v>
      </c>
      <c r="H27" s="362" t="str">
        <f>IF(F27="","",VLOOKUP(F27,'G-1 All Habitats'!$B$2:$M$134,10,FALSE))</f>
        <v>V.Low</v>
      </c>
      <c r="I27" s="363">
        <f>IFERROR(VLOOKUP(H27,'G-1 All Habitats'!$V$3:$W$7,2,FALSE),"")</f>
        <v>0</v>
      </c>
      <c r="J27" s="54" t="s">
        <v>497</v>
      </c>
      <c r="K27" s="363">
        <f>IFERROR(INDEX('G-8 Condition Look up'!$A$3:$H$135,MATCH(F27,'G-8 Condition Look up'!$A$3:$A$135,0),MATCH(J27,'G-8 Condition Look up'!$A$3:$H$3,0)),"")</f>
        <v>0</v>
      </c>
      <c r="L27" s="54" t="s">
        <v>1037</v>
      </c>
      <c r="M27" s="370" t="str">
        <f>IF(L27="","",IF(VLOOKUP(L27,'G-3 Multipliers'!$L$3:$N$6,2,FALSE)=0,"Spatial Data Missing",VLOOKUP(L27,'G-3 Multipliers'!$L$3:$N$6,2,FALSE)))</f>
        <v>Low Strategic Significance</v>
      </c>
      <c r="N27" s="368">
        <f>IF(L27="","",IF(VLOOKUP(L27,'G-3 Multipliers'!$L$3:$N$6,3,FALSE)=0,"Spatial Data Missing",VLOOKUP(L27,'G-3 Multipliers'!$L$3:$N$6,3,FALSE)))</f>
        <v>1</v>
      </c>
      <c r="O27" s="362">
        <f t="shared" si="1"/>
        <v>0</v>
      </c>
      <c r="P27" s="63">
        <v>0</v>
      </c>
      <c r="Q27" s="63">
        <v>3</v>
      </c>
      <c r="R27" s="370" t="str">
        <f t="shared" si="2"/>
        <v>Standard time to target condition applied</v>
      </c>
      <c r="S27" s="383">
        <f t="shared" si="3"/>
        <v>3</v>
      </c>
      <c r="T27" s="384">
        <f>IFERROR(IF(S27="Check Data ⚠","Check Data ⚠",VLOOKUP(S27,'G-4 Temporal multipliers'!$A$4:$C$37,3,FALSE)),"")</f>
        <v>0.898632125</v>
      </c>
      <c r="U27" s="385" t="str">
        <f>IF(F27="","",VLOOKUP(F27,'G-3 Multipliers'!$A$2:$E$134,2,FALSE))</f>
        <v>Low</v>
      </c>
      <c r="V27" s="382" t="str">
        <f t="shared" si="5"/>
        <v>Standard difficulty applied</v>
      </c>
      <c r="W27" s="382" t="str">
        <f>IF(E27="","",IF(AND(V27="Standard difficulty applied",O27&gt;P27),U27,IF(AND(V27="Low Difficulty - only applicable if all habitat created before losses",P27&gt;=O27),"Low",VLOOKUP(F27,'G-3 Multipliers'!$A$2:$E$134,4,FALSE))))</f>
        <v>Medium</v>
      </c>
      <c r="X27" s="386">
        <f>IFERROR(IF(E27="","",VLOOKUP(W27, 'G-3 Multipliers'!$P$2:$Q$6,2,FALSE)),"")</f>
        <v>0.67</v>
      </c>
      <c r="Y27" s="390">
        <f t="shared" si="4"/>
        <v>0</v>
      </c>
      <c r="Z27" s="194" t="s">
        <v>1737</v>
      </c>
      <c r="AA27" s="195"/>
      <c r="AB27" s="120"/>
      <c r="AE27" s="40" t="str">
        <f t="shared" si="0"/>
        <v>Not Possible</v>
      </c>
    </row>
    <row r="28" spans="1:31" ht="30">
      <c r="A28" s="35" t="str">
        <f>IFERROR(INDEX('G-8 Condition Look up'!$I$4:$I$135,MATCH(F28,'G-8 Condition Look up'!$A$4:$A$135,0)),"")</f>
        <v>Cond2</v>
      </c>
      <c r="C28" s="299" t="str">
        <f>IFERROR(INDEX('G-1 All Habitats'!$AG$3:$AG$17,MATCH(D28,'G-1 All Habitats'!$AF$3:$AF$17,0)),"")</f>
        <v>Urban</v>
      </c>
      <c r="D28" s="54" t="s">
        <v>129</v>
      </c>
      <c r="E28" s="61" t="s">
        <v>699</v>
      </c>
      <c r="F28" s="296" t="str">
        <f>IFERROR(INDEX('G-1 All Habitats'!$B$3:$B$134,MATCH(E28,'G-1 All Habitats'!$A$3:$A$134,0)),"")</f>
        <v>Urban - Developed land; sealed surface</v>
      </c>
      <c r="G28" s="53">
        <v>0.61746664000999996</v>
      </c>
      <c r="H28" s="362" t="str">
        <f>IF(F28="","",VLOOKUP(F28,'G-1 All Habitats'!$B$2:$M$134,10,FALSE))</f>
        <v>V.Low</v>
      </c>
      <c r="I28" s="363">
        <f>IFERROR(VLOOKUP(H28,'G-1 All Habitats'!$V$3:$W$7,2,FALSE),"")</f>
        <v>0</v>
      </c>
      <c r="J28" s="54" t="s">
        <v>497</v>
      </c>
      <c r="K28" s="363">
        <f>IFERROR(INDEX('G-8 Condition Look up'!$A$3:$H$135,MATCH(F28,'G-8 Condition Look up'!$A$3:$A$135,0),MATCH(J28,'G-8 Condition Look up'!$A$3:$H$3,0)),"")</f>
        <v>0</v>
      </c>
      <c r="L28" s="54" t="s">
        <v>1037</v>
      </c>
      <c r="M28" s="370" t="str">
        <f>IF(L28="","",IF(VLOOKUP(L28,'G-3 Multipliers'!$L$3:$N$6,2,FALSE)=0,"Spatial Data Missing",VLOOKUP(L28,'G-3 Multipliers'!$L$3:$N$6,2,FALSE)))</f>
        <v>Low Strategic Significance</v>
      </c>
      <c r="N28" s="368">
        <f>IF(L28="","",IF(VLOOKUP(L28,'G-3 Multipliers'!$L$3:$N$6,3,FALSE)=0,"Spatial Data Missing",VLOOKUP(L28,'G-3 Multipliers'!$L$3:$N$6,3,FALSE)))</f>
        <v>1</v>
      </c>
      <c r="O28" s="362">
        <f t="shared" si="1"/>
        <v>0</v>
      </c>
      <c r="P28" s="63">
        <v>0</v>
      </c>
      <c r="Q28" s="63">
        <v>3</v>
      </c>
      <c r="R28" s="370" t="str">
        <f t="shared" si="2"/>
        <v>Standard time to target condition applied</v>
      </c>
      <c r="S28" s="383">
        <f t="shared" si="3"/>
        <v>3</v>
      </c>
      <c r="T28" s="384">
        <f>IFERROR(IF(S28="Check Data ⚠","Check Data ⚠",VLOOKUP(S28,'G-4 Temporal multipliers'!$A$4:$C$37,3,FALSE)),"")</f>
        <v>0.898632125</v>
      </c>
      <c r="U28" s="385" t="str">
        <f>IF(F28="","",VLOOKUP(F28,'G-3 Multipliers'!$A$2:$E$134,2,FALSE))</f>
        <v>Low</v>
      </c>
      <c r="V28" s="382" t="str">
        <f t="shared" si="5"/>
        <v>Standard difficulty applied</v>
      </c>
      <c r="W28" s="382" t="str">
        <f>IF(E28="","",IF(AND(V28="Standard difficulty applied",O28&gt;P28),U28,IF(AND(V28="Low Difficulty - only applicable if all habitat created before losses",P28&gt;=O28),"Low",VLOOKUP(F28,'G-3 Multipliers'!$A$2:$E$134,4,FALSE))))</f>
        <v>Medium</v>
      </c>
      <c r="X28" s="386">
        <f>IFERROR(IF(E28="","",VLOOKUP(W28, 'G-3 Multipliers'!$P$2:$Q$6,2,FALSE)),"")</f>
        <v>0.67</v>
      </c>
      <c r="Y28" s="390">
        <f t="shared" si="4"/>
        <v>0</v>
      </c>
      <c r="Z28" s="194" t="s">
        <v>1738</v>
      </c>
      <c r="AA28" s="195"/>
      <c r="AB28" s="120"/>
      <c r="AE28" s="40" t="str">
        <f t="shared" si="0"/>
        <v>Not Possible</v>
      </c>
    </row>
    <row r="29" spans="1:31" ht="30">
      <c r="A29" s="35" t="str">
        <f>IFERROR(INDEX('G-8 Condition Look up'!$I$4:$I$135,MATCH(F29,'G-8 Condition Look up'!$A$4:$A$135,0)),"")</f>
        <v>Cond2</v>
      </c>
      <c r="C29" s="299" t="str">
        <f>IFERROR(INDEX('G-1 All Habitats'!$AG$3:$AG$17,MATCH(D29,'G-1 All Habitats'!$AF$3:$AF$17,0)),"")</f>
        <v>Urban</v>
      </c>
      <c r="D29" s="54" t="s">
        <v>129</v>
      </c>
      <c r="E29" s="61" t="s">
        <v>699</v>
      </c>
      <c r="F29" s="296" t="str">
        <f>IFERROR(INDEX('G-1 All Habitats'!$B$3:$B$134,MATCH(E29,'G-1 All Habitats'!$A$3:$A$134,0)),"")</f>
        <v>Urban - Developed land; sealed surface</v>
      </c>
      <c r="G29" s="53">
        <v>4.8609462979999997E-2</v>
      </c>
      <c r="H29" s="362" t="str">
        <f>IF(F29="","",VLOOKUP(F29,'G-1 All Habitats'!$B$2:$M$134,10,FALSE))</f>
        <v>V.Low</v>
      </c>
      <c r="I29" s="363">
        <f>IFERROR(VLOOKUP(H29,'G-1 All Habitats'!$V$3:$W$7,2,FALSE),"")</f>
        <v>0</v>
      </c>
      <c r="J29" s="54" t="s">
        <v>497</v>
      </c>
      <c r="K29" s="363">
        <f>IFERROR(INDEX('G-8 Condition Look up'!$A$3:$H$135,MATCH(F29,'G-8 Condition Look up'!$A$3:$A$135,0),MATCH(J29,'G-8 Condition Look up'!$A$3:$H$3,0)),"")</f>
        <v>0</v>
      </c>
      <c r="L29" s="54" t="s">
        <v>1037</v>
      </c>
      <c r="M29" s="370" t="str">
        <f>IF(L29="","",IF(VLOOKUP(L29,'G-3 Multipliers'!$L$3:$N$6,2,FALSE)=0,"Spatial Data Missing",VLOOKUP(L29,'G-3 Multipliers'!$L$3:$N$6,2,FALSE)))</f>
        <v>Low Strategic Significance</v>
      </c>
      <c r="N29" s="368">
        <f>IF(L29="","",IF(VLOOKUP(L29,'G-3 Multipliers'!$L$3:$N$6,3,FALSE)=0,"Spatial Data Missing",VLOOKUP(L29,'G-3 Multipliers'!$L$3:$N$6,3,FALSE)))</f>
        <v>1</v>
      </c>
      <c r="O29" s="362">
        <f t="shared" si="1"/>
        <v>0</v>
      </c>
      <c r="P29" s="63">
        <v>0</v>
      </c>
      <c r="Q29" s="63">
        <v>3</v>
      </c>
      <c r="R29" s="370" t="str">
        <f t="shared" si="2"/>
        <v>Standard time to target condition applied</v>
      </c>
      <c r="S29" s="383">
        <f t="shared" si="3"/>
        <v>3</v>
      </c>
      <c r="T29" s="384">
        <f>IFERROR(IF(S29="Check Data ⚠","Check Data ⚠",VLOOKUP(S29,'G-4 Temporal multipliers'!$A$4:$C$37,3,FALSE)),"")</f>
        <v>0.898632125</v>
      </c>
      <c r="U29" s="385" t="str">
        <f>IF(F29="","",VLOOKUP(F29,'G-3 Multipliers'!$A$2:$E$134,2,FALSE))</f>
        <v>Low</v>
      </c>
      <c r="V29" s="382" t="str">
        <f t="shared" si="5"/>
        <v>Standard difficulty applied</v>
      </c>
      <c r="W29" s="382" t="str">
        <f>IF(E29="","",IF(AND(V29="Standard difficulty applied",O29&gt;P29),U29,IF(AND(V29="Low Difficulty - only applicable if all habitat created before losses",P29&gt;=O29),"Low",VLOOKUP(F29,'G-3 Multipliers'!$A$2:$E$134,4,FALSE))))</f>
        <v>Medium</v>
      </c>
      <c r="X29" s="386">
        <f>IFERROR(IF(E29="","",VLOOKUP(W29, 'G-3 Multipliers'!$P$2:$Q$6,2,FALSE)),"")</f>
        <v>0.67</v>
      </c>
      <c r="Y29" s="390">
        <f t="shared" si="4"/>
        <v>0</v>
      </c>
      <c r="Z29" s="194" t="s">
        <v>1739</v>
      </c>
      <c r="AA29" s="195"/>
      <c r="AB29" s="120"/>
      <c r="AE29" s="40" t="str">
        <f t="shared" si="0"/>
        <v>Not Possible</v>
      </c>
    </row>
    <row r="30" spans="1:31" ht="30">
      <c r="A30" s="35" t="str">
        <f>IFERROR(INDEX('G-8 Condition Look up'!$I$4:$I$135,MATCH(F30,'G-8 Condition Look up'!$A$4:$A$135,0)),"")</f>
        <v>Cond4</v>
      </c>
      <c r="C30" s="299" t="str">
        <f>IFERROR(INDEX('G-1 All Habitats'!$AG$3:$AG$17,MATCH(D30,'G-1 All Habitats'!$AF$3:$AF$17,0)),"")</f>
        <v>Woodland_and_forest</v>
      </c>
      <c r="D30" s="54" t="s">
        <v>131</v>
      </c>
      <c r="E30" s="61" t="s">
        <v>806</v>
      </c>
      <c r="F30" s="296" t="str">
        <f>IFERROR(INDEX('G-1 All Habitats'!$B$3:$B$134,MATCH(E30,'G-1 All Habitats'!$A$3:$A$134,0)),"")</f>
        <v>Woodland and forest - Other woodland; mixed</v>
      </c>
      <c r="G30" s="53">
        <v>5.1372776492299996</v>
      </c>
      <c r="H30" s="362" t="str">
        <f>IF(F30="","",VLOOKUP(F30,'G-1 All Habitats'!$B$2:$M$134,10,FALSE))</f>
        <v>Medium</v>
      </c>
      <c r="I30" s="363">
        <f>IFERROR(VLOOKUP(H30,'G-1 All Habitats'!$V$3:$W$7,2,FALSE),"")</f>
        <v>4</v>
      </c>
      <c r="J30" s="54" t="s">
        <v>67</v>
      </c>
      <c r="K30" s="363">
        <f>IFERROR(INDEX('G-8 Condition Look up'!$A$3:$H$135,MATCH(F30,'G-8 Condition Look up'!$A$3:$A$135,0),MATCH(J30,'G-8 Condition Look up'!$A$3:$H$3,0)),"")</f>
        <v>2</v>
      </c>
      <c r="L30" s="54" t="s">
        <v>1033</v>
      </c>
      <c r="M30" s="370" t="str">
        <f>IF(L30="","",IF(VLOOKUP(L30,'G-3 Multipliers'!$L$3:$N$6,2,FALSE)=0,"Spatial Data Missing",VLOOKUP(L30,'G-3 Multipliers'!$L$3:$N$6,2,FALSE)))</f>
        <v xml:space="preserve">Medium strategic significance </v>
      </c>
      <c r="N30" s="368">
        <f>IF(L30="","",IF(VLOOKUP(L30,'G-3 Multipliers'!$L$3:$N$6,3,FALSE)=0,"Spatial Data Missing",VLOOKUP(L30,'G-3 Multipliers'!$L$3:$N$6,3,FALSE)))</f>
        <v>1.1000000000000001</v>
      </c>
      <c r="O30" s="362">
        <f t="shared" si="1"/>
        <v>30</v>
      </c>
      <c r="P30" s="63">
        <v>0</v>
      </c>
      <c r="Q30" s="63">
        <v>3</v>
      </c>
      <c r="R30" s="370" t="str">
        <f t="shared" si="2"/>
        <v>Check details- Delay in starting habitat in required condition? ⚠</v>
      </c>
      <c r="S30" s="383" t="str">
        <f t="shared" si="3"/>
        <v>30+</v>
      </c>
      <c r="T30" s="384">
        <f>IFERROR(IF(S30="Check Data ⚠","Check Data ⚠",VLOOKUP(S30,'G-4 Temporal multipliers'!$A$4:$C$37,3,FALSE)),"")</f>
        <v>0.31979673609999998</v>
      </c>
      <c r="U30" s="385" t="str">
        <f>IF(F30="","",VLOOKUP(F30,'G-3 Multipliers'!$A$2:$E$134,2,FALSE))</f>
        <v>Low</v>
      </c>
      <c r="V30" s="382" t="str">
        <f t="shared" si="5"/>
        <v>Standard difficulty applied</v>
      </c>
      <c r="W30" s="382" t="str">
        <f>IF(E30="","",IF(AND(V30="Standard difficulty applied",O30&gt;P30),U30,IF(AND(V30="Low Difficulty - only applicable if all habitat created before losses",P30&gt;=O30),"Low",VLOOKUP(F30,'G-3 Multipliers'!$A$2:$E$134,4,FALSE))))</f>
        <v>Low</v>
      </c>
      <c r="X30" s="386">
        <f>IFERROR(IF(E30="","",VLOOKUP(W30, 'G-3 Multipliers'!$P$2:$Q$6,2,FALSE)),"")</f>
        <v>1</v>
      </c>
      <c r="Y30" s="390">
        <f t="shared" si="4"/>
        <v>14.457384697036465</v>
      </c>
      <c r="Z30" s="194" t="s">
        <v>1731</v>
      </c>
      <c r="AA30" s="195"/>
      <c r="AB30" s="120"/>
      <c r="AE30" s="40">
        <f t="shared" si="0"/>
        <v>5</v>
      </c>
    </row>
    <row r="31" spans="1:31" ht="30">
      <c r="A31" s="35" t="str">
        <f>IFERROR(INDEX('G-8 Condition Look up'!$I$4:$I$135,MATCH(F31,'G-8 Condition Look up'!$A$4:$A$135,0)),"")</f>
        <v>Cond4</v>
      </c>
      <c r="C31" s="299" t="str">
        <f>IFERROR(INDEX('G-1 All Habitats'!$AG$3:$AG$17,MATCH(D31,'G-1 All Habitats'!$AF$3:$AF$17,0)),"")</f>
        <v>Individual_trees</v>
      </c>
      <c r="D31" s="54" t="s">
        <v>138</v>
      </c>
      <c r="E31" s="61" t="s">
        <v>746</v>
      </c>
      <c r="F31" s="296" t="str">
        <f>IFERROR(INDEX('G-1 All Habitats'!$B$3:$B$134,MATCH(E31,'G-1 All Habitats'!$A$3:$A$134,0)),"")</f>
        <v>Individual trees - Rural tree</v>
      </c>
      <c r="G31" s="53">
        <v>11.621</v>
      </c>
      <c r="H31" s="362" t="str">
        <f>IF(F31="","",VLOOKUP(F31,'G-1 All Habitats'!$B$2:$M$134,10,FALSE))</f>
        <v>Medium</v>
      </c>
      <c r="I31" s="363">
        <f>IFERROR(VLOOKUP(H31,'G-1 All Habitats'!$V$3:$W$7,2,FALSE),"")</f>
        <v>4</v>
      </c>
      <c r="J31" s="54" t="s">
        <v>67</v>
      </c>
      <c r="K31" s="363">
        <f>IFERROR(INDEX('G-8 Condition Look up'!$A$3:$H$135,MATCH(F31,'G-8 Condition Look up'!$A$3:$A$135,0),MATCH(J31,'G-8 Condition Look up'!$A$3:$H$3,0)),"")</f>
        <v>2</v>
      </c>
      <c r="L31" s="54" t="s">
        <v>1033</v>
      </c>
      <c r="M31" s="370" t="str">
        <f>IF(L31="","",IF(VLOOKUP(L31,'G-3 Multipliers'!$L$3:$N$6,2,FALSE)=0,"Spatial Data Missing",VLOOKUP(L31,'G-3 Multipliers'!$L$3:$N$6,2,FALSE)))</f>
        <v xml:space="preserve">Medium strategic significance </v>
      </c>
      <c r="N31" s="368">
        <f>IF(L31="","",IF(VLOOKUP(L31,'G-3 Multipliers'!$L$3:$N$6,3,FALSE)=0,"Spatial Data Missing",VLOOKUP(L31,'G-3 Multipliers'!$L$3:$N$6,3,FALSE)))</f>
        <v>1.1000000000000001</v>
      </c>
      <c r="O31" s="362">
        <f t="shared" si="1"/>
        <v>27</v>
      </c>
      <c r="P31" s="63">
        <v>0</v>
      </c>
      <c r="Q31" s="63">
        <v>3</v>
      </c>
      <c r="R31" s="370" t="str">
        <f t="shared" si="2"/>
        <v>Check details- Delay in starting habitat in required condition? ⚠</v>
      </c>
      <c r="S31" s="383">
        <f t="shared" si="3"/>
        <v>30</v>
      </c>
      <c r="T31" s="384">
        <f>IFERROR(IF(S31="Check Data ⚠","Check Data ⚠",VLOOKUP(S31,'G-4 Temporal multipliers'!$A$4:$C$37,3,FALSE)),"")</f>
        <v>0.3434151104</v>
      </c>
      <c r="U31" s="385" t="str">
        <f>IF(F31="","",VLOOKUP(F31,'G-3 Multipliers'!$A$2:$E$134,2,FALSE))</f>
        <v>Low</v>
      </c>
      <c r="V31" s="382" t="str">
        <f t="shared" si="5"/>
        <v>Standard difficulty applied</v>
      </c>
      <c r="W31" s="382" t="str">
        <f>IF(E31="","",IF(AND(V31="Standard difficulty applied",O31&gt;P31),U31,IF(AND(V31="Low Difficulty - only applicable if all habitat created before losses",P31&gt;=O31),"Low",VLOOKUP(F31,'G-3 Multipliers'!$A$2:$E$134,4,FALSE))))</f>
        <v>Low</v>
      </c>
      <c r="X31" s="386">
        <f>IFERROR(IF(E31="","",VLOOKUP(W31, 'G-3 Multipliers'!$P$2:$Q$6,2,FALSE)),"")</f>
        <v>1</v>
      </c>
      <c r="Y31" s="390">
        <f t="shared" si="4"/>
        <v>35.119277582033924</v>
      </c>
      <c r="Z31" s="194" t="s">
        <v>1744</v>
      </c>
      <c r="AA31" s="195"/>
      <c r="AB31" s="120"/>
      <c r="AE31" s="40">
        <f t="shared" si="0"/>
        <v>10</v>
      </c>
    </row>
    <row r="32" spans="1:31" ht="30">
      <c r="A32" s="35" t="str">
        <f>IFERROR(INDEX('G-8 Condition Look up'!$I$4:$I$135,MATCH(F32,'G-8 Condition Look up'!$A$4:$A$135,0)),"")</f>
        <v>Cond4</v>
      </c>
      <c r="C32" s="299" t="str">
        <f>IFERROR(INDEX('G-1 All Habitats'!$AG$3:$AG$17,MATCH(D32,'G-1 All Habitats'!$AF$3:$AF$17,0)),"")</f>
        <v>Individual_trees</v>
      </c>
      <c r="D32" s="54" t="s">
        <v>138</v>
      </c>
      <c r="E32" s="61" t="s">
        <v>746</v>
      </c>
      <c r="F32" s="296" t="str">
        <f>IFERROR(INDEX('G-1 All Habitats'!$B$3:$B$134,MATCH(E32,'G-1 All Habitats'!$A$3:$A$134,0)),"")</f>
        <v>Individual trees - Rural tree</v>
      </c>
      <c r="G32" s="53">
        <v>3.3346</v>
      </c>
      <c r="H32" s="362" t="str">
        <f>IF(F32="","",VLOOKUP(F32,'G-1 All Habitats'!$B$2:$M$134,10,FALSE))</f>
        <v>Medium</v>
      </c>
      <c r="I32" s="363">
        <f>IFERROR(VLOOKUP(H32,'G-1 All Habitats'!$V$3:$W$7,2,FALSE),"")</f>
        <v>4</v>
      </c>
      <c r="J32" s="54" t="s">
        <v>67</v>
      </c>
      <c r="K32" s="363">
        <f>IFERROR(INDEX('G-8 Condition Look up'!$A$3:$H$135,MATCH(F32,'G-8 Condition Look up'!$A$3:$A$135,0),MATCH(J32,'G-8 Condition Look up'!$A$3:$H$3,0)),"")</f>
        <v>2</v>
      </c>
      <c r="L32" s="54" t="s">
        <v>1033</v>
      </c>
      <c r="M32" s="370" t="str">
        <f>IF(L32="","",IF(VLOOKUP(L32,'G-3 Multipliers'!$L$3:$N$6,2,FALSE)=0,"Spatial Data Missing",VLOOKUP(L32,'G-3 Multipliers'!$L$3:$N$6,2,FALSE)))</f>
        <v xml:space="preserve">Medium strategic significance </v>
      </c>
      <c r="N32" s="368">
        <f>IF(L32="","",IF(VLOOKUP(L32,'G-3 Multipliers'!$L$3:$N$6,3,FALSE)=0,"Spatial Data Missing",VLOOKUP(L32,'G-3 Multipliers'!$L$3:$N$6,3,FALSE)))</f>
        <v>1.1000000000000001</v>
      </c>
      <c r="O32" s="362">
        <f t="shared" si="1"/>
        <v>27</v>
      </c>
      <c r="P32" s="63">
        <v>0</v>
      </c>
      <c r="Q32" s="63">
        <v>3</v>
      </c>
      <c r="R32" s="370" t="str">
        <f t="shared" si="2"/>
        <v>Check details- Delay in starting habitat in required condition? ⚠</v>
      </c>
      <c r="S32" s="383">
        <f t="shared" si="3"/>
        <v>30</v>
      </c>
      <c r="T32" s="384">
        <f>IFERROR(IF(S32="Check Data ⚠","Check Data ⚠",VLOOKUP(S32,'G-4 Temporal multipliers'!$A$4:$C$37,3,FALSE)),"")</f>
        <v>0.3434151104</v>
      </c>
      <c r="U32" s="385" t="str">
        <f>IF(F32="","",VLOOKUP(F32,'G-3 Multipliers'!$A$2:$E$134,2,FALSE))</f>
        <v>Low</v>
      </c>
      <c r="V32" s="382" t="str">
        <f t="shared" si="5"/>
        <v>Standard difficulty applied</v>
      </c>
      <c r="W32" s="382" t="str">
        <f>IF(E32="","",IF(AND(V32="Standard difficulty applied",O32&gt;P32),U32,IF(AND(V32="Low Difficulty - only applicable if all habitat created before losses",P32&gt;=O32),"Low",VLOOKUP(F32,'G-3 Multipliers'!$A$2:$E$134,4,FALSE))))</f>
        <v>Low</v>
      </c>
      <c r="X32" s="386">
        <f>IFERROR(IF(E32="","",VLOOKUP(W32, 'G-3 Multipliers'!$P$2:$Q$6,2,FALSE)),"")</f>
        <v>1</v>
      </c>
      <c r="Y32" s="390">
        <f t="shared" si="4"/>
        <v>10.077337838830593</v>
      </c>
      <c r="Z32" s="194" t="s">
        <v>1745</v>
      </c>
      <c r="AA32" s="195"/>
      <c r="AB32" s="120"/>
      <c r="AE32" s="40">
        <f t="shared" si="0"/>
        <v>10</v>
      </c>
    </row>
    <row r="33" spans="1:31" ht="30">
      <c r="A33" s="35" t="str">
        <f>IFERROR(INDEX('G-8 Condition Look up'!$I$4:$I$135,MATCH(F33,'G-8 Condition Look up'!$A$4:$A$135,0)),"")</f>
        <v>Cond4</v>
      </c>
      <c r="C33" s="299" t="str">
        <f>IFERROR(INDEX('G-1 All Habitats'!$AG$3:$AG$17,MATCH(D33,'G-1 All Habitats'!$AF$3:$AF$17,0)),"")</f>
        <v>Individual_trees</v>
      </c>
      <c r="D33" s="54" t="s">
        <v>138</v>
      </c>
      <c r="E33" s="61" t="s">
        <v>746</v>
      </c>
      <c r="F33" s="296" t="str">
        <f>IFERROR(INDEX('G-1 All Habitats'!$B$3:$B$134,MATCH(E33,'G-1 All Habitats'!$A$3:$A$134,0)),"")</f>
        <v>Individual trees - Rural tree</v>
      </c>
      <c r="G33" s="53">
        <v>4.3971999999999998</v>
      </c>
      <c r="H33" s="362" t="str">
        <f>IF(F33="","",VLOOKUP(F33,'G-1 All Habitats'!$B$2:$M$134,10,FALSE))</f>
        <v>Medium</v>
      </c>
      <c r="I33" s="363">
        <f>IFERROR(VLOOKUP(H33,'G-1 All Habitats'!$V$3:$W$7,2,FALSE),"")</f>
        <v>4</v>
      </c>
      <c r="J33" s="54" t="s">
        <v>67</v>
      </c>
      <c r="K33" s="363">
        <f>IFERROR(INDEX('G-8 Condition Look up'!$A$3:$H$135,MATCH(F33,'G-8 Condition Look up'!$A$3:$A$135,0),MATCH(J33,'G-8 Condition Look up'!$A$3:$H$3,0)),"")</f>
        <v>2</v>
      </c>
      <c r="L33" s="54" t="s">
        <v>1033</v>
      </c>
      <c r="M33" s="370" t="str">
        <f>IF(L33="","",IF(VLOOKUP(L33,'G-3 Multipliers'!$L$3:$N$6,2,FALSE)=0,"Spatial Data Missing",VLOOKUP(L33,'G-3 Multipliers'!$L$3:$N$6,2,FALSE)))</f>
        <v xml:space="preserve">Medium strategic significance </v>
      </c>
      <c r="N33" s="368">
        <f>IF(L33="","",IF(VLOOKUP(L33,'G-3 Multipliers'!$L$3:$N$6,3,FALSE)=0,"Spatial Data Missing",VLOOKUP(L33,'G-3 Multipliers'!$L$3:$N$6,3,FALSE)))</f>
        <v>1.1000000000000001</v>
      </c>
      <c r="O33" s="362">
        <f t="shared" si="1"/>
        <v>27</v>
      </c>
      <c r="P33" s="63">
        <v>0</v>
      </c>
      <c r="Q33" s="63">
        <v>3</v>
      </c>
      <c r="R33" s="370" t="str">
        <f t="shared" si="2"/>
        <v>Check details- Delay in starting habitat in required condition? ⚠</v>
      </c>
      <c r="S33" s="383">
        <f t="shared" si="3"/>
        <v>30</v>
      </c>
      <c r="T33" s="384">
        <f>IFERROR(IF(S33="Check Data ⚠","Check Data ⚠",VLOOKUP(S33,'G-4 Temporal multipliers'!$A$4:$C$37,3,FALSE)),"")</f>
        <v>0.3434151104</v>
      </c>
      <c r="U33" s="385" t="str">
        <f>IF(F33="","",VLOOKUP(F33,'G-3 Multipliers'!$A$2:$E$134,2,FALSE))</f>
        <v>Low</v>
      </c>
      <c r="V33" s="382" t="str">
        <f t="shared" si="5"/>
        <v>Standard difficulty applied</v>
      </c>
      <c r="W33" s="382" t="str">
        <f>IF(E33="","",IF(AND(V33="Standard difficulty applied",O33&gt;P33),U33,IF(AND(V33="Low Difficulty - only applicable if all habitat created before losses",P33&gt;=O33),"Low",VLOOKUP(F33,'G-3 Multipliers'!$A$2:$E$134,4,FALSE))))</f>
        <v>Low</v>
      </c>
      <c r="X33" s="386">
        <f>IFERROR(IF(E33="","",VLOOKUP(W33, 'G-3 Multipliers'!$P$2:$Q$6,2,FALSE)),"")</f>
        <v>1</v>
      </c>
      <c r="Y33" s="390">
        <f t="shared" si="4"/>
        <v>13.288571326367745</v>
      </c>
      <c r="Z33" s="194" t="s">
        <v>1746</v>
      </c>
      <c r="AA33" s="195"/>
      <c r="AB33" s="120"/>
      <c r="AE33" s="40">
        <f t="shared" si="0"/>
        <v>10</v>
      </c>
    </row>
    <row r="34" spans="1:3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t="15.75" thickBot="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idden="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idden="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idden="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idden="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idden="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idden="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idden="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idden="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idden="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idden="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idden="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idden="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idden="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idden="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idden="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idden="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idden="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idden="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idden="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idden="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idden="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idden="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idden="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idden="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idden="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idden="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idden="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idden="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idden="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idden="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idden="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idden="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idden="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idden="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idden="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idden="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idden="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idden="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idden="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idden="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idden="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idden="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idden="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idden="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idden="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idden="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idden="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idden="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idden="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idden="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idden="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idden="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idden="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idden="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idden="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idden="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idden="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idden="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idden="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idden="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idden="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idden="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idden="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idden="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idden="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idden="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idden="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idden="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idden="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idden="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idden="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idden="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idden="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idden="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idden="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idden="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idden="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idden="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idden="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idden="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idden="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idden="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idden="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idden="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idden="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idden="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idden="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idden="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idden="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idden="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idden="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idden="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idden="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idden="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idden="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idden="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idden="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idden="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idden="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idden="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idden="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idden="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idden="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idden="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idden="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idden="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idden="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idden="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idden="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idden="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idden="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idden="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idden="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idden="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idden="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idden="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idden="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idden="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idden="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idden="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idden="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idden="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idden="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idden="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idden="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idden="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idden="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idden="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idden="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idden="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idden="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idden="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idden="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idden="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idden="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idden="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idden="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idden="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idden="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idden="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idden="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idden="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idden="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idden="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idden="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idden="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idden="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idden="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idden="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idden="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idden="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idden="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idden="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idden="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idden="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idden="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idden="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idden="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idden="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idden="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idden="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idden="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idden="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idden="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idden="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idden="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idden="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idden="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idden="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idden="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idden="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idden="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idden="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idden="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idden="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idden="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idden="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idden="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idden="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idden="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idden="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idden="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idden="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idden="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330</v>
      </c>
      <c r="F257" s="266" t="s">
        <v>331</v>
      </c>
      <c r="G257" s="403">
        <f>SUM(G11:G256)</f>
        <v>59.294250525210003</v>
      </c>
      <c r="T257" s="66"/>
      <c r="U257" s="66"/>
      <c r="V257" s="66"/>
      <c r="W257" s="66"/>
      <c r="X257" s="132" t="s">
        <v>332</v>
      </c>
      <c r="Y257" s="381">
        <f>SUM(Y11:Y256)</f>
        <v>124.14476892824266</v>
      </c>
    </row>
    <row r="258" spans="5:25" ht="15.75" thickBot="1"/>
    <row r="259" spans="5:25" ht="15.75" thickBot="1">
      <c r="E259" s="515" t="s">
        <v>306</v>
      </c>
      <c r="G259" s="366">
        <f>IF('Detailed Results'!$K$40&gt;0,"Error",SUMIFS($G$11:$G$256,$F$11:$F$256,"&lt;&gt;"&amp;'G-1 All Habitats'!B80,$F$11:$F$256,"&lt;&gt;"&amp;'G-1 All Habitats'!B81,$F$11:$F$256,"&lt;&gt;"&amp;'G-1 All Habitats'!B67,$F$11:$F$256,"&lt;&gt;"&amp;'G-1 All Habitats'!B68, $F$11:$F$256,"&lt;&gt;"&amp;'G-1 All Habitats'!B81))</f>
        <v>39.941450525210001</v>
      </c>
    </row>
    <row r="260" spans="5:25" ht="15.75" thickBot="1"/>
    <row r="261" spans="5:25" ht="15.75" thickBot="1">
      <c r="E261" s="1462" t="s">
        <v>308</v>
      </c>
      <c r="F261" s="36"/>
      <c r="G261" s="597" t="s">
        <v>309</v>
      </c>
      <c r="H261" s="551" t="s">
        <v>310</v>
      </c>
      <c r="I261" s="1416" t="s">
        <v>311</v>
      </c>
      <c r="J261" s="1417"/>
    </row>
    <row r="262" spans="5:25" ht="15" customHeight="1" thickBot="1">
      <c r="E262" s="1463"/>
      <c r="F262" s="36"/>
      <c r="G262" s="553"/>
      <c r="H262" s="552" t="str">
        <f>IF(G261="Hectares",G262,IF(G261="M²",G262/10000,""))</f>
        <v/>
      </c>
      <c r="I262" s="1418" t="str">
        <f>IF(G261="M²",G262,IF(G261="Hectares",G262*10000,""))</f>
        <v/>
      </c>
      <c r="J262" s="1419"/>
    </row>
    <row r="263" spans="5:25">
      <c r="E263" s="35"/>
    </row>
    <row r="264" spans="5:25">
      <c r="E264" s="35"/>
    </row>
    <row r="265" spans="5:25">
      <c r="E265" s="35"/>
    </row>
    <row r="266" spans="5:25">
      <c r="E266" s="35"/>
    </row>
  </sheetData>
  <sheetProtection algorithmName="SHA-512" hashValue="javaOfa/tzVpOGcMKvTu3DQxStfs7mlX5FkXQZUUZbf9F4E9vlXEgGE+S8wQNL/OAcFH8v8uoNhhTCocnZEqvg==" saltValue="HiugcVXnMCuoFhWsNz5Y7w=="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K11:K256">
    <cfRule type="cellIs" dxfId="685" priority="52" operator="equal">
      <formula>"Not Possible"</formula>
    </cfRule>
  </conditionalFormatting>
  <conditionalFormatting sqref="S11:S256">
    <cfRule type="containsText" dxfId="684" priority="34" operator="containsText" text="30+">
      <formula>NOT(ISERROR(SEARCH("30+",S11)))</formula>
    </cfRule>
  </conditionalFormatting>
  <conditionalFormatting sqref="O11:O256">
    <cfRule type="containsText" dxfId="683" priority="33" operator="containsText" text="30+">
      <formula>NOT(ISERROR(SEARCH("30+",O11)))</formula>
    </cfRule>
  </conditionalFormatting>
  <conditionalFormatting sqref="V11:V256">
    <cfRule type="cellIs" dxfId="682" priority="23" operator="equal">
      <formula>"No - Enhancement difficulty applied"</formula>
    </cfRule>
    <cfRule type="containsText" dxfId="681" priority="29" operator="containsText" text="No - Low Difficulty">
      <formula>NOT(ISERROR(SEARCH("No - Low Difficulty",V11)))</formula>
    </cfRule>
  </conditionalFormatting>
  <conditionalFormatting sqref="X12:Y257 R11:Y11 R12:X256">
    <cfRule type="containsText" dxfId="680" priority="28" operator="containsText" text="Error">
      <formula>NOT(ISERROR(SEARCH("Error",R11)))</formula>
    </cfRule>
    <cfRule type="containsText" dxfId="679" priority="31" operator="containsText" text="Check">
      <formula>NOT(ISERROR(SEARCH("Check",R11)))</formula>
    </cfRule>
  </conditionalFormatting>
  <conditionalFormatting sqref="N2">
    <cfRule type="containsText" dxfId="678" priority="27" operator="containsText" text="Note">
      <formula>NOT(ISERROR(SEARCH("Note",N2)))</formula>
    </cfRule>
  </conditionalFormatting>
  <conditionalFormatting sqref="N4">
    <cfRule type="containsText" dxfId="677" priority="26" operator="containsText" text="Check">
      <formula>NOT(ISERROR(SEARCH("Check",N4)))</formula>
    </cfRule>
  </conditionalFormatting>
  <conditionalFormatting sqref="T255">
    <cfRule type="containsText" dxfId="676" priority="25" operator="containsText" text="30+">
      <formula>NOT(ISERROR(SEARCH("30+",T255)))</formula>
    </cfRule>
  </conditionalFormatting>
  <conditionalFormatting sqref="V11:V256">
    <cfRule type="cellIs" dxfId="675" priority="24" operator="equal">
      <formula>"No - Enhancement difficulty applied"</formula>
    </cfRule>
  </conditionalFormatting>
  <conditionalFormatting sqref="E257">
    <cfRule type="containsText" dxfId="674" priority="21" operator="containsText" text="Error">
      <formula>NOT(ISERROR(SEARCH("Error",E257)))</formula>
    </cfRule>
    <cfRule type="containsText" dxfId="673" priority="22" operator="containsText" text="Check">
      <formula>NOT(ISERROR(SEARCH("Check",E257)))</formula>
    </cfRule>
  </conditionalFormatting>
  <conditionalFormatting sqref="K3">
    <cfRule type="containsText" dxfId="672" priority="13" operator="containsText" text="Error">
      <formula>NOT(ISERROR(SEARCH("Error",K3)))</formula>
    </cfRule>
    <cfRule type="containsText" dxfId="671" priority="14" operator="containsText" text="Check">
      <formula>NOT(ISERROR(SEARCH("Check",K3)))</formula>
    </cfRule>
  </conditionalFormatting>
  <conditionalFormatting sqref="K4">
    <cfRule type="containsText" dxfId="670" priority="1" operator="containsText" text="Check">
      <formula>NOT(ISERROR(SEARCH("Check",K4)))</formula>
    </cfRule>
    <cfRule type="containsText" dxfId="669" priority="8" operator="containsText" text="Error">
      <formula>NOT(ISERROR(SEARCH("Error",K4)))</formula>
    </cfRule>
  </conditionalFormatting>
  <conditionalFormatting sqref="K4">
    <cfRule type="cellIs" dxfId="668" priority="9" operator="equal">
      <formula>0</formula>
    </cfRule>
  </conditionalFormatting>
  <conditionalFormatting sqref="K5">
    <cfRule type="containsText" dxfId="667" priority="6" operator="containsText" text="No">
      <formula>NOT(ISERROR(SEARCH("No",K5)))</formula>
    </cfRule>
    <cfRule type="containsText" dxfId="666" priority="7" operator="containsText" text="Yes">
      <formula>NOT(ISERROR(SEARCH("Yes",K5)))</formula>
    </cfRule>
  </conditionalFormatting>
  <conditionalFormatting sqref="K6">
    <cfRule type="containsText" dxfId="665" priority="4" operator="containsText" text=" 🗸">
      <formula>NOT(ISERROR(SEARCH(" 🗸",K6)))</formula>
    </cfRule>
    <cfRule type="containsText" dxfId="664" priority="5" operator="containsText" text="▲">
      <formula>NOT(ISERROR(SEARCH("▲",K6)))</formula>
    </cfRule>
  </conditionalFormatting>
  <conditionalFormatting sqref="S2:X5">
    <cfRule type="containsText" dxfId="663" priority="3" operator="containsText" text="Check">
      <formula>NOT(ISERROR(SEARCH("Check",S2)))</formula>
    </cfRule>
  </conditionalFormatting>
  <conditionalFormatting sqref="H7:L7">
    <cfRule type="containsText" dxfId="662" priority="2" operator="containsText" text="⚠">
      <formula>NOT(ISERROR(SEARCH("⚠",H7)))</formula>
    </cfRule>
  </conditionalFormatting>
  <conditionalFormatting sqref="K4:L4">
    <cfRule type="cellIs" dxfId="661" priority="10" operator="lessThan">
      <formula>0</formula>
    </cfRule>
  </conditionalFormatting>
  <dataValidations count="4">
    <dataValidation allowBlank="1" showErrorMessage="1" errorTitle="Invalid Habitat" error="Select from List" sqref="F11:F256"/>
    <dataValidation type="list" allowBlank="1" showInputMessage="1" showErrorMessage="1" sqref="E11:E256">
      <formula1>INDIRECT(C11)</formula1>
    </dataValidation>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8" scale="32"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6"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5"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2" operator="lessThan" id="{0B505358-DF53-46B7-974A-183E1924519F}">
            <xm:f>Start!$F$22</xm:f>
            <x14:dxf>
              <font>
                <color rgb="FF383745"/>
              </font>
              <fill>
                <patternFill>
                  <bgColor rgb="FFFFC000"/>
                </patternFill>
              </fill>
            </x14:dxf>
          </x14:cfRule>
          <x14:cfRule type="cellIs" priority="423"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multipliers'!$A$42:$A$73</xm:f>
          </x14:formula1>
          <xm:sqref>P11:Q256</xm:sqref>
        </x14:dataValidation>
        <x14:dataValidation type="list" allowBlank="1" showInputMessage="1" showErrorMessage="1">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6600"/>
  </sheetPr>
  <dimension ref="A1:AQ266"/>
  <sheetViews>
    <sheetView showGridLines="0" topLeftCell="E1" zoomScale="80" zoomScaleNormal="80" workbookViewId="0">
      <pane ySplit="11" topLeftCell="A12" activePane="bottomLeft" state="frozen"/>
      <selection pane="bottomLeft"/>
    </sheetView>
  </sheetViews>
  <sheetFormatPr defaultColWidth="8.855468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75" thickBot="1"/>
    <row r="2" spans="1:43" ht="19.5" customHeight="1" thickBot="1">
      <c r="E2" s="1445" t="str">
        <f>CONCATENATE("Project Name:", " ", Start!F12, "     ", "Map Reference:", " ", Start!K55)</f>
        <v xml:space="preserve">Project Name: Barnsley West Commerical     Map Reference: </v>
      </c>
      <c r="F2" s="1486"/>
      <c r="G2" s="1446"/>
      <c r="R2" s="1401" t="s">
        <v>263</v>
      </c>
      <c r="S2" s="1402"/>
      <c r="T2" s="1402"/>
      <c r="U2" s="1403"/>
      <c r="V2" s="1495" t="str" cm="1">
        <f t="array" ref="V2">IF(OR(Y12:Y257 = "Fairly Good", Y12:Y257 = "Fairly Poor"),"A 'Fairly' Category has been used - check evidence to ensure this is appropriate ⚠", "")</f>
        <v/>
      </c>
      <c r="W2" s="1495"/>
      <c r="X2" s="1495"/>
      <c r="Y2" s="1495"/>
      <c r="Z2" s="1495"/>
      <c r="AA2" s="1495"/>
      <c r="AD2" s="1494" t="str">
        <f>IF(OR(COUNTIF($AD$12:AD257,"*30+*")&gt;0,COUNTIF(AH12:AH257,"*30+*")&gt;0),"Note; Habitat selected has a time to target condition greater than 30 years. Non standard agreement may be required.","")</f>
        <v/>
      </c>
      <c r="AE2" s="1494"/>
      <c r="AF2" s="1494"/>
      <c r="AG2" s="1494"/>
      <c r="AH2" s="1494"/>
      <c r="AI2" s="1494"/>
    </row>
    <row r="3" spans="1:43" ht="13.15" customHeight="1">
      <c r="E3" s="1487" t="str">
        <f ca="1">MID(CELL("filename",D1),FIND("]",CELL("filename",D1))+1,256)</f>
        <v>A-3 On-Site Habitat Enhancement</v>
      </c>
      <c r="F3" s="1488"/>
      <c r="G3" s="1489"/>
      <c r="R3" s="1439" t="s">
        <v>264</v>
      </c>
      <c r="S3" s="1440"/>
      <c r="T3" s="1498">
        <f>'Headline Results'!H47</f>
        <v>24.211490082272675</v>
      </c>
      <c r="U3" s="1499"/>
      <c r="V3" s="1495"/>
      <c r="W3" s="1495"/>
      <c r="X3" s="1495"/>
      <c r="Y3" s="1495"/>
      <c r="Z3" s="1495"/>
      <c r="AA3" s="1495"/>
      <c r="AD3" s="1494"/>
      <c r="AE3" s="1494"/>
      <c r="AF3" s="1494"/>
      <c r="AG3" s="1494"/>
      <c r="AH3" s="1494"/>
      <c r="AI3" s="1494"/>
    </row>
    <row r="4" spans="1:43" ht="15.75" customHeight="1" thickBot="1">
      <c r="E4" s="1447"/>
      <c r="F4" s="1490"/>
      <c r="G4" s="1448"/>
      <c r="H4" s="189" t="str">
        <f>IF(G4="","",IF(ISNA(VLOOKUP($E4,'A-1 On-Site Habitat Baseline'!$D$1:$O$258,3,FALSE)),"",(VLOOKUP($E4,'A-1 On-Site Habitat Baseline'!$D$1:$O$258,3,FALSE))))</f>
        <v/>
      </c>
      <c r="R4" s="1441" t="s">
        <v>266</v>
      </c>
      <c r="S4" s="1442"/>
      <c r="T4" s="1500">
        <f>'Headline Results'!H51</f>
        <v>0.22331314528416341</v>
      </c>
      <c r="U4" s="1501"/>
      <c r="V4" s="1495"/>
      <c r="W4" s="1495"/>
      <c r="X4" s="1495"/>
      <c r="Y4" s="1495"/>
      <c r="Z4" s="1495"/>
      <c r="AA4" s="1495"/>
      <c r="AD4" s="330"/>
      <c r="AE4" s="330"/>
      <c r="AF4" s="330"/>
      <c r="AG4" s="330"/>
      <c r="AK4" s="190"/>
      <c r="AL4" s="190"/>
      <c r="AM4" s="190"/>
    </row>
    <row r="5" spans="1:43" ht="15" customHeight="1" thickBot="1">
      <c r="R5" s="1443" t="s">
        <v>268</v>
      </c>
      <c r="S5" s="1437"/>
      <c r="T5" s="1437" t="str" cm="1">
        <f t="array" ref="T5">IF(OR('Trading Summary Area Habitats'!G5:G8="No ▲"), "No - check trading summaries ▲", "Yes ✓")</f>
        <v>No - check trading summaries ▲</v>
      </c>
      <c r="U5" s="1438"/>
      <c r="V5" s="1495"/>
      <c r="W5" s="1495"/>
      <c r="X5" s="1495"/>
      <c r="Y5" s="1495"/>
      <c r="Z5" s="1495"/>
      <c r="AA5" s="1495"/>
      <c r="AD5" s="1494" t="str">
        <f>IF(Q12&lt;&gt;A12,"Change in broad habitat type detected. Check compliance with guidance.","")</f>
        <v/>
      </c>
      <c r="AE5" s="1494"/>
      <c r="AF5" s="1494"/>
      <c r="AG5" s="1494"/>
      <c r="AH5" s="1494"/>
      <c r="AI5" s="1494"/>
    </row>
    <row r="6" spans="1:43" ht="15.75" customHeight="1">
      <c r="R6" s="1496" t="str" cm="1">
        <f t="array" ref="R6">IF(OR(Q11:Q258="watercourse footprint"),"Please ensure the watercourse details for any watercourse footprints recorded are included in the watercourse tabs ⚠", "")</f>
        <v/>
      </c>
      <c r="S6" s="1496"/>
      <c r="T6" s="1496"/>
      <c r="AD6" s="1494"/>
      <c r="AE6" s="1494"/>
      <c r="AF6" s="1494"/>
      <c r="AG6" s="1494"/>
      <c r="AH6" s="1494"/>
      <c r="AI6" s="1494"/>
    </row>
    <row r="7" spans="1:43">
      <c r="E7" s="36"/>
      <c r="F7" s="36"/>
      <c r="R7" s="1496"/>
      <c r="S7" s="1496"/>
      <c r="T7" s="1496"/>
    </row>
    <row r="8" spans="1:43" ht="18" customHeight="1" thickBot="1">
      <c r="R8" s="1497"/>
      <c r="S8" s="1497"/>
      <c r="T8" s="1497"/>
    </row>
    <row r="9" spans="1:43" ht="15.6" customHeight="1" thickBot="1">
      <c r="F9" s="41"/>
      <c r="G9" s="41"/>
      <c r="H9" s="41"/>
      <c r="I9" s="41"/>
      <c r="J9" s="41"/>
      <c r="K9" s="41"/>
      <c r="L9" s="41"/>
      <c r="M9" s="41"/>
      <c r="N9" s="41"/>
      <c r="O9" s="41"/>
      <c r="P9" s="41"/>
      <c r="Q9" s="1455" t="s">
        <v>312</v>
      </c>
      <c r="R9" s="1456"/>
      <c r="S9" s="1456"/>
      <c r="T9" s="1456"/>
      <c r="U9" s="1456"/>
      <c r="V9" s="1456"/>
      <c r="W9" s="1456"/>
      <c r="X9" s="1456"/>
      <c r="Y9" s="1456"/>
      <c r="Z9" s="1456"/>
      <c r="AA9" s="1456"/>
      <c r="AB9" s="1456"/>
      <c r="AC9" s="1456"/>
      <c r="AD9" s="1456"/>
      <c r="AE9" s="1456"/>
      <c r="AF9" s="1456"/>
      <c r="AG9" s="1456"/>
      <c r="AH9" s="1456"/>
      <c r="AI9" s="1456"/>
      <c r="AJ9" s="1456"/>
      <c r="AK9" s="1456"/>
      <c r="AL9" s="1456"/>
      <c r="AM9" s="1457"/>
    </row>
    <row r="10" spans="1:43" ht="28.15" customHeight="1" thickBot="1">
      <c r="F10" s="1455" t="s">
        <v>333</v>
      </c>
      <c r="G10" s="1456"/>
      <c r="H10" s="1456"/>
      <c r="I10" s="1456"/>
      <c r="J10" s="1456"/>
      <c r="K10" s="1456"/>
      <c r="L10" s="1456"/>
      <c r="M10" s="1456"/>
      <c r="N10" s="1456"/>
      <c r="O10" s="1457"/>
      <c r="P10" s="191"/>
      <c r="Q10" s="1491" t="s">
        <v>334</v>
      </c>
      <c r="R10" s="1492"/>
      <c r="S10" s="308"/>
      <c r="T10" s="1493" t="s">
        <v>335</v>
      </c>
      <c r="U10" s="1492"/>
      <c r="V10" s="1504" t="s">
        <v>336</v>
      </c>
      <c r="W10" s="1484" t="s">
        <v>270</v>
      </c>
      <c r="X10" s="1484" t="s">
        <v>287</v>
      </c>
      <c r="Y10" s="1484" t="s">
        <v>271</v>
      </c>
      <c r="Z10" s="1485" t="s">
        <v>287</v>
      </c>
      <c r="AA10" s="1502" t="s">
        <v>272</v>
      </c>
      <c r="AB10" s="1503"/>
      <c r="AC10" s="1503"/>
      <c r="AD10" s="1484" t="s">
        <v>337</v>
      </c>
      <c r="AE10" s="1484"/>
      <c r="AF10" s="1484"/>
      <c r="AG10" s="1484"/>
      <c r="AH10" s="1484"/>
      <c r="AI10" s="1484"/>
      <c r="AJ10" s="1484" t="s">
        <v>338</v>
      </c>
      <c r="AK10" s="1484"/>
      <c r="AL10" s="1484"/>
      <c r="AM10" s="1485"/>
      <c r="AN10" s="1410" t="s">
        <v>317</v>
      </c>
      <c r="AO10" s="1491" t="s">
        <v>277</v>
      </c>
      <c r="AP10" s="1492"/>
    </row>
    <row r="11" spans="1:43" s="37" customFormat="1" ht="60" customHeight="1" thickBot="1">
      <c r="A11" s="302" t="s">
        <v>283</v>
      </c>
      <c r="B11" s="302" t="s">
        <v>339</v>
      </c>
      <c r="C11" s="302" t="s">
        <v>281</v>
      </c>
      <c r="E11" s="286" t="s">
        <v>340</v>
      </c>
      <c r="F11" s="290" t="s">
        <v>341</v>
      </c>
      <c r="G11" s="290" t="s">
        <v>342</v>
      </c>
      <c r="H11" s="290" t="s">
        <v>343</v>
      </c>
      <c r="I11" s="290" t="s">
        <v>344</v>
      </c>
      <c r="J11" s="290" t="s">
        <v>345</v>
      </c>
      <c r="K11" s="290" t="s">
        <v>346</v>
      </c>
      <c r="L11" s="290" t="s">
        <v>347</v>
      </c>
      <c r="M11" s="290" t="s">
        <v>348</v>
      </c>
      <c r="N11" s="290" t="s">
        <v>349</v>
      </c>
      <c r="O11" s="288" t="s">
        <v>273</v>
      </c>
      <c r="P11" s="284" t="s">
        <v>350</v>
      </c>
      <c r="Q11" s="297" t="s">
        <v>351</v>
      </c>
      <c r="R11" s="59" t="s">
        <v>314</v>
      </c>
      <c r="S11" s="285" t="s">
        <v>314</v>
      </c>
      <c r="T11" s="287" t="s">
        <v>352</v>
      </c>
      <c r="U11" s="289" t="s">
        <v>353</v>
      </c>
      <c r="V11" s="1505"/>
      <c r="W11" s="1508"/>
      <c r="X11" s="1508"/>
      <c r="Y11" s="1508"/>
      <c r="Z11" s="1507"/>
      <c r="AA11" s="297" t="s">
        <v>272</v>
      </c>
      <c r="AB11" s="303" t="s">
        <v>272</v>
      </c>
      <c r="AC11" s="304" t="s">
        <v>318</v>
      </c>
      <c r="AD11" s="297" t="s">
        <v>319</v>
      </c>
      <c r="AE11" s="305" t="s">
        <v>354</v>
      </c>
      <c r="AF11" s="305" t="s">
        <v>355</v>
      </c>
      <c r="AG11" s="305" t="s">
        <v>322</v>
      </c>
      <c r="AH11" s="305" t="s">
        <v>323</v>
      </c>
      <c r="AI11" s="298" t="s">
        <v>324</v>
      </c>
      <c r="AJ11" s="297" t="s">
        <v>356</v>
      </c>
      <c r="AK11" s="305" t="s">
        <v>326</v>
      </c>
      <c r="AL11" s="305" t="s">
        <v>357</v>
      </c>
      <c r="AM11" s="307" t="s">
        <v>328</v>
      </c>
      <c r="AN11" s="1506"/>
      <c r="AO11" s="287" t="s">
        <v>296</v>
      </c>
      <c r="AP11" s="289" t="s">
        <v>297</v>
      </c>
      <c r="AQ11" s="48" t="s">
        <v>298</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330</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83" t="str">
        <f>IF(V258&lt;&gt;'A-1 On-Site Habitat Baseline'!T259,"Error - Area of habitat enhancement must match the area from sheet A1 ▲","")</f>
        <v/>
      </c>
      <c r="W259" s="1483"/>
      <c r="X259" s="1483"/>
      <c r="Y259" s="1483"/>
      <c r="Z259" s="1483"/>
      <c r="AA259" s="1483"/>
    </row>
    <row r="260" spans="1:43"/>
    <row r="261" spans="1:43"/>
    <row r="262" spans="1:43"/>
    <row r="263" spans="1:43"/>
    <row r="264" spans="1:43"/>
    <row r="265" spans="1:43"/>
    <row r="266" spans="1:43"/>
  </sheetData>
  <sheetProtection algorithmName="SHA-512" hashValue="4E3ZoBy4BOFA7htXb31PVST7sf96tCfeF3MilJs2TYWz5hbySY9KWwG8iOegvReChQhl9kHJuQIIPWmGSl7O0Q==" saltValue="0oKxJX+5qzF2aJEVZLAy0w=="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Z12:Z257">
    <cfRule type="cellIs" dxfId="658" priority="50" operator="equal">
      <formula>"Not Possible"</formula>
    </cfRule>
  </conditionalFormatting>
  <conditionalFormatting sqref="AN12:AN257">
    <cfRule type="containsText" dxfId="657" priority="41" operator="containsText" text="Existing Value Not Required">
      <formula>NOT(ISERROR(SEARCH("Existing Value Not Required",AN12)))</formula>
    </cfRule>
    <cfRule type="containsText" dxfId="656" priority="42" operator="containsText" text="Existing Value Required">
      <formula>NOT(ISERROR(SEARCH("Existing Value Required",AN12)))</formula>
    </cfRule>
  </conditionalFormatting>
  <conditionalFormatting sqref="AN256:AN257">
    <cfRule type="containsText" dxfId="655" priority="39" operator="containsText" text="Existing Value Not Required">
      <formula>NOT(ISERROR(SEARCH("Existing Value Not Required",AN256)))</formula>
    </cfRule>
    <cfRule type="containsText" dxfId="654" priority="40" operator="containsText" text="Existing Value Required">
      <formula>NOT(ISERROR(SEARCH("Existing Value Required",AN256)))</formula>
    </cfRule>
  </conditionalFormatting>
  <conditionalFormatting sqref="AD2">
    <cfRule type="containsText" dxfId="653" priority="38" operator="containsText" text="Note">
      <formula>NOT(ISERROR(SEARCH("Note",AD2)))</formula>
    </cfRule>
  </conditionalFormatting>
  <conditionalFormatting sqref="T12:T257">
    <cfRule type="containsText" dxfId="652" priority="37" operator="containsText" text="Error">
      <formula>NOT(ISERROR(SEARCH("Error",T12)))</formula>
    </cfRule>
  </conditionalFormatting>
  <conditionalFormatting sqref="U12:U257">
    <cfRule type="containsText" dxfId="651" priority="36" operator="containsText" text="Error">
      <formula>NOT(ISERROR(SEARCH("Error",U12)))</formula>
    </cfRule>
  </conditionalFormatting>
  <conditionalFormatting sqref="AB12:AB257">
    <cfRule type="containsText" dxfId="650" priority="35" operator="containsText" text="Spatial">
      <formula>NOT(ISERROR(SEARCH("Spatial",AB12)))</formula>
    </cfRule>
  </conditionalFormatting>
  <conditionalFormatting sqref="AC12:AC257">
    <cfRule type="containsText" dxfId="649" priority="34" operator="containsText" text="Spatial">
      <formula>NOT(ISERROR(SEARCH("Spatial",AC12)))</formula>
    </cfRule>
  </conditionalFormatting>
  <conditionalFormatting sqref="AD12:AD257">
    <cfRule type="containsText" dxfId="648" priority="33" operator="containsText" text="Check Data">
      <formula>NOT(ISERROR(SEARCH("Check Data",AD12)))</formula>
    </cfRule>
  </conditionalFormatting>
  <conditionalFormatting sqref="AG12:AG257">
    <cfRule type="containsText" dxfId="647" priority="31" operator="containsText" text="Error">
      <formula>NOT(ISERROR(SEARCH("Error",AG12)))</formula>
    </cfRule>
    <cfRule type="containsText" dxfId="646" priority="32" operator="containsText" text="Check">
      <formula>NOT(ISERROR(SEARCH("Check",AG12)))</formula>
    </cfRule>
  </conditionalFormatting>
  <conditionalFormatting sqref="AH12:AH257">
    <cfRule type="containsText" dxfId="645" priority="29" operator="containsText" text="Check Data ⚠">
      <formula>NOT(ISERROR(SEARCH("Check Data ⚠",AH12)))</formula>
    </cfRule>
    <cfRule type="containsText" dxfId="644" priority="30" operator="containsText" text="Error ▲">
      <formula>NOT(ISERROR(SEARCH("Error ▲",AH12)))</formula>
    </cfRule>
  </conditionalFormatting>
  <conditionalFormatting sqref="AI12:AI257">
    <cfRule type="containsText" dxfId="643" priority="27" operator="containsText" text="Check Data ⚠">
      <formula>NOT(ISERROR(SEARCH("Check Data ⚠",AI12)))</formula>
    </cfRule>
  </conditionalFormatting>
  <conditionalFormatting sqref="AK12:AK257">
    <cfRule type="containsText" dxfId="642" priority="26"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41" priority="25" operator="containsText" text="Check Data ⚠">
      <formula>NOT(ISERROR(SEARCH("Check Data ⚠",AM12)))</formula>
    </cfRule>
  </conditionalFormatting>
  <conditionalFormatting sqref="O12:O257">
    <cfRule type="beginsWith" dxfId="640" priority="21" operator="beginsWith" text="Bespoke">
      <formula>LEFT(O12,LEN("Bespoke"))="Bespoke"</formula>
    </cfRule>
    <cfRule type="beginsWith" dxfId="639" priority="22" operator="beginsWith" text="Same distinctiveness">
      <formula>LEFT(O12,LEN("Same distinctiveness"))="Same distinctiveness"</formula>
    </cfRule>
    <cfRule type="beginsWith" dxfId="638" priority="23" operator="beginsWith" text="Same broad">
      <formula>LEFT(O12,LEN("Same broad"))="Same broad"</formula>
    </cfRule>
    <cfRule type="beginsWith" dxfId="637" priority="24" operator="beginsWith" text="Same Habitat">
      <formula>LEFT(O12,LEN("Same Habitat"))="Same Habitat"</formula>
    </cfRule>
  </conditionalFormatting>
  <conditionalFormatting sqref="V259:AA259">
    <cfRule type="containsText" dxfId="636" priority="20" operator="containsText" text="Error">
      <formula>NOT(ISERROR(SEARCH("Error",V259)))</formula>
    </cfRule>
  </conditionalFormatting>
  <conditionalFormatting sqref="AD5">
    <cfRule type="containsText" dxfId="635" priority="19" operator="containsText" text="Change">
      <formula>NOT(ISERROR(SEARCH("Change",AD5)))</formula>
    </cfRule>
  </conditionalFormatting>
  <conditionalFormatting sqref="T3">
    <cfRule type="containsText" dxfId="634" priority="6" operator="containsText" text="Check">
      <formula>NOT(ISERROR(SEARCH("Check",T3)))</formula>
    </cfRule>
    <cfRule type="containsText" dxfId="633" priority="7" operator="containsText" text="Error">
      <formula>NOT(ISERROR(SEARCH("Error",T3)))</formula>
    </cfRule>
  </conditionalFormatting>
  <conditionalFormatting sqref="T4">
    <cfRule type="containsText" dxfId="632" priority="3" operator="containsText" text="Error">
      <formula>NOT(ISERROR(SEARCH("Error",T4)))</formula>
    </cfRule>
    <cfRule type="containsText" dxfId="631" priority="5" operator="containsText" text="Check">
      <formula>NOT(ISERROR(SEARCH("Check",T4)))</formula>
    </cfRule>
    <cfRule type="cellIs" dxfId="630" priority="16" operator="lessThan">
      <formula>0</formula>
    </cfRule>
  </conditionalFormatting>
  <conditionalFormatting sqref="T5">
    <cfRule type="containsText" dxfId="629" priority="10" operator="containsText" text="No">
      <formula>NOT(ISERROR(SEARCH("No",T5)))</formula>
    </cfRule>
    <cfRule type="containsText" dxfId="628" priority="11" operator="containsText" text="Yes">
      <formula>NOT(ISERROR(SEARCH("Yes",T5)))</formula>
    </cfRule>
  </conditionalFormatting>
  <conditionalFormatting sqref="V2:AA5">
    <cfRule type="containsText" dxfId="627" priority="9" operator="containsText" text="Check">
      <formula>NOT(ISERROR(SEARCH("Check",V2)))</formula>
    </cfRule>
  </conditionalFormatting>
  <conditionalFormatting sqref="R6:T8">
    <cfRule type="containsText" dxfId="626" priority="8" operator="containsText" text="⚠">
      <formula>NOT(ISERROR(SEARCH("⚠",R6)))</formula>
    </cfRule>
  </conditionalFormatting>
  <conditionalFormatting sqref="T4:U4">
    <cfRule type="cellIs" dxfId="625" priority="15" operator="equal">
      <formula>0</formula>
    </cfRule>
  </conditionalFormatting>
  <conditionalFormatting sqref="U258">
    <cfRule type="containsText" dxfId="624" priority="1" operator="containsText" text="Error">
      <formula>NOT(ISERROR(SEARCH("Error",U258)))</formula>
    </cfRule>
    <cfRule type="containsText" dxfId="623" priority="2" operator="containsText" text="Check">
      <formula>NOT(ISERROR(SEARCH("Check",U258)))</formula>
    </cfRule>
  </conditionalFormatting>
  <dataValidations count="3">
    <dataValidation allowBlank="1" showErrorMessage="1" errorTitle="Invalid Habitat" error="Select from List" sqref="S12:S257"/>
    <dataValidation type="list" allowBlank="1" showInputMessage="1" showErrorMessage="1" sqref="Y12:Y257">
      <formula1>INDIRECT(C12)</formula1>
    </dataValidation>
    <dataValidation type="list" allowBlank="1" showInputMessage="1" showErrorMessage="1" sqref="R12:R257">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8"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6"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7"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AA12:AA257</xm:sqref>
        </x14:dataValidation>
        <x14:dataValidation type="list" allowBlank="1" showInputMessage="1" showErrorMessage="1">
          <x14:formula1>
            <xm:f>'G-4 Temporal multipliers'!$A$42:$A$73</xm:f>
          </x14:formula1>
          <xm:sqref>AE12:AF257</xm:sqref>
        </x14:dataValidation>
        <x14:dataValidation type="list" allowBlank="1" showInputMessage="1" showErrorMessage="1">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16" t="str">
        <f>CONCATENATE("Project Name:", " ", Start!F12, "     ", "Map Reference:", " ", Start!F66)</f>
        <v xml:space="preserve">Project Name: Barnsley West Commerical     Map Reference: </v>
      </c>
      <c r="E2" s="1517"/>
      <c r="F2" s="1518"/>
      <c r="I2" s="1401" t="s">
        <v>263</v>
      </c>
      <c r="J2" s="1402"/>
      <c r="K2" s="1402"/>
      <c r="L2" s="1402"/>
      <c r="M2" s="1403"/>
      <c r="O2" s="1515" t="str" cm="1">
        <f t="array" ref="O2">IF(OR(K11:K258 = "Fairly Good", K11:K258 = "Fairly Poor"),"A 'Fairly' Category has been used - check evidence to ensure this is appropriate ⚠", "")</f>
        <v/>
      </c>
      <c r="P2" s="1515"/>
      <c r="Q2" s="1515"/>
      <c r="R2" s="1515"/>
      <c r="S2" s="1515"/>
      <c r="T2" s="1515"/>
      <c r="U2" s="1515"/>
      <c r="V2" s="1515"/>
      <c r="W2" s="1515"/>
      <c r="X2" s="1515"/>
      <c r="Y2" s="1515"/>
      <c r="AY2" s="30"/>
    </row>
    <row r="3" spans="1:51 16381:16384" ht="15" customHeight="1">
      <c r="D3" s="1509" t="str">
        <f ca="1">MID(CELL("filename",C1),FIND("]",CELL("filename",C1))+1,256)</f>
        <v>D-1 Off-Site Habitat Baseline</v>
      </c>
      <c r="E3" s="1510"/>
      <c r="F3" s="1511"/>
      <c r="I3" s="1491" t="s">
        <v>264</v>
      </c>
      <c r="J3" s="1493"/>
      <c r="K3" s="1493"/>
      <c r="L3" s="1519"/>
      <c r="M3" s="512">
        <f>'Headline Results'!H47</f>
        <v>24.211490082272675</v>
      </c>
      <c r="O3" s="1515"/>
      <c r="P3" s="1515"/>
      <c r="Q3" s="1515"/>
      <c r="R3" s="1515"/>
      <c r="S3" s="1515"/>
      <c r="T3" s="1515"/>
      <c r="U3" s="1515"/>
      <c r="V3" s="1515"/>
      <c r="W3" s="1515"/>
      <c r="X3" s="1515"/>
      <c r="Y3" s="1515"/>
      <c r="AY3" s="30"/>
    </row>
    <row r="4" spans="1:51 16381:16384" ht="19.899999999999999" customHeight="1" thickBot="1">
      <c r="D4" s="1512"/>
      <c r="E4" s="1513"/>
      <c r="F4" s="1514"/>
      <c r="I4" s="1520" t="s">
        <v>266</v>
      </c>
      <c r="J4" s="1521"/>
      <c r="K4" s="1521"/>
      <c r="L4" s="1522"/>
      <c r="M4" s="513">
        <f>'Headline Results'!H51</f>
        <v>0.22331314528416341</v>
      </c>
      <c r="O4" s="1515"/>
      <c r="P4" s="1515"/>
      <c r="Q4" s="1515"/>
      <c r="R4" s="1515"/>
      <c r="S4" s="1515"/>
      <c r="T4" s="1515"/>
      <c r="U4" s="1515"/>
      <c r="V4" s="1515"/>
      <c r="W4" s="1515"/>
      <c r="X4" s="1515"/>
      <c r="Y4" s="1515"/>
      <c r="AY4" s="30"/>
    </row>
    <row r="5" spans="1:51 16381:16384" ht="24" customHeight="1" thickBot="1">
      <c r="I5" s="1523" t="s">
        <v>268</v>
      </c>
      <c r="J5" s="1524"/>
      <c r="K5" s="1524"/>
      <c r="L5" s="1525"/>
      <c r="M5" s="504" t="str" cm="1">
        <f t="array" ref="M5">IF(OR('Trading Summary Area Habitats'!G5:G8="No ▲"), "No - check trading summaries ▲", "Yes ✓")</f>
        <v>No - check trading summaries ▲</v>
      </c>
      <c r="O5" s="1515"/>
      <c r="P5" s="1515"/>
      <c r="Q5" s="1515"/>
      <c r="R5" s="1515"/>
      <c r="S5" s="1515"/>
      <c r="T5" s="1515"/>
      <c r="U5" s="1515"/>
      <c r="V5" s="1515"/>
      <c r="W5" s="1515"/>
      <c r="X5" s="1515"/>
      <c r="Y5" s="1515"/>
      <c r="AY5" s="30"/>
    </row>
    <row r="6" spans="1:51 16381:16384" ht="15.75" customHeight="1">
      <c r="I6" s="1526" t="str" cm="1">
        <f t="array" ref="I6">IF(OR(E11:E258="watercourse footprint"),"Please ensure the watercourse details for any watercourse footprints recorded are included in the watercourse tabs ⚠", "")</f>
        <v/>
      </c>
      <c r="J6" s="1526"/>
      <c r="K6" s="1526"/>
      <c r="L6" s="1526"/>
      <c r="M6" s="1526"/>
    </row>
    <row r="7" spans="1:51 16381:16384" ht="16.149999999999999" customHeight="1">
      <c r="D7" s="102"/>
      <c r="E7" s="102"/>
      <c r="F7" s="102"/>
      <c r="I7" s="1527"/>
      <c r="J7" s="1527"/>
      <c r="K7" s="1527"/>
      <c r="L7" s="1527"/>
      <c r="M7" s="1527"/>
    </row>
    <row r="8" spans="1:51 16381:16384" ht="22.9" customHeight="1" thickBot="1">
      <c r="D8" s="102"/>
      <c r="E8" s="102"/>
      <c r="F8" s="102"/>
      <c r="I8" s="1528"/>
      <c r="J8" s="1528"/>
      <c r="K8" s="1528"/>
      <c r="L8" s="1528"/>
      <c r="M8" s="1528"/>
    </row>
    <row r="9" spans="1:51 16381:16384" s="30" customFormat="1" ht="30" customHeight="1" thickBot="1">
      <c r="D9" s="200"/>
      <c r="E9" s="1531" t="s">
        <v>269</v>
      </c>
      <c r="F9" s="1531"/>
      <c r="G9" s="1531"/>
      <c r="H9" s="1531"/>
      <c r="I9" s="1531" t="s">
        <v>270</v>
      </c>
      <c r="J9" s="1531"/>
      <c r="K9" s="1531" t="s">
        <v>358</v>
      </c>
      <c r="L9" s="1531"/>
      <c r="M9" s="1531" t="s">
        <v>272</v>
      </c>
      <c r="N9" s="1531"/>
      <c r="O9" s="1531"/>
      <c r="P9" s="1531" t="s">
        <v>273</v>
      </c>
      <c r="Q9" s="720" t="s">
        <v>274</v>
      </c>
      <c r="R9" s="1532" t="s">
        <v>359</v>
      </c>
      <c r="S9" s="1533"/>
      <c r="T9" s="719" t="s">
        <v>274</v>
      </c>
      <c r="U9" s="107"/>
      <c r="V9" s="1531" t="s">
        <v>275</v>
      </c>
      <c r="W9" s="1531"/>
      <c r="X9" s="1531"/>
      <c r="Y9" s="1531"/>
      <c r="Z9" s="1531"/>
      <c r="AA9" s="1531"/>
      <c r="AB9" s="1531" t="s">
        <v>276</v>
      </c>
      <c r="AC9" s="1529" t="s">
        <v>277</v>
      </c>
      <c r="AD9" s="1530"/>
      <c r="AG9" s="11" t="s">
        <v>267</v>
      </c>
      <c r="AH9" s="11" t="s">
        <v>267</v>
      </c>
      <c r="AJ9" s="124" t="s">
        <v>278</v>
      </c>
      <c r="AK9" s="124"/>
      <c r="AL9" s="124"/>
      <c r="AM9" s="124"/>
      <c r="AN9" s="124"/>
      <c r="AO9" s="124" t="s">
        <v>279</v>
      </c>
      <c r="AP9" s="124"/>
      <c r="AQ9" s="124"/>
      <c r="AR9" s="124"/>
      <c r="XFA9" s="542"/>
      <c r="XFB9" s="542"/>
      <c r="XFC9" s="542"/>
      <c r="XFD9" s="542"/>
    </row>
    <row r="10" spans="1:51 16381:16384" ht="57" customHeight="1" thickBot="1">
      <c r="B10" s="101" t="s">
        <v>281</v>
      </c>
      <c r="D10" s="890" t="s">
        <v>340</v>
      </c>
      <c r="E10" s="720" t="s">
        <v>360</v>
      </c>
      <c r="F10" s="893" t="s">
        <v>33</v>
      </c>
      <c r="G10" s="833" t="s">
        <v>285</v>
      </c>
      <c r="H10" s="144" t="s">
        <v>286</v>
      </c>
      <c r="I10" s="834" t="s">
        <v>270</v>
      </c>
      <c r="J10" s="835" t="s">
        <v>287</v>
      </c>
      <c r="K10" s="140" t="s">
        <v>271</v>
      </c>
      <c r="L10" s="835" t="s">
        <v>287</v>
      </c>
      <c r="M10" s="834" t="s">
        <v>272</v>
      </c>
      <c r="N10" s="145" t="s">
        <v>272</v>
      </c>
      <c r="O10" s="144" t="s">
        <v>318</v>
      </c>
      <c r="P10" s="1534"/>
      <c r="Q10" s="747" t="s">
        <v>361</v>
      </c>
      <c r="R10" s="577" t="s">
        <v>362</v>
      </c>
      <c r="S10" s="821" t="s">
        <v>359</v>
      </c>
      <c r="T10" s="749" t="s">
        <v>289</v>
      </c>
      <c r="U10" s="107"/>
      <c r="V10" s="140" t="s">
        <v>290</v>
      </c>
      <c r="W10" s="145" t="s">
        <v>291</v>
      </c>
      <c r="X10" s="145" t="s">
        <v>292</v>
      </c>
      <c r="Y10" s="145" t="s">
        <v>293</v>
      </c>
      <c r="Z10" s="145" t="s">
        <v>363</v>
      </c>
      <c r="AA10" s="144" t="s">
        <v>295</v>
      </c>
      <c r="AB10" s="1534"/>
      <c r="AC10" s="140" t="s">
        <v>296</v>
      </c>
      <c r="AD10" s="145" t="s">
        <v>297</v>
      </c>
      <c r="AE10" s="43" t="s">
        <v>298</v>
      </c>
      <c r="AF10" s="42" t="s">
        <v>364</v>
      </c>
      <c r="AG10" s="743" t="s">
        <v>299</v>
      </c>
      <c r="AH10" s="743" t="s">
        <v>365</v>
      </c>
      <c r="AJ10" s="124" t="s">
        <v>301</v>
      </c>
      <c r="AK10" s="124" t="s">
        <v>302</v>
      </c>
      <c r="AL10" s="124" t="s">
        <v>303</v>
      </c>
      <c r="AM10" s="124" t="s">
        <v>304</v>
      </c>
      <c r="AN10" s="124"/>
      <c r="AO10" s="124" t="s">
        <v>301</v>
      </c>
      <c r="AP10" s="124" t="s">
        <v>302</v>
      </c>
      <c r="AQ10" s="124" t="s">
        <v>303</v>
      </c>
      <c r="AR10" s="124"/>
      <c r="AU10" s="30" t="s">
        <v>280</v>
      </c>
      <c r="AY10" s="145" t="s">
        <v>1676</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330</v>
      </c>
      <c r="G259" s="739" t="s">
        <v>366</v>
      </c>
      <c r="H259" s="414">
        <f>IF('Detailed Results'!K40&gt;0,"Error ▲", SUM(H11:H258))</f>
        <v>0</v>
      </c>
      <c r="N259" s="102"/>
      <c r="P259" s="132" t="s">
        <v>367</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306</v>
      </c>
      <c r="H261" s="381">
        <f>IF('Detailed Results'!$K$40&gt;0,"Error",SUMIFS($H$11:$H$256,$G$11:$G$256,"&lt;&gt;"&amp;'G-1 All Habitats'!B80,$G$11:$G$256,"&lt;&gt;"&amp;'G-1 All Habitats'!B81,$G$11:$G$256,"&lt;&gt;"&amp;'G-1 All Habitats'!B67,$G$11:$G$256,"&lt;&gt;"&amp;'G-1 All Habitats'!B68))</f>
        <v>0</v>
      </c>
      <c r="V261" s="1421" t="s">
        <v>368</v>
      </c>
      <c r="W261" s="1422"/>
      <c r="X261" s="1422"/>
      <c r="Y261" s="1423"/>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62" t="s">
        <v>308</v>
      </c>
      <c r="G263" s="36"/>
      <c r="H263" s="730" t="s">
        <v>309</v>
      </c>
      <c r="I263" s="551" t="s">
        <v>310</v>
      </c>
      <c r="J263" s="1416" t="s">
        <v>311</v>
      </c>
      <c r="K263" s="1417"/>
    </row>
    <row r="264" spans="1:51" ht="15.75" thickBot="1">
      <c r="D264" s="102"/>
      <c r="E264" s="102"/>
      <c r="F264" s="1463"/>
      <c r="G264" s="36"/>
      <c r="H264" s="736"/>
      <c r="I264" s="552" t="str">
        <f>IF(H263="Hectares",H264,IF(H263="M²",H264/10000,""))</f>
        <v/>
      </c>
      <c r="J264" s="1418" t="str">
        <f>IF(H263="M²",H264,IF(H263="Hectares",H264*10000,""))</f>
        <v/>
      </c>
      <c r="K264" s="1419"/>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TGKhfM2x5REhw1IYRtMEXNmV0552GWLZ968MEMSPMP4Ci4F6cVHL3n3ajQgYYnlZ5avR9Ft5Vehb+qb1FPXQPQ==" saltValue="NtFI67NDFMAzq7NLAH4XnQ=="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L11:L258">
    <cfRule type="containsText" dxfId="620" priority="126" operator="containsText" text="Not Possible">
      <formula>NOT(ISERROR(SEARCH("Not Possible",L11)))</formula>
    </cfRule>
  </conditionalFormatting>
  <conditionalFormatting sqref="N11:O258">
    <cfRule type="containsText" dxfId="619" priority="78" operator="containsText" text="Spatial">
      <formula>NOT(ISERROR(SEARCH("Spatial",N11)))</formula>
    </cfRule>
  </conditionalFormatting>
  <conditionalFormatting sqref="Z11:Z258">
    <cfRule type="cellIs" dxfId="618" priority="65" operator="equal">
      <formula>"Error in Areas ▲"</formula>
    </cfRule>
    <cfRule type="cellIs" dxfId="617" priority="73" operator="equal">
      <formula>"Unacceptable Loss ⚠"</formula>
    </cfRule>
  </conditionalFormatting>
  <conditionalFormatting sqref="Q11:Q258">
    <cfRule type="cellIs" dxfId="616" priority="70" operator="equal">
      <formula>"Any loss Unacceptable ⚠"</formula>
    </cfRule>
  </conditionalFormatting>
  <conditionalFormatting sqref="Q11:Q258">
    <cfRule type="expression" dxfId="615" priority="72">
      <formula>"p18=""Avoid"""</formula>
    </cfRule>
  </conditionalFormatting>
  <conditionalFormatting sqref="Q11:Q258">
    <cfRule type="cellIs" dxfId="614" priority="71" operator="equal">
      <formula>"Any loss Unacceptable ⚠"</formula>
    </cfRule>
  </conditionalFormatting>
  <conditionalFormatting sqref="Q11:Q258">
    <cfRule type="cellIs" dxfId="613" priority="67" operator="equal">
      <formula>"Any loss Unacceptable ⚠"</formula>
    </cfRule>
  </conditionalFormatting>
  <conditionalFormatting sqref="Q11:Q258">
    <cfRule type="expression" dxfId="612" priority="69">
      <formula>"p18=""Avoid"""</formula>
    </cfRule>
  </conditionalFormatting>
  <conditionalFormatting sqref="Q11:Q258">
    <cfRule type="cellIs" dxfId="611" priority="68" operator="equal">
      <formula>"Any loss Unacceptable ⚠"</formula>
    </cfRule>
  </conditionalFormatting>
  <conditionalFormatting sqref="Q11:Q258">
    <cfRule type="cellIs" dxfId="610" priority="66" operator="equal">
      <formula>"Check Data ⚠"</formula>
    </cfRule>
  </conditionalFormatting>
  <conditionalFormatting sqref="AB11:AB258">
    <cfRule type="cellIs" dxfId="609" priority="74" operator="equal">
      <formula>"No"</formula>
    </cfRule>
    <cfRule type="cellIs" dxfId="608" priority="75" operator="equal">
      <formula>"Yes"</formula>
    </cfRule>
  </conditionalFormatting>
  <conditionalFormatting sqref="AA11:AA258">
    <cfRule type="cellIs" dxfId="607" priority="62" operator="equal">
      <formula>"Alternative Compensation ✓"</formula>
    </cfRule>
    <cfRule type="cellIs" dxfId="606" priority="63" operator="equal">
      <formula>"Error in Areas ▲"</formula>
    </cfRule>
  </conditionalFormatting>
  <conditionalFormatting sqref="AA11:AA258">
    <cfRule type="containsText" dxfId="605" priority="64" operator="containsText" text="Unacceptable">
      <formula>NOT(ISERROR(SEARCH("Unacceptable",AA11)))</formula>
    </cfRule>
  </conditionalFormatting>
  <conditionalFormatting sqref="H259">
    <cfRule type="cellIs" dxfId="604" priority="47" operator="equal">
      <formula>"Error ▲"</formula>
    </cfRule>
  </conditionalFormatting>
  <conditionalFormatting sqref="Q259 S259">
    <cfRule type="cellIs" dxfId="603" priority="46" operator="equal">
      <formula>"Error ▲"</formula>
    </cfRule>
  </conditionalFormatting>
  <conditionalFormatting sqref="V259:AA259">
    <cfRule type="cellIs" dxfId="602" priority="45" operator="equal">
      <formula>"Error ▲"</formula>
    </cfRule>
  </conditionalFormatting>
  <conditionalFormatting sqref="M5">
    <cfRule type="containsText" dxfId="601" priority="43" operator="containsText" text="No">
      <formula>NOT(ISERROR(SEARCH("No",M5)))</formula>
    </cfRule>
    <cfRule type="containsText" dxfId="600" priority="44" operator="containsText" text="Yes">
      <formula>NOT(ISERROR(SEARCH("Yes",M5)))</formula>
    </cfRule>
  </conditionalFormatting>
  <conditionalFormatting sqref="M4">
    <cfRule type="containsText" dxfId="599" priority="4" operator="containsText" text="Error">
      <formula>NOT(ISERROR(SEARCH("Error",M4)))</formula>
    </cfRule>
    <cfRule type="containsText" dxfId="598" priority="5" operator="containsText" text="Check">
      <formula>NOT(ISERROR(SEARCH("Check",M4)))</formula>
    </cfRule>
    <cfRule type="cellIs" dxfId="597" priority="6" operator="equal">
      <formula>0</formula>
    </cfRule>
    <cfRule type="cellIs" dxfId="596" priority="7" operator="lessThan">
      <formula>0</formula>
    </cfRule>
  </conditionalFormatting>
  <conditionalFormatting sqref="M3">
    <cfRule type="containsText" dxfId="595" priority="39" operator="containsText" text="Error">
      <formula>NOT(ISERROR(SEARCH("Error",M3)))</formula>
    </cfRule>
    <cfRule type="containsText" dxfId="594" priority="40" operator="containsText" text="Check">
      <formula>NOT(ISERROR(SEARCH("Check",M3)))</formula>
    </cfRule>
  </conditionalFormatting>
  <conditionalFormatting sqref="O2:Y5">
    <cfRule type="containsText" dxfId="593" priority="38" operator="containsText" text="Check">
      <formula>NOT(ISERROR(SEARCH("Check",O2)))</formula>
    </cfRule>
  </conditionalFormatting>
  <conditionalFormatting sqref="R11:R258">
    <cfRule type="containsText" dxfId="592" priority="36" operator="containsText" text="Existing Value Not Required">
      <formula>NOT(ISERROR(SEARCH("Existing Value Not Required",R11)))</formula>
    </cfRule>
    <cfRule type="containsText" dxfId="591" priority="37" operator="containsText" text="Existing Value Required">
      <formula>NOT(ISERROR(SEARCH("Existing Value Required",R11)))</formula>
    </cfRule>
  </conditionalFormatting>
  <conditionalFormatting sqref="R11:S11 S12:S256 R12:R258">
    <cfRule type="containsText" dxfId="590" priority="32" operator="containsText" text="Check">
      <formula>NOT(ISERROR(SEARCH("Check",R11)))</formula>
    </cfRule>
    <cfRule type="containsText" dxfId="589" priority="33" operator="containsText" text="Error">
      <formula>NOT(ISERROR(SEARCH("Error",R11)))</formula>
    </cfRule>
  </conditionalFormatting>
  <conditionalFormatting sqref="S11:S256">
    <cfRule type="containsText" dxfId="588" priority="31" operator="containsText" text="Spatial">
      <formula>NOT(ISERROR(SEARCH("Spatial",S11)))</formula>
    </cfRule>
  </conditionalFormatting>
  <conditionalFormatting sqref="T11:T258">
    <cfRule type="cellIs" dxfId="587" priority="28" operator="equal">
      <formula>"Any loss Unacceptable ⚠"</formula>
    </cfRule>
  </conditionalFormatting>
  <conditionalFormatting sqref="T11:T258">
    <cfRule type="expression" dxfId="586" priority="30">
      <formula>"p18=""Avoid"""</formula>
    </cfRule>
  </conditionalFormatting>
  <conditionalFormatting sqref="T11:T258">
    <cfRule type="cellIs" dxfId="585" priority="29" operator="equal">
      <formula>"Any loss Unacceptable ⚠"</formula>
    </cfRule>
  </conditionalFormatting>
  <conditionalFormatting sqref="T11:T258">
    <cfRule type="cellIs" dxfId="584" priority="25" operator="equal">
      <formula>"Any loss Unacceptable ⚠"</formula>
    </cfRule>
  </conditionalFormatting>
  <conditionalFormatting sqref="T11:T258">
    <cfRule type="expression" dxfId="583" priority="27">
      <formula>"p18=""Avoid"""</formula>
    </cfRule>
  </conditionalFormatting>
  <conditionalFormatting sqref="T11:T258">
    <cfRule type="cellIs" dxfId="582" priority="26" operator="equal">
      <formula>"Any loss Unacceptable ⚠"</formula>
    </cfRule>
  </conditionalFormatting>
  <conditionalFormatting sqref="T11:T258">
    <cfRule type="cellIs" dxfId="581" priority="24" operator="equal">
      <formula>"Check Data ⚠"</formula>
    </cfRule>
  </conditionalFormatting>
  <conditionalFormatting sqref="T259">
    <cfRule type="cellIs" dxfId="580" priority="23" operator="equal">
      <formula>"Error ▲"</formula>
    </cfRule>
  </conditionalFormatting>
  <conditionalFormatting sqref="S257">
    <cfRule type="containsText" dxfId="579" priority="13" operator="containsText" text="Check">
      <formula>NOT(ISERROR(SEARCH("Check",S257)))</formula>
    </cfRule>
    <cfRule type="containsText" dxfId="578" priority="14" operator="containsText" text="Error">
      <formula>NOT(ISERROR(SEARCH("Error",S257)))</formula>
    </cfRule>
  </conditionalFormatting>
  <conditionalFormatting sqref="S257">
    <cfRule type="containsText" dxfId="577" priority="12" operator="containsText" text="Spatial">
      <formula>NOT(ISERROR(SEARCH("Spatial",S257)))</formula>
    </cfRule>
  </conditionalFormatting>
  <conditionalFormatting sqref="S258">
    <cfRule type="containsText" dxfId="576" priority="10" operator="containsText" text="Check">
      <formula>NOT(ISERROR(SEARCH("Check",S258)))</formula>
    </cfRule>
    <cfRule type="containsText" dxfId="575" priority="11" operator="containsText" text="Error">
      <formula>NOT(ISERROR(SEARCH("Error",S258)))</formula>
    </cfRule>
  </conditionalFormatting>
  <conditionalFormatting sqref="S258">
    <cfRule type="containsText" dxfId="574" priority="9" operator="containsText" text="Spatial">
      <formula>NOT(ISERROR(SEARCH("Spatial",S258)))</formula>
    </cfRule>
  </conditionalFormatting>
  <conditionalFormatting sqref="I6:M8">
    <cfRule type="containsText" dxfId="573" priority="8" operator="containsText" text="⚠">
      <formula>NOT(ISERROR(SEARCH("⚠",I6)))</formula>
    </cfRule>
  </conditionalFormatting>
  <conditionalFormatting sqref="AA11:AA258">
    <cfRule type="containsText" dxfId="572" priority="3" operator="containsText" text="⚠">
      <formula>NOT(ISERROR(SEARCH("⚠",AA11)))</formula>
    </cfRule>
  </conditionalFormatting>
  <conditionalFormatting sqref="AY259">
    <cfRule type="cellIs" dxfId="571" priority="2" operator="equal">
      <formula>"Error ▲"</formula>
    </cfRule>
  </conditionalFormatting>
  <conditionalFormatting sqref="AY2:AY5">
    <cfRule type="containsText" dxfId="570" priority="1" operator="containsText" text="Check">
      <formula>NOT(ISERROR(SEARCH("Check",AY2)))</formula>
    </cfRule>
  </conditionalFormatting>
  <dataValidations count="4">
    <dataValidation allowBlank="1" showErrorMessage="1" errorTitle="Invalid Habitat" error="Select from List" sqref="G11:G258"/>
    <dataValidation type="list" allowBlank="1" showInputMessage="1" showErrorMessage="1" sqref="F11:F258">
      <formula1>INDIRECT(A11)</formula1>
    </dataValidation>
    <dataValidation type="list" allowBlank="1" showInputMessage="1" showErrorMessage="1" sqref="K11:K258">
      <formula1>INDIRECT(B11)</formula1>
    </dataValidation>
    <dataValidation type="list" allowBlank="1" showInputMessage="1" showErrorMessage="1" sqref="H263">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8" operator="equal" id="{4F50D605-E638-4A00-95DA-25AAC11AC10A}">
            <xm:f>'G-1 All Habitats'!$X$6</xm:f>
            <x14:dxf>
              <font>
                <color rgb="FF383745"/>
              </font>
              <fill>
                <patternFill>
                  <bgColor theme="8" tint="0.59996337778862885"/>
                </patternFill>
              </fill>
            </x14:dxf>
          </x14:cfRule>
          <x14:cfRule type="cellIs" priority="175" operator="equal" id="{94CF483F-3A53-4751-BC79-DEF0528327DD}">
            <xm:f>'G-1 All Habitats'!$X$5</xm:f>
            <x14:dxf>
              <font>
                <color rgb="FF383745"/>
              </font>
              <fill>
                <patternFill>
                  <bgColor theme="8" tint="-0.24994659260841701"/>
                </patternFill>
              </fill>
            </x14:dxf>
          </x14:cfRule>
          <x14:cfRule type="cellIs" priority="176" operator="equal" id="{B81E5FD8-88ED-479F-9E97-AEE295FEDC63}">
            <xm:f>'G-1 All Habitats'!$X$4</xm:f>
            <x14:dxf>
              <font>
                <color rgb="FF383745"/>
              </font>
              <fill>
                <patternFill>
                  <bgColor theme="6"/>
                </patternFill>
              </fill>
            </x14:dxf>
          </x14:cfRule>
          <x14:cfRule type="cellIs" priority="177"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29" operator="lessThan" id="{C9331F0E-1C51-4161-85A4-3D4B30E59263}">
            <xm:f>Start!$F$22</xm:f>
            <x14:dxf>
              <font>
                <color rgb="FF383745"/>
              </font>
              <fill>
                <patternFill>
                  <bgColor rgb="FFFFC000"/>
                </patternFill>
              </fill>
            </x14:dxf>
          </x14:cfRule>
          <x14:cfRule type="cellIs" priority="430"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M11:M258</xm:sqref>
        </x14:dataValidation>
        <x14:dataValidation type="list" allowBlank="1" showInputMessage="1" showErrorMessage="1">
          <x14:formula1>
            <xm:f>'G-1 All Habitats'!$AD$3:$AD$4</xm:f>
          </x14:formula1>
          <xm:sqref>AB11:AB258</xm:sqref>
        </x14:dataValidation>
        <x14:dataValidation type="list" allowBlank="1" showInputMessage="1" showErrorMessage="1">
          <x14:formula1>
            <xm:f>'G-1 All Habitats'!$AF$3:$AF$17</xm:f>
          </x14:formula1>
          <xm:sqref>E11:E258</xm:sqref>
        </x14:dataValidation>
        <x14:dataValidation type="list" allowBlank="1" showInputMessage="1" showErrorMessage="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6600"/>
  </sheetPr>
  <dimension ref="A1:AJ270"/>
  <sheetViews>
    <sheetView showGridLines="0" topLeftCell="D1" zoomScale="80" zoomScaleNormal="80" workbookViewId="0">
      <pane ySplit="10" topLeftCell="A11" activePane="bottomLeft" state="frozen"/>
      <selection pane="bottomLeft" activeCell="D1" sqref="D1"/>
    </sheetView>
  </sheetViews>
  <sheetFormatPr defaultColWidth="8.7109375" defaultRowHeight="0" customHeight="1" zeroHeight="1"/>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16" t="str">
        <f>CONCATENATE("Project Name:", " ", Start!F12, "     ", "Map Reference:", " ", Start!K66)</f>
        <v xml:space="preserve">Project Name: Barnsley West Commerical     Map Reference: </v>
      </c>
      <c r="E2" s="1517"/>
      <c r="G2" s="895">
        <v>0.01</v>
      </c>
      <c r="H2" s="1546" t="s">
        <v>263</v>
      </c>
      <c r="I2" s="1547"/>
      <c r="J2" s="1547"/>
      <c r="K2" s="1547"/>
      <c r="L2" s="1548"/>
      <c r="O2" s="1460" t="str">
        <f>IF(OR(COUNTIF($O$11:O256,"*30+*")&gt;0,COUNTIF($S$11:S256,"*30+*")&gt;0),"Note; Habitat selected has a time to target condition greater than 30 years. Non standard agreement may be required. ⚠","")</f>
        <v/>
      </c>
      <c r="P2" s="1460"/>
      <c r="Q2" s="1460"/>
      <c r="R2" s="1460"/>
      <c r="S2" s="1460"/>
      <c r="T2" s="1460"/>
      <c r="U2" s="1515" t="str" cm="1">
        <f t="array" ref="U2">IF(OR(J11:J256 = "Fairly Good", J11:J256 = "Fairly Poor"),"A 'Fairly' Category has been used - check evidence to ensure this is appropriate ⚠", "")</f>
        <v/>
      </c>
      <c r="V2" s="1515"/>
      <c r="W2" s="1515"/>
      <c r="X2" s="1515"/>
      <c r="Y2" s="1515"/>
    </row>
    <row r="3" spans="1:32" ht="19.899999999999999" customHeight="1">
      <c r="D3" s="1509" t="str">
        <f ca="1">MID(CELL("filename",C1),FIND("]",CELL("filename",C1))+1,256)</f>
        <v>D-2 Off-Site Habitat Creation</v>
      </c>
      <c r="E3" s="1510"/>
      <c r="G3" s="197"/>
      <c r="H3" s="1491" t="s">
        <v>264</v>
      </c>
      <c r="I3" s="1493"/>
      <c r="J3" s="1493"/>
      <c r="K3" s="1519"/>
      <c r="L3" s="512">
        <f>'Headline Results'!H47</f>
        <v>24.211490082272675</v>
      </c>
      <c r="M3" s="35"/>
      <c r="N3" s="35"/>
      <c r="O3" s="1460"/>
      <c r="P3" s="1460"/>
      <c r="Q3" s="1460"/>
      <c r="R3" s="1460"/>
      <c r="S3" s="1460"/>
      <c r="T3" s="1460"/>
      <c r="U3" s="1515"/>
      <c r="V3" s="1515"/>
      <c r="W3" s="1515"/>
      <c r="X3" s="1515"/>
      <c r="Y3" s="1515"/>
    </row>
    <row r="4" spans="1:32" ht="15.75" customHeight="1" thickBot="1">
      <c r="D4" s="1512"/>
      <c r="E4" s="1513"/>
      <c r="G4" s="197"/>
      <c r="H4" s="1520" t="s">
        <v>266</v>
      </c>
      <c r="I4" s="1521"/>
      <c r="J4" s="1521"/>
      <c r="K4" s="1522"/>
      <c r="L4" s="513">
        <f>'Headline Results'!H51</f>
        <v>0.22331314528416341</v>
      </c>
      <c r="M4" s="41"/>
      <c r="N4" s="35"/>
      <c r="O4" s="310"/>
      <c r="P4" s="310"/>
      <c r="Q4" s="310"/>
      <c r="R4" s="310"/>
      <c r="S4" s="310"/>
      <c r="U4" s="1515"/>
      <c r="V4" s="1515"/>
      <c r="W4" s="1515"/>
      <c r="X4" s="1515"/>
      <c r="Y4" s="1515"/>
    </row>
    <row r="5" spans="1:32" ht="29.45" customHeight="1">
      <c r="H5" s="1520" t="s">
        <v>268</v>
      </c>
      <c r="I5" s="1521"/>
      <c r="J5" s="1521"/>
      <c r="K5" s="1522"/>
      <c r="L5" s="514" t="str" cm="1">
        <f t="array" ref="L5">IF(OR('Trading Summary Area Habitats'!G5:G8="No ▲"), "No - check trading summaries ▲", "Yes ✓")</f>
        <v>No - check trading summaries ▲</v>
      </c>
      <c r="M5" s="199"/>
      <c r="N5" s="190"/>
      <c r="O5" s="1494"/>
      <c r="P5" s="1494"/>
      <c r="Q5" s="1494"/>
      <c r="R5" s="1494"/>
      <c r="S5" s="1494"/>
      <c r="T5" s="1494"/>
      <c r="U5" s="1515"/>
      <c r="V5" s="1515"/>
      <c r="W5" s="1515"/>
      <c r="X5" s="1515"/>
      <c r="Y5" s="1515"/>
    </row>
    <row r="6" spans="1:32" ht="44.1" customHeight="1" thickBot="1">
      <c r="H6" s="1479" t="s">
        <v>1678</v>
      </c>
      <c r="I6" s="1480"/>
      <c r="J6" s="1480"/>
      <c r="K6" s="1481"/>
      <c r="L6" s="48" t="str">
        <f>IF(ABS('D-1 Off-Site Habitat Baseline'!Z261 - G259)&lt;=G2,  "Area Acceptable 🗸", "Error - Area created does not equal area lost ▲")</f>
        <v>Area Acceptable 🗸</v>
      </c>
      <c r="M6" s="509"/>
      <c r="N6" s="509"/>
      <c r="O6" s="1494"/>
      <c r="P6" s="1494"/>
      <c r="Q6" s="1494"/>
      <c r="R6" s="1494"/>
      <c r="S6" s="1494"/>
      <c r="T6" s="1494"/>
      <c r="U6" s="1550" t="str" cm="1">
        <f t="array" ref="U6">IF(OR(E11:E258="watercourse footprint"),"Please ensure the watercourse details for any watercourse footprints recorded are included in the watercourse tabs ⚠", "")</f>
        <v/>
      </c>
      <c r="V6" s="1550"/>
      <c r="W6" s="1550"/>
      <c r="X6" s="1550"/>
    </row>
    <row r="7" spans="1:32" ht="15.75" thickBot="1"/>
    <row r="8" spans="1:32" ht="26.45" customHeight="1" thickBot="1">
      <c r="D8" s="1539" t="s">
        <v>312</v>
      </c>
      <c r="E8" s="1540"/>
      <c r="F8" s="1540"/>
      <c r="G8" s="1540"/>
      <c r="H8" s="1540"/>
      <c r="I8" s="1540"/>
      <c r="J8" s="1540"/>
      <c r="K8" s="1540"/>
      <c r="L8" s="1540"/>
      <c r="M8" s="1540"/>
      <c r="N8" s="1540"/>
      <c r="O8" s="1540"/>
      <c r="P8" s="1540"/>
      <c r="Q8" s="1540"/>
      <c r="R8" s="1540"/>
      <c r="S8" s="1540"/>
      <c r="T8" s="1540"/>
      <c r="U8" s="1540"/>
      <c r="V8" s="1540"/>
      <c r="W8" s="1540"/>
      <c r="X8" s="1541"/>
    </row>
    <row r="9" spans="1:32" s="33" customFormat="1" ht="27.6" customHeight="1" thickBot="1">
      <c r="B9" s="30"/>
      <c r="C9" s="30"/>
      <c r="D9" s="1312" t="s">
        <v>283</v>
      </c>
      <c r="E9" s="1314" t="s">
        <v>314</v>
      </c>
      <c r="F9" s="1314" t="s">
        <v>314</v>
      </c>
      <c r="G9" s="1536" t="s">
        <v>286</v>
      </c>
      <c r="H9" s="1312" t="s">
        <v>270</v>
      </c>
      <c r="I9" s="1310" t="s">
        <v>287</v>
      </c>
      <c r="J9" s="1543" t="s">
        <v>271</v>
      </c>
      <c r="K9" s="1310" t="s">
        <v>287</v>
      </c>
      <c r="L9" s="1549" t="s">
        <v>272</v>
      </c>
      <c r="M9" s="1549"/>
      <c r="N9" s="1549"/>
      <c r="O9" s="1549" t="s">
        <v>337</v>
      </c>
      <c r="P9" s="1549"/>
      <c r="Q9" s="1549"/>
      <c r="R9" s="1549"/>
      <c r="S9" s="1549"/>
      <c r="T9" s="1549"/>
      <c r="U9" s="1549" t="s">
        <v>338</v>
      </c>
      <c r="V9" s="1549"/>
      <c r="W9" s="1549"/>
      <c r="X9" s="1549"/>
      <c r="Y9" s="1532" t="s">
        <v>359</v>
      </c>
      <c r="Z9" s="1545"/>
      <c r="AA9" s="1545" t="s">
        <v>369</v>
      </c>
      <c r="AB9" s="1531" t="s">
        <v>317</v>
      </c>
      <c r="AC9" s="1529" t="s">
        <v>277</v>
      </c>
      <c r="AD9" s="1530"/>
      <c r="AE9" s="30"/>
      <c r="AF9" s="30"/>
    </row>
    <row r="10" spans="1:32" ht="57" customHeight="1" thickBot="1">
      <c r="A10" s="101" t="s">
        <v>281</v>
      </c>
      <c r="C10" s="30" t="s">
        <v>370</v>
      </c>
      <c r="D10" s="1535"/>
      <c r="E10" s="1538"/>
      <c r="F10" s="1538"/>
      <c r="G10" s="1537"/>
      <c r="H10" s="1535"/>
      <c r="I10" s="1542"/>
      <c r="J10" s="1544"/>
      <c r="K10" s="1542"/>
      <c r="L10" s="668" t="s">
        <v>272</v>
      </c>
      <c r="M10" s="840" t="s">
        <v>272</v>
      </c>
      <c r="N10" s="667" t="s">
        <v>318</v>
      </c>
      <c r="O10" s="668" t="s">
        <v>319</v>
      </c>
      <c r="P10" s="840" t="s">
        <v>371</v>
      </c>
      <c r="Q10" s="840" t="s">
        <v>321</v>
      </c>
      <c r="R10" s="840" t="s">
        <v>322</v>
      </c>
      <c r="S10" s="840" t="s">
        <v>323</v>
      </c>
      <c r="T10" s="667" t="s">
        <v>324</v>
      </c>
      <c r="U10" s="668" t="s">
        <v>325</v>
      </c>
      <c r="V10" s="840" t="s">
        <v>326</v>
      </c>
      <c r="W10" s="840" t="s">
        <v>327</v>
      </c>
      <c r="X10" s="667" t="s">
        <v>328</v>
      </c>
      <c r="Y10" s="853" t="s">
        <v>362</v>
      </c>
      <c r="Z10" s="821" t="s">
        <v>359</v>
      </c>
      <c r="AA10" s="1532"/>
      <c r="AB10" s="1534"/>
      <c r="AC10" s="214" t="s">
        <v>296</v>
      </c>
      <c r="AD10" s="748" t="s">
        <v>297</v>
      </c>
      <c r="AE10" s="682" t="s">
        <v>298</v>
      </c>
      <c r="AF10" s="682" t="s">
        <v>364</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330</v>
      </c>
      <c r="F257" s="261" t="s">
        <v>331</v>
      </c>
      <c r="G257" s="403">
        <f>SUM(G11:G256)</f>
        <v>0</v>
      </c>
      <c r="T257" s="133"/>
      <c r="U257" s="133"/>
      <c r="V257" s="133"/>
      <c r="W257" s="133"/>
      <c r="X257" s="133"/>
      <c r="Y257" s="133"/>
      <c r="Z257" s="740" t="s">
        <v>332</v>
      </c>
      <c r="AA257" s="344">
        <f>SUM(AA11:AA256)</f>
        <v>0</v>
      </c>
      <c r="AB257" s="414">
        <f>SUM(AB11:AB256)</f>
        <v>0</v>
      </c>
    </row>
    <row r="258" spans="5:28" ht="15.75" thickBot="1"/>
    <row r="259" spans="5:28" ht="15.75" thickBot="1">
      <c r="E259" s="511" t="s">
        <v>306</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62" t="s">
        <v>308</v>
      </c>
      <c r="F261" s="36"/>
      <c r="G261" s="554" t="s">
        <v>309</v>
      </c>
      <c r="H261" s="551" t="s">
        <v>310</v>
      </c>
      <c r="I261" s="1416" t="s">
        <v>311</v>
      </c>
      <c r="J261" s="1417"/>
    </row>
    <row r="262" spans="5:28" ht="15.75" thickBot="1">
      <c r="E262" s="1463"/>
      <c r="F262" s="36"/>
      <c r="G262" s="553"/>
      <c r="H262" s="552" t="str">
        <f>IF(G261="Hectares",G262,IF(G261="M²",G262/10000,""))</f>
        <v/>
      </c>
      <c r="I262" s="1418" t="str">
        <f>IF(G261="M²",G262,IF(G261="Hectares",G262*10000,""))</f>
        <v/>
      </c>
      <c r="J262" s="1419"/>
    </row>
    <row r="263" spans="5:28" ht="15"/>
    <row r="264" spans="5:28" ht="15" hidden="1">
      <c r="T264" s="30" t="s">
        <v>372</v>
      </c>
      <c r="U264" s="30" t="s">
        <v>372</v>
      </c>
      <c r="X264" s="30" t="s">
        <v>372</v>
      </c>
      <c r="AA264" s="30" t="s">
        <v>372</v>
      </c>
    </row>
    <row r="265" spans="5:28" ht="15" hidden="1">
      <c r="T265" s="30" t="s">
        <v>372</v>
      </c>
      <c r="U265" s="30" t="s">
        <v>372</v>
      </c>
      <c r="X265" s="30" t="s">
        <v>372</v>
      </c>
      <c r="AA265" s="30" t="s">
        <v>372</v>
      </c>
    </row>
    <row r="266" spans="5:28" ht="15" hidden="1"/>
    <row r="267" spans="5:28" ht="15" hidden="1"/>
    <row r="268" spans="5:28" ht="15" hidden="1"/>
    <row r="269" spans="5:28" ht="15" hidden="1"/>
    <row r="270" spans="5:28" ht="15" hidden="1"/>
  </sheetData>
  <sheetProtection algorithmName="SHA-512" hashValue="V/aVLmsqVPykBSzmP0gLQbE34xHZlaDrqJNN7JKTJ2P3a80Nu60mQXMMIJoMsMpwBO8AjxSAPaYhUnKiLmxkrA==" saltValue="Egb4GQ/bi5h3KOog5DH4EA=="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Y11:Y256">
    <cfRule type="containsText" dxfId="563" priority="54" operator="containsText" text="Existing Value Not Required">
      <formula>NOT(ISERROR(SEARCH("Existing Value Not Required",Y11)))</formula>
    </cfRule>
    <cfRule type="containsText" dxfId="562" priority="55" operator="containsText" text="Existing Value Required">
      <formula>NOT(ISERROR(SEARCH("Existing Value Required",Y11)))</formula>
    </cfRule>
  </conditionalFormatting>
  <conditionalFormatting sqref="K11:K256">
    <cfRule type="containsText" dxfId="561" priority="53" operator="containsText" text="Not Possible">
      <formula>NOT(ISERROR(SEARCH("Not Possible",K11)))</formula>
    </cfRule>
  </conditionalFormatting>
  <conditionalFormatting sqref="Y12 Y24:Y256 Y14 Y16 Y18 Y20 Y22">
    <cfRule type="containsText" dxfId="560" priority="48" operator="containsText" text="Existing Value Not Required">
      <formula>NOT(ISERROR(SEARCH("Existing Value Not Required",Y12)))</formula>
    </cfRule>
    <cfRule type="containsText" dxfId="559" priority="49" operator="containsText" text="Existing Value Required">
      <formula>NOT(ISERROR(SEARCH("Existing Value Required",Y12)))</formula>
    </cfRule>
  </conditionalFormatting>
  <conditionalFormatting sqref="AA257:AB257 AA11:AA256">
    <cfRule type="containsText" dxfId="558" priority="44" operator="containsText" text="Existing Value Not Required">
      <formula>NOT(ISERROR(SEARCH("Existing Value Not Required",AA11)))</formula>
    </cfRule>
    <cfRule type="containsText" dxfId="557" priority="45" operator="containsText" text="Existing Value Required">
      <formula>NOT(ISERROR(SEARCH("Existing Value Required",AA11)))</formula>
    </cfRule>
  </conditionalFormatting>
  <conditionalFormatting sqref="M11:N256">
    <cfRule type="containsText" dxfId="556" priority="41" operator="containsText" text="Spatial ">
      <formula>NOT(ISERROR(SEARCH("Spatial ",M11)))</formula>
    </cfRule>
  </conditionalFormatting>
  <conditionalFormatting sqref="O11:O256">
    <cfRule type="containsText" dxfId="555" priority="40" operator="containsText" text="30+">
      <formula>NOT(ISERROR(SEARCH("30+",O11)))</formula>
    </cfRule>
  </conditionalFormatting>
  <conditionalFormatting sqref="Y11:AA11 AA257:AB257 AA11:AA256 Y12:Z256">
    <cfRule type="containsText" dxfId="554" priority="37" operator="containsText" text="Check">
      <formula>NOT(ISERROR(SEARCH("Check",Y11)))</formula>
    </cfRule>
    <cfRule type="containsText" dxfId="553" priority="38" operator="containsText" text="Error">
      <formula>NOT(ISERROR(SEARCH("Error",Y11)))</formula>
    </cfRule>
  </conditionalFormatting>
  <conditionalFormatting sqref="Z11:Z256">
    <cfRule type="containsText" dxfId="552" priority="36" operator="containsText" text="Spatial">
      <formula>NOT(ISERROR(SEARCH("Spatial",Z11)))</formula>
    </cfRule>
  </conditionalFormatting>
  <conditionalFormatting sqref="O2 O5 S4">
    <cfRule type="beginsWith" dxfId="551" priority="34" operator="beginsWith" text="Note">
      <formula>LEFT(O2,LEN("Note"))="Note"</formula>
    </cfRule>
  </conditionalFormatting>
  <conditionalFormatting sqref="O5">
    <cfRule type="containsText" dxfId="550" priority="33" operator="containsText" text="Check">
      <formula>NOT(ISERROR(SEARCH("Check",O5)))</formula>
    </cfRule>
  </conditionalFormatting>
  <conditionalFormatting sqref="S11:S256">
    <cfRule type="containsText" dxfId="549" priority="32" operator="containsText" text="30+">
      <formula>NOT(ISERROR(SEARCH("30+",S11)))</formula>
    </cfRule>
  </conditionalFormatting>
  <conditionalFormatting sqref="V11:V256">
    <cfRule type="containsText" dxfId="548" priority="30" operator="containsText" text="No - Low Difficulty">
      <formula>NOT(ISERROR(SEARCH("No - Low Difficulty",V11)))</formula>
    </cfRule>
  </conditionalFormatting>
  <conditionalFormatting sqref="R11:X11 S11:S255 R12:W256">
    <cfRule type="containsText" dxfId="547" priority="29" operator="containsText" text="Error">
      <formula>NOT(ISERROR(SEARCH("Error",R11)))</formula>
    </cfRule>
    <cfRule type="containsText" dxfId="546" priority="31" operator="containsText" text="Check">
      <formula>NOT(ISERROR(SEARCH("Check",R11)))</formula>
    </cfRule>
  </conditionalFormatting>
  <conditionalFormatting sqref="X12:X256">
    <cfRule type="containsText" dxfId="545" priority="19" operator="containsText" text="Error">
      <formula>NOT(ISERROR(SEARCH("Error",X12)))</formula>
    </cfRule>
    <cfRule type="containsText" dxfId="544" priority="20" operator="containsText" text="Check">
      <formula>NOT(ISERROR(SEARCH("Check",X12)))</formula>
    </cfRule>
  </conditionalFormatting>
  <conditionalFormatting sqref="L3">
    <cfRule type="containsText" dxfId="543" priority="17" operator="containsText" text="Error">
      <formula>NOT(ISERROR(SEARCH("Error",L3)))</formula>
    </cfRule>
    <cfRule type="containsText" dxfId="542" priority="18" operator="containsText" text="Check">
      <formula>NOT(ISERROR(SEARCH("Check",L3)))</formula>
    </cfRule>
  </conditionalFormatting>
  <conditionalFormatting sqref="L4">
    <cfRule type="containsText" dxfId="541" priority="1" operator="containsText" text="Error">
      <formula>NOT(ISERROR(SEARCH("Error",L4)))</formula>
    </cfRule>
    <cfRule type="containsText" dxfId="540" priority="2" operator="containsText" text="Check">
      <formula>NOT(ISERROR(SEARCH("Check",L4)))</formula>
    </cfRule>
    <cfRule type="cellIs" dxfId="539" priority="3" operator="equal">
      <formula>0</formula>
    </cfRule>
  </conditionalFormatting>
  <conditionalFormatting sqref="L5">
    <cfRule type="containsText" dxfId="538" priority="13" operator="containsText" text="No">
      <formula>NOT(ISERROR(SEARCH("No",L5)))</formula>
    </cfRule>
    <cfRule type="containsText" dxfId="537" priority="14" operator="containsText" text="Yes">
      <formula>NOT(ISERROR(SEARCH("Yes",L5)))</formula>
    </cfRule>
  </conditionalFormatting>
  <conditionalFormatting sqref="L6:N6">
    <cfRule type="containsText" dxfId="536" priority="11" operator="containsText" text=" 🗸">
      <formula>NOT(ISERROR(SEARCH(" 🗸",L6)))</formula>
    </cfRule>
    <cfRule type="containsText" dxfId="535" priority="12" operator="containsText" text="▲">
      <formula>NOT(ISERROR(SEARCH("▲",L6)))</formula>
    </cfRule>
  </conditionalFormatting>
  <conditionalFormatting sqref="U2:Y5">
    <cfRule type="containsText" dxfId="534" priority="10" operator="containsText" text="Check">
      <formula>NOT(ISERROR(SEARCH("Check",U2)))</formula>
    </cfRule>
  </conditionalFormatting>
  <conditionalFormatting sqref="AB11:AB256">
    <cfRule type="containsText" dxfId="533" priority="8" operator="containsText" text="Existing Value Not Required">
      <formula>NOT(ISERROR(SEARCH("Existing Value Not Required",AB11)))</formula>
    </cfRule>
    <cfRule type="containsText" dxfId="532" priority="9" operator="containsText" text="Existing Value Required">
      <formula>NOT(ISERROR(SEARCH("Existing Value Required",AB11)))</formula>
    </cfRule>
  </conditionalFormatting>
  <conditionalFormatting sqref="AB11:AB256">
    <cfRule type="containsText" dxfId="531" priority="6" operator="containsText" text="Check">
      <formula>NOT(ISERROR(SEARCH("Check",AB11)))</formula>
    </cfRule>
    <cfRule type="containsText" dxfId="530" priority="7" operator="containsText" text="Error">
      <formula>NOT(ISERROR(SEARCH("Error",AB11)))</formula>
    </cfRule>
  </conditionalFormatting>
  <conditionalFormatting sqref="U6:X6">
    <cfRule type="containsText" dxfId="529" priority="5" operator="containsText" text=" ⚠">
      <formula>NOT(ISERROR(SEARCH(" ⚠",U6)))</formula>
    </cfRule>
  </conditionalFormatting>
  <conditionalFormatting sqref="L4">
    <cfRule type="cellIs" dxfId="528" priority="428" operator="lessThan">
      <formula>0</formula>
    </cfRule>
  </conditionalFormatting>
  <dataValidations count="4">
    <dataValidation type="list" allowBlank="1" showInputMessage="1" showErrorMessage="1" sqref="E11:E256">
      <formula1>INDIRECT(C11)</formula1>
    </dataValidation>
    <dataValidation allowBlank="1" showErrorMessage="1" errorTitle="Invalid Habitat" error="Select from List" sqref="F11:F256"/>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2"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1"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29" operator="lessThan" id="{9FB64BC4-5452-406E-BB69-69551A90F2C1}">
            <xm:f>Start!$F$22</xm:f>
            <x14:dxf>
              <font>
                <color rgb="FF383745"/>
              </font>
              <fill>
                <patternFill>
                  <bgColor rgb="FFFFC000"/>
                </patternFill>
              </fill>
            </x14:dxf>
          </x14:cfRule>
          <x14:cfRule type="cellIs" priority="430"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multipliers'!$A$42:$A$75</xm:f>
          </x14:formula1>
          <xm:sqref>Q11:Q256</xm:sqref>
        </x14:dataValidation>
        <x14:dataValidation type="list" allowBlank="1" showInputMessage="1" showErrorMessage="1">
          <x14:formula1>
            <xm:f>'G-4 Temporal multipliers'!$A$42:$A$73</xm:f>
          </x14:formula1>
          <xm:sqref>P11:P256</xm:sqref>
        </x14:dataValidation>
        <x14:dataValidation type="list" allowBlank="1" showInputMessage="1" showErrorMessage="1">
          <x14:formula1>
            <xm:f>'G-1 All Habitats'!$AF$3:$AF$17</xm:f>
          </x14:formula1>
          <xm:sqref>D11:D256</xm:sqref>
        </x14:dataValidation>
        <x14:dataValidation type="list" allowBlank="1" showInputMessage="1" showErrorMessage="1">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85546875" defaultRowHeight="15" zeroHeight="1"/>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row r="2" spans="1:47" ht="19.899999999999999" customHeight="1" thickBot="1">
      <c r="E2" s="1551" t="str">
        <f>CONCATENATE("Project Name:", " ", Start!F12, "     ", "Map Reference:", " ", Start!K66)</f>
        <v xml:space="preserve">Project Name: Barnsley West Commerical     Map Reference: </v>
      </c>
      <c r="F2" s="1552"/>
      <c r="G2" s="1553"/>
      <c r="R2" s="1401" t="s">
        <v>263</v>
      </c>
      <c r="S2" s="1402"/>
      <c r="T2" s="1402"/>
      <c r="U2" s="1403"/>
      <c r="V2" s="1515" t="str" cm="1">
        <f t="array" ref="V2">IF(OR(Y12:Y258 = "Fairly Good", Y12:Y258 = "Fairly Poor"),"A 'Fairly' Category has been used - check evidence to ensure this is appropriate ⚠", "")</f>
        <v/>
      </c>
      <c r="W2" s="1515"/>
      <c r="X2" s="1515"/>
      <c r="Y2" s="1515"/>
      <c r="Z2" s="1515"/>
      <c r="AA2" s="1515"/>
      <c r="AD2" s="1461" t="str">
        <f>IF(OR(COUNTIF($AD$12:AD257,"*30+*")&gt;0,COUNTIF(AH12:AH257,"*30+*")&gt;0),"Note; Habitat selected has a time to target condition greater than 30 years. Non standard agreement may be required. ⚠","")</f>
        <v/>
      </c>
      <c r="AE2" s="1461"/>
      <c r="AF2" s="1461"/>
      <c r="AG2" s="1461"/>
      <c r="AH2" s="1461"/>
      <c r="AI2" s="1461"/>
    </row>
    <row r="3" spans="1:47" ht="15.75" customHeight="1" thickBot="1">
      <c r="E3" s="1554" t="str">
        <f ca="1">MID(CELL("filename",E1),FIND("]",CELL("filename",E1))+1,256)</f>
        <v>D-3 Off-Site Habitat Enhancment</v>
      </c>
      <c r="F3" s="1555"/>
      <c r="G3" s="1556"/>
      <c r="R3" s="535" t="s">
        <v>264</v>
      </c>
      <c r="S3" s="505"/>
      <c r="T3" s="1498">
        <f>'Headline Results'!H47</f>
        <v>24.211490082272675</v>
      </c>
      <c r="U3" s="1499"/>
      <c r="V3" s="1515"/>
      <c r="W3" s="1515"/>
      <c r="X3" s="1515"/>
      <c r="Y3" s="1515"/>
      <c r="Z3" s="1515"/>
      <c r="AA3" s="1515"/>
      <c r="AD3" s="1461"/>
      <c r="AE3" s="1461"/>
      <c r="AF3" s="1461"/>
      <c r="AG3" s="1461"/>
      <c r="AH3" s="1461"/>
      <c r="AI3" s="1461"/>
    </row>
    <row r="4" spans="1:47" ht="15.75" customHeight="1" thickBot="1">
      <c r="E4" s="1554"/>
      <c r="F4" s="1555"/>
      <c r="G4" s="1556"/>
      <c r="R4" s="506" t="s">
        <v>266</v>
      </c>
      <c r="S4" s="507"/>
      <c r="T4" s="1574">
        <f>'Headline Results'!H51</f>
        <v>0.22331314528416341</v>
      </c>
      <c r="U4" s="1575"/>
      <c r="V4" s="1515"/>
      <c r="W4" s="1515"/>
      <c r="X4" s="1515"/>
      <c r="Y4" s="1515"/>
      <c r="Z4" s="1515"/>
      <c r="AA4" s="1515"/>
      <c r="AB4" s="31"/>
      <c r="AC4" s="158"/>
      <c r="AD4" s="331"/>
      <c r="AE4" s="331"/>
      <c r="AF4" s="331"/>
      <c r="AG4" s="331"/>
      <c r="AH4" s="158"/>
      <c r="AI4" s="158"/>
      <c r="AJ4" s="158"/>
      <c r="AK4" s="158"/>
      <c r="AL4" s="158"/>
      <c r="AM4" s="158"/>
      <c r="AN4" s="158"/>
    </row>
    <row r="5" spans="1:47" ht="15" customHeight="1" thickBot="1">
      <c r="R5" s="536" t="s">
        <v>268</v>
      </c>
      <c r="S5" s="508"/>
      <c r="T5" s="1576" t="str" cm="1">
        <f t="array" ref="T5">IF(OR('Trading Summary Area Habitats'!G5:G8="No ▲"), "No - check trading summaries ▲", "Yes ✓")</f>
        <v>No - check trading summaries ▲</v>
      </c>
      <c r="U5" s="1577"/>
      <c r="V5" s="1515"/>
      <c r="W5" s="1515"/>
      <c r="X5" s="1515"/>
      <c r="Y5" s="1515"/>
      <c r="Z5" s="1515"/>
      <c r="AA5" s="1515"/>
      <c r="AD5" s="1494" t="str">
        <f>IF(Q12&lt;&gt;A12,"Change in broad habitat type detected. Check compliance with guidance.","")</f>
        <v/>
      </c>
      <c r="AE5" s="1494"/>
      <c r="AF5" s="1494"/>
      <c r="AG5" s="1494"/>
      <c r="AH5" s="1494"/>
      <c r="AI5" s="1494"/>
    </row>
    <row r="6" spans="1:47" ht="15.75" customHeight="1">
      <c r="R6" s="1550" t="str" cm="1">
        <f t="array" ref="R6">IF(OR(E11:E258="watercourse footprint"),"Please ensure the watercourse details for any watercourse footprints recorded are included in the watercourse tabs ⚠","")</f>
        <v/>
      </c>
      <c r="S6" s="1550"/>
      <c r="T6" s="1550"/>
      <c r="AD6" s="1494"/>
      <c r="AE6" s="1494"/>
      <c r="AF6" s="1494"/>
      <c r="AG6" s="1494"/>
      <c r="AH6" s="1494"/>
      <c r="AI6" s="1494"/>
    </row>
    <row r="7" spans="1:47">
      <c r="F7" s="102"/>
      <c r="G7" s="101"/>
      <c r="R7" s="1550"/>
      <c r="S7" s="1550"/>
      <c r="T7" s="1550"/>
    </row>
    <row r="8" spans="1:47" ht="15.75" thickBot="1">
      <c r="R8" s="1578"/>
      <c r="S8" s="1578"/>
      <c r="T8" s="1578"/>
    </row>
    <row r="9" spans="1:47" ht="15.75" thickBot="1">
      <c r="F9" s="101"/>
      <c r="G9" s="101"/>
      <c r="H9" s="101"/>
      <c r="I9" s="101"/>
      <c r="J9" s="101"/>
      <c r="K9" s="101"/>
      <c r="L9" s="101"/>
      <c r="M9" s="101"/>
      <c r="N9" s="101"/>
      <c r="O9" s="101"/>
      <c r="P9" s="101"/>
      <c r="Q9" s="1539" t="s">
        <v>312</v>
      </c>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1"/>
    </row>
    <row r="10" spans="1:47" ht="30.6" customHeight="1" thickBot="1">
      <c r="F10" s="1557" t="s">
        <v>333</v>
      </c>
      <c r="G10" s="1559"/>
      <c r="H10" s="1559"/>
      <c r="I10" s="1559"/>
      <c r="J10" s="1559"/>
      <c r="K10" s="1559"/>
      <c r="L10" s="1559"/>
      <c r="M10" s="1559"/>
      <c r="N10" s="1559"/>
      <c r="O10" s="1560"/>
      <c r="P10" s="183"/>
      <c r="Q10" s="1557" t="s">
        <v>373</v>
      </c>
      <c r="R10" s="1560"/>
      <c r="S10" s="751"/>
      <c r="T10" s="1557" t="s">
        <v>335</v>
      </c>
      <c r="U10" s="1560"/>
      <c r="V10" s="1568" t="s">
        <v>374</v>
      </c>
      <c r="W10" s="1565" t="s">
        <v>270</v>
      </c>
      <c r="X10" s="1565" t="s">
        <v>287</v>
      </c>
      <c r="Y10" s="1565" t="s">
        <v>271</v>
      </c>
      <c r="Z10" s="1563" t="s">
        <v>287</v>
      </c>
      <c r="AA10" s="1561" t="s">
        <v>272</v>
      </c>
      <c r="AB10" s="1562"/>
      <c r="AC10" s="1558"/>
      <c r="AD10" s="1570" t="s">
        <v>315</v>
      </c>
      <c r="AE10" s="1571"/>
      <c r="AF10" s="1571"/>
      <c r="AG10" s="1571"/>
      <c r="AH10" s="1571"/>
      <c r="AI10" s="1572"/>
      <c r="AJ10" s="1570" t="s">
        <v>316</v>
      </c>
      <c r="AK10" s="1571"/>
      <c r="AL10" s="1571"/>
      <c r="AM10" s="1572"/>
      <c r="AN10" s="1557" t="s">
        <v>359</v>
      </c>
      <c r="AO10" s="1558"/>
      <c r="AP10" s="1534" t="s">
        <v>375</v>
      </c>
      <c r="AQ10" s="1534" t="s">
        <v>317</v>
      </c>
      <c r="AR10" s="1539" t="s">
        <v>277</v>
      </c>
      <c r="AS10" s="1541"/>
    </row>
    <row r="11" spans="1:47" ht="65.099999999999994" customHeight="1" thickBot="1">
      <c r="A11" s="101" t="s">
        <v>283</v>
      </c>
      <c r="B11" s="101" t="s">
        <v>339</v>
      </c>
      <c r="C11" s="101" t="s">
        <v>281</v>
      </c>
      <c r="E11" s="140" t="s">
        <v>340</v>
      </c>
      <c r="F11" s="145" t="s">
        <v>341</v>
      </c>
      <c r="G11" s="145" t="s">
        <v>330</v>
      </c>
      <c r="H11" s="145" t="s">
        <v>343</v>
      </c>
      <c r="I11" s="145" t="s">
        <v>344</v>
      </c>
      <c r="J11" s="145" t="s">
        <v>345</v>
      </c>
      <c r="K11" s="145" t="s">
        <v>346</v>
      </c>
      <c r="L11" s="145" t="s">
        <v>347</v>
      </c>
      <c r="M11" s="145" t="s">
        <v>348</v>
      </c>
      <c r="N11" s="145" t="s">
        <v>349</v>
      </c>
      <c r="O11" s="144" t="s">
        <v>273</v>
      </c>
      <c r="P11" s="857" t="s">
        <v>370</v>
      </c>
      <c r="Q11" s="140" t="s">
        <v>351</v>
      </c>
      <c r="R11" s="144" t="s">
        <v>376</v>
      </c>
      <c r="S11" s="719" t="s">
        <v>377</v>
      </c>
      <c r="T11" s="140" t="s">
        <v>352</v>
      </c>
      <c r="U11" s="144" t="s">
        <v>353</v>
      </c>
      <c r="V11" s="1569"/>
      <c r="W11" s="1566"/>
      <c r="X11" s="1566"/>
      <c r="Y11" s="1566"/>
      <c r="Z11" s="1564"/>
      <c r="AA11" s="132" t="s">
        <v>272</v>
      </c>
      <c r="AB11" s="811" t="s">
        <v>272</v>
      </c>
      <c r="AC11" s="752" t="s">
        <v>318</v>
      </c>
      <c r="AD11" s="132" t="s">
        <v>319</v>
      </c>
      <c r="AE11" s="811" t="s">
        <v>378</v>
      </c>
      <c r="AF11" s="811" t="s">
        <v>355</v>
      </c>
      <c r="AG11" s="811" t="s">
        <v>322</v>
      </c>
      <c r="AH11" s="811" t="s">
        <v>323</v>
      </c>
      <c r="AI11" s="752" t="s">
        <v>324</v>
      </c>
      <c r="AJ11" s="132" t="s">
        <v>379</v>
      </c>
      <c r="AK11" s="811" t="s">
        <v>326</v>
      </c>
      <c r="AL11" s="811" t="s">
        <v>380</v>
      </c>
      <c r="AM11" s="752" t="s">
        <v>328</v>
      </c>
      <c r="AN11" s="719" t="s">
        <v>362</v>
      </c>
      <c r="AO11" s="858" t="s">
        <v>359</v>
      </c>
      <c r="AP11" s="1573"/>
      <c r="AQ11" s="1567"/>
      <c r="AR11" s="140" t="s">
        <v>296</v>
      </c>
      <c r="AS11" s="145" t="s">
        <v>297</v>
      </c>
      <c r="AT11" s="43" t="s">
        <v>298</v>
      </c>
      <c r="AU11" s="43" t="s">
        <v>364</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330</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zPpb1gH8xOQhaJUOtgALD54Yh8o5MIOSxLOHX4b/3VY6FV6aWbT8QzqdbJ5XoWjj8KB4Wq/IuzJB1lGvP5tNrw==" saltValue="7wUOHisKebPETUXOHmXlpA=="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Z12:Z258">
    <cfRule type="containsText" dxfId="525" priority="56" operator="containsText" text="Not Possible">
      <formula>NOT(ISERROR(SEARCH("Not Possible",Z12)))</formula>
    </cfRule>
  </conditionalFormatting>
  <conditionalFormatting sqref="AN12:AN258">
    <cfRule type="containsText" dxfId="524" priority="53" operator="containsText" text="Existing Value Not Required">
      <formula>NOT(ISERROR(SEARCH("Existing Value Not Required",AN12)))</formula>
    </cfRule>
    <cfRule type="containsText" dxfId="523" priority="54" operator="containsText" text="Existing Value Required">
      <formula>NOT(ISERROR(SEARCH("Existing Value Required",AN12)))</formula>
    </cfRule>
  </conditionalFormatting>
  <conditionalFormatting sqref="Z13">
    <cfRule type="containsText" dxfId="522" priority="35" operator="containsText" text="Not Possible">
      <formula>NOT(ISERROR(SEARCH("Not Possible",Z13)))</formula>
    </cfRule>
  </conditionalFormatting>
  <conditionalFormatting sqref="AN13">
    <cfRule type="containsText" dxfId="521" priority="33" operator="containsText" text="Existing Value Not Required">
      <formula>NOT(ISERROR(SEARCH("Existing Value Not Required",AN13)))</formula>
    </cfRule>
    <cfRule type="containsText" dxfId="520" priority="34" operator="containsText" text="Existing Value Required">
      <formula>NOT(ISERROR(SEARCH("Existing Value Required",AN13)))</formula>
    </cfRule>
  </conditionalFormatting>
  <conditionalFormatting sqref="AN14:AN258">
    <cfRule type="containsText" dxfId="519" priority="30" operator="containsText" text="Existing Value Not Required">
      <formula>NOT(ISERROR(SEARCH("Existing Value Not Required",AN14)))</formula>
    </cfRule>
    <cfRule type="containsText" dxfId="518" priority="31" operator="containsText" text="Existing Value Required">
      <formula>NOT(ISERROR(SEARCH("Existing Value Required",AN14)))</formula>
    </cfRule>
  </conditionalFormatting>
  <conditionalFormatting sqref="Z14:Z258">
    <cfRule type="containsText" dxfId="517" priority="32" operator="containsText" text="Not Possible">
      <formula>NOT(ISERROR(SEARCH("Not Possible",Z14)))</formula>
    </cfRule>
  </conditionalFormatting>
  <conditionalFormatting sqref="AP12:AP258">
    <cfRule type="containsText" dxfId="516" priority="28" operator="containsText" text="Existing Value Not Required">
      <formula>NOT(ISERROR(SEARCH("Existing Value Not Required",AP12)))</formula>
    </cfRule>
    <cfRule type="containsText" dxfId="515" priority="29" operator="containsText" text="Existing Value Required">
      <formula>NOT(ISERROR(SEARCH("Existing Value Required",AP12)))</formula>
    </cfRule>
  </conditionalFormatting>
  <conditionalFormatting sqref="O12:O258">
    <cfRule type="beginsWith" dxfId="514" priority="24" operator="beginsWith" text="Bespoke">
      <formula>LEFT(O12,LEN("Bespoke"))="Bespoke"</formula>
    </cfRule>
    <cfRule type="beginsWith" dxfId="513" priority="25" operator="beginsWith" text="Same distinctiveness">
      <formula>LEFT(O12,LEN("Same distinctiveness"))="Same distinctiveness"</formula>
    </cfRule>
    <cfRule type="beginsWith" dxfId="512" priority="26" operator="beginsWith" text="Same broad">
      <formula>LEFT(O12,LEN("Same broad"))="Same broad"</formula>
    </cfRule>
    <cfRule type="beginsWith" dxfId="511" priority="27" operator="beginsWith" text="Same Habitat">
      <formula>LEFT(O12,LEN("Same Habitat"))="Same Habitat"</formula>
    </cfRule>
  </conditionalFormatting>
  <conditionalFormatting sqref="T12:AP258">
    <cfRule type="containsText" dxfId="510" priority="23" operator="containsText" text="Error">
      <formula>NOT(ISERROR(SEARCH("Error",T12)))</formula>
    </cfRule>
  </conditionalFormatting>
  <conditionalFormatting sqref="AB12:AC258">
    <cfRule type="containsText" dxfId="509" priority="22" operator="containsText" text="Spatial">
      <formula>NOT(ISERROR(SEARCH("Spatial",AB12)))</formula>
    </cfRule>
  </conditionalFormatting>
  <conditionalFormatting sqref="AD2">
    <cfRule type="containsText" dxfId="508" priority="21" operator="containsText" text="Note">
      <formula>NOT(ISERROR(SEARCH("Note",AD2)))</formula>
    </cfRule>
  </conditionalFormatting>
  <conditionalFormatting sqref="AD12:AP258">
    <cfRule type="containsText" dxfId="507" priority="20" operator="containsText" text="Check">
      <formula>NOT(ISERROR(SEARCH("Check",AD12)))</formula>
    </cfRule>
  </conditionalFormatting>
  <conditionalFormatting sqref="AO12:AO258">
    <cfRule type="containsText" dxfId="506" priority="19" operator="containsText" text="Spatial">
      <formula>NOT(ISERROR(SEARCH("Spatial",AO12)))</formula>
    </cfRule>
  </conditionalFormatting>
  <conditionalFormatting sqref="V260">
    <cfRule type="containsText" dxfId="505" priority="18" operator="containsText" text="Error">
      <formula>NOT(ISERROR(SEARCH("Error",V260)))</formula>
    </cfRule>
  </conditionalFormatting>
  <conditionalFormatting sqref="AD5">
    <cfRule type="containsText" dxfId="504" priority="17" operator="containsText" text="Change">
      <formula>NOT(ISERROR(SEARCH("Change",AD5)))</formula>
    </cfRule>
  </conditionalFormatting>
  <conditionalFormatting sqref="T3">
    <cfRule type="containsText" dxfId="503" priority="15" operator="containsText" text="Error">
      <formula>NOT(ISERROR(SEARCH("Error",T3)))</formula>
    </cfRule>
    <cfRule type="containsText" dxfId="502" priority="16" operator="containsText" text="Check">
      <formula>NOT(ISERROR(SEARCH("Check",T3)))</formula>
    </cfRule>
  </conditionalFormatting>
  <conditionalFormatting sqref="T4">
    <cfRule type="containsText" dxfId="501" priority="1" operator="containsText" text="Error">
      <formula>NOT(ISERROR(SEARCH("Error",T4)))</formula>
    </cfRule>
    <cfRule type="containsText" dxfId="500" priority="2" operator="containsText" text="Check">
      <formula>NOT(ISERROR(SEARCH("Check",T4)))</formula>
    </cfRule>
  </conditionalFormatting>
  <conditionalFormatting sqref="T5">
    <cfRule type="containsText" dxfId="499" priority="11" operator="containsText" text="No">
      <formula>NOT(ISERROR(SEARCH("No",T5)))</formula>
    </cfRule>
    <cfRule type="containsText" dxfId="498" priority="12" operator="containsText" text="Yes">
      <formula>NOT(ISERROR(SEARCH("Yes",T5)))</formula>
    </cfRule>
  </conditionalFormatting>
  <conditionalFormatting sqref="V2:AA5">
    <cfRule type="containsText" dxfId="497" priority="10" operator="containsText" text="Check">
      <formula>NOT(ISERROR(SEARCH("Check",V2)))</formula>
    </cfRule>
  </conditionalFormatting>
  <conditionalFormatting sqref="AQ12:AQ258">
    <cfRule type="containsText" dxfId="496" priority="8" operator="containsText" text="Existing Value Not Required">
      <formula>NOT(ISERROR(SEARCH("Existing Value Not Required",AQ12)))</formula>
    </cfRule>
    <cfRule type="containsText" dxfId="495" priority="9" operator="containsText" text="Existing Value Required">
      <formula>NOT(ISERROR(SEARCH("Existing Value Required",AQ12)))</formula>
    </cfRule>
  </conditionalFormatting>
  <conditionalFormatting sqref="AQ12:AQ258">
    <cfRule type="containsText" dxfId="494" priority="7" operator="containsText" text="Error">
      <formula>NOT(ISERROR(SEARCH("Error",AQ12)))</formula>
    </cfRule>
  </conditionalFormatting>
  <conditionalFormatting sqref="AQ12:AQ258">
    <cfRule type="containsText" dxfId="493" priority="6" operator="containsText" text="Check">
      <formula>NOT(ISERROR(SEARCH("Check",AQ12)))</formula>
    </cfRule>
  </conditionalFormatting>
  <conditionalFormatting sqref="R6:T8">
    <cfRule type="containsText" dxfId="492" priority="5" operator="containsText" text="⚠">
      <formula>NOT(ISERROR(SEARCH("⚠",R6)))</formula>
    </cfRule>
  </conditionalFormatting>
  <conditionalFormatting sqref="T4:U4">
    <cfRule type="cellIs" dxfId="491" priority="3" operator="equal">
      <formula>0</formula>
    </cfRule>
    <cfRule type="cellIs" dxfId="490" priority="4" operator="lessThan">
      <formula>0</formula>
    </cfRule>
  </conditionalFormatting>
  <dataValidations count="3">
    <dataValidation allowBlank="1" showErrorMessage="1" errorTitle="Invalid Habitat" error="Select from List" sqref="S12:S258"/>
    <dataValidation type="list" allowBlank="1" showInputMessage="1" showErrorMessage="1" sqref="Y12:Y258">
      <formula1>INDIRECT(C12)</formula1>
    </dataValidation>
    <dataValidation type="list" allowBlank="1" showInputMessage="1" showErrorMessage="1" sqref="R12:R258">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1" operator="lessThan" id="{3FC4BA11-E79F-41AE-8528-BD37238A0A58}">
            <xm:f>Start!$F$22</xm:f>
            <x14:dxf>
              <font>
                <color rgb="FF383745"/>
              </font>
              <fill>
                <patternFill>
                  <bgColor rgb="FFFFC000"/>
                </patternFill>
              </fill>
            </x14:dxf>
          </x14:cfRule>
          <x14:cfRule type="cellIs" priority="432"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AA12:AA258</xm:sqref>
        </x14:dataValidation>
        <x14:dataValidation type="list" allowBlank="1" showInputMessage="1" showErrorMessage="1">
          <x14:formula1>
            <xm:f>'G-4 Temporal multipliers'!$A$42:$A$73</xm:f>
          </x14:formula1>
          <xm:sqref>AE12:AF258</xm:sqref>
        </x14:dataValidation>
        <x14:dataValidation type="list" allowBlank="1" showInputMessage="1" showErrorMessage="1">
          <x14:formula1>
            <xm:f>'G-1 All Habitats'!$AF$3:$AF$17</xm:f>
          </x14:formula1>
          <xm:sqref>Q12:Q258</xm:sqref>
        </x14:dataValidation>
        <x14:dataValidation type="list" allowBlank="1" showInputMessage="1" showErrorMessage="1">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3300"/>
    <pageSetUpPr fitToPage="1"/>
  </sheetPr>
  <dimension ref="B1:AL264"/>
  <sheetViews>
    <sheetView topLeftCell="E1" zoomScale="80" zoomScaleNormal="80" workbookViewId="0">
      <pane ySplit="9" topLeftCell="A17" activePane="bottomLeft" state="frozen"/>
      <selection pane="bottomLeft" activeCell="P18" sqref="P18"/>
    </sheetView>
  </sheetViews>
  <sheetFormatPr defaultColWidth="8.85546875" defaultRowHeight="15"/>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customWidth="1"/>
    <col min="8" max="8" width="14.28515625" style="30" bestFit="1" customWidth="1"/>
    <col min="9" max="9" width="8.42578125" style="30" customWidth="1"/>
    <col min="10" max="10" width="52.140625" style="30" customWidth="1"/>
    <col min="11" max="11" width="21.42578125" style="30" customWidth="1"/>
    <col min="12" max="12" width="13.140625" style="30"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75" thickBot="1"/>
    <row r="2" spans="2:38" ht="19.5" thickBot="1">
      <c r="B2" s="1551" t="str">
        <f>CONCATENATE("Project Name:", " ", Start!F12, "     ", "Map Reference:", " ", Start!F55)</f>
        <v xml:space="preserve">Project Name: Barnsley West Commerical     Map Reference: </v>
      </c>
      <c r="C2" s="1552"/>
      <c r="D2" s="1553"/>
      <c r="F2" s="1401" t="s">
        <v>381</v>
      </c>
      <c r="G2" s="1402"/>
      <c r="H2" s="1402"/>
      <c r="I2" s="1402"/>
      <c r="J2" s="1403"/>
    </row>
    <row r="3" spans="2:38">
      <c r="B3" s="1127" t="str">
        <f ca="1">MID(CELL("filename",A1),FIND("]",CELL("filename",A1))+1,256)</f>
        <v>B-1 On-Site Hedge Baseline</v>
      </c>
      <c r="C3" s="1128"/>
      <c r="D3" s="1129"/>
      <c r="F3" s="1502" t="s">
        <v>264</v>
      </c>
      <c r="G3" s="1503"/>
      <c r="H3" s="1503"/>
      <c r="I3" s="1503"/>
      <c r="J3" s="512">
        <f ca="1">'Headline Results'!H48</f>
        <v>11.168566810968827</v>
      </c>
    </row>
    <row r="4" spans="2:38" ht="15.75" thickBot="1">
      <c r="B4" s="1130"/>
      <c r="C4" s="1131"/>
      <c r="D4" s="1132"/>
      <c r="F4" s="1580" t="s">
        <v>266</v>
      </c>
      <c r="G4" s="1581"/>
      <c r="H4" s="1581"/>
      <c r="I4" s="1581"/>
      <c r="J4" s="513">
        <f ca="1">'Headline Results'!H52</f>
        <v>0.52906447945497059</v>
      </c>
    </row>
    <row r="5" spans="2:38" ht="15.75" thickBot="1">
      <c r="F5" s="1579" t="s">
        <v>268</v>
      </c>
      <c r="G5" s="1576"/>
      <c r="H5" s="1576"/>
      <c r="I5" s="1576"/>
      <c r="J5" s="504" t="str" cm="1">
        <f t="array" aca="1" ref="J5" ca="1">IF(OR('Trading Summary Hedgerows'!G5:H8="No ▲"), "No - check trading summary ▲", "Yes ✓")</f>
        <v>No - check trading summary ▲</v>
      </c>
    </row>
    <row r="7" spans="2:38" ht="15.75" thickBot="1">
      <c r="B7" s="102"/>
      <c r="C7" s="102"/>
      <c r="E7" s="101"/>
    </row>
    <row r="8" spans="2:38" s="33" customFormat="1" ht="29.25" thickBot="1">
      <c r="B8" s="32"/>
      <c r="C8" s="1570" t="s">
        <v>382</v>
      </c>
      <c r="D8" s="1571"/>
      <c r="E8" s="1572"/>
      <c r="F8" s="1549" t="s">
        <v>270</v>
      </c>
      <c r="G8" s="1549"/>
      <c r="H8" s="1549" t="s">
        <v>358</v>
      </c>
      <c r="I8" s="1549"/>
      <c r="J8" s="1549" t="s">
        <v>272</v>
      </c>
      <c r="K8" s="1549"/>
      <c r="L8" s="1549"/>
      <c r="M8" s="1534" t="s">
        <v>273</v>
      </c>
      <c r="N8" s="134" t="s">
        <v>274</v>
      </c>
      <c r="O8" s="30"/>
      <c r="P8" s="1570" t="s">
        <v>275</v>
      </c>
      <c r="Q8" s="1571"/>
      <c r="R8" s="1571"/>
      <c r="S8" s="1571"/>
      <c r="T8" s="1571"/>
      <c r="U8" s="1572"/>
      <c r="V8" s="1570" t="s">
        <v>277</v>
      </c>
      <c r="W8" s="1572"/>
    </row>
    <row r="9" spans="2:38" ht="43.5" thickBot="1">
      <c r="B9" s="719" t="s">
        <v>340</v>
      </c>
      <c r="C9" s="132" t="s">
        <v>383</v>
      </c>
      <c r="D9" s="811" t="s">
        <v>161</v>
      </c>
      <c r="E9" s="752" t="s">
        <v>34</v>
      </c>
      <c r="F9" s="132" t="s">
        <v>270</v>
      </c>
      <c r="G9" s="752" t="s">
        <v>287</v>
      </c>
      <c r="H9" s="132" t="s">
        <v>271</v>
      </c>
      <c r="I9" s="752" t="s">
        <v>287</v>
      </c>
      <c r="J9" s="132" t="s">
        <v>272</v>
      </c>
      <c r="K9" s="811" t="s">
        <v>272</v>
      </c>
      <c r="L9" s="752" t="s">
        <v>318</v>
      </c>
      <c r="M9" s="1567"/>
      <c r="N9" s="169" t="s">
        <v>384</v>
      </c>
      <c r="P9" s="132" t="s">
        <v>385</v>
      </c>
      <c r="Q9" s="811" t="s">
        <v>386</v>
      </c>
      <c r="R9" s="811" t="s">
        <v>387</v>
      </c>
      <c r="S9" s="811" t="s">
        <v>388</v>
      </c>
      <c r="T9" s="811" t="s">
        <v>389</v>
      </c>
      <c r="U9" s="752" t="s">
        <v>295</v>
      </c>
      <c r="V9" s="170" t="s">
        <v>296</v>
      </c>
      <c r="W9" s="171" t="s">
        <v>297</v>
      </c>
      <c r="X9" s="48" t="s">
        <v>298</v>
      </c>
      <c r="AE9" s="124" t="s">
        <v>301</v>
      </c>
      <c r="AF9" s="124" t="s">
        <v>302</v>
      </c>
      <c r="AH9" s="124" t="s">
        <v>304</v>
      </c>
      <c r="AJ9" s="124" t="s">
        <v>301</v>
      </c>
      <c r="AK9" s="124" t="s">
        <v>302</v>
      </c>
      <c r="AL9" s="101" t="s">
        <v>281</v>
      </c>
    </row>
    <row r="10" spans="2:38" ht="30">
      <c r="B10" s="104">
        <v>1</v>
      </c>
      <c r="C10" s="842" t="s">
        <v>1698</v>
      </c>
      <c r="D10" s="812" t="s">
        <v>176</v>
      </c>
      <c r="E10" s="860">
        <v>4.263401E-2</v>
      </c>
      <c r="F10" s="815" t="str">
        <f>IF(D10="","",VLOOKUP(D10,'G-6 Hedgerow Data'!$B$2:$AG$15,2,FALSE))</f>
        <v>Low</v>
      </c>
      <c r="G10" s="790">
        <f>IF(D10="","",VLOOKUP(D10,'G-6 Hedgerow Data'!$B$2:$AG$15,3,FALSE))</f>
        <v>2</v>
      </c>
      <c r="H10" s="841" t="s">
        <v>67</v>
      </c>
      <c r="I10" s="790">
        <f>IFERROR(VLOOKUP(H10,'G-1 All Habitats'!$Z$2:$AA$9,2,FALSE),"")</f>
        <v>2</v>
      </c>
      <c r="J10" s="841" t="s">
        <v>1029</v>
      </c>
      <c r="K10" s="367" t="str">
        <f>IF(J10="","",IF(VLOOKUP(J10,'G-3 Multipliers'!$L$3:$N$6,2,FALSE)=0,"Spatial Data Missing",VLOOKUP(J10,'G-3 Multipliers'!$L$3:$N$6,2,FALSE)))</f>
        <v xml:space="preserve">High strategic significance </v>
      </c>
      <c r="L10" s="792">
        <f>IF(J10="","",IF(VLOOKUP(J10,'G-3 Multipliers'!$L$3:$N$6,3,FALSE)=0,"Spatial Data Missing ⚠",VLOOKUP(J10,'G-3 Multipliers'!$L$3:$N$6,3,FALSE)))</f>
        <v>1.1499999999999999</v>
      </c>
      <c r="M10" s="793" t="str">
        <f>IF(D10="","",VLOOKUP(D10,'G-6 Hedgerow Data'!$B$1:$AH$15,33,FALSE))</f>
        <v>Same distinctiveness band or better</v>
      </c>
      <c r="N10" s="794">
        <f>IFERROR(E10*G10*I10*L10,"")</f>
        <v>0.19611644599999997</v>
      </c>
      <c r="O10" s="32"/>
      <c r="P10" s="316">
        <v>0</v>
      </c>
      <c r="Q10" s="159">
        <v>0</v>
      </c>
      <c r="R10" s="374">
        <f>IFERROR(P10*G10*I10*L10,"")</f>
        <v>0</v>
      </c>
      <c r="S10" s="374">
        <f>IFERROR(Q10*G10*I10*L10,"")</f>
        <v>0</v>
      </c>
      <c r="T10" s="374">
        <f>IF(D10="","",IF(E10-P10-Q10=0&lt;0,"Error in lengths ▲",IF(P10+Q10&gt;E10,"Error in Lengths ▲",E10-P10-Q10)))</f>
        <v>4.263401E-2</v>
      </c>
      <c r="U10" s="405">
        <f>IF(OR(E10="",N10=""),"",IF(E10-P10-Q10=0&lt;0,"Error in Lengths ▲",IF(P10+Q10&gt;E10,"Error in Lengths ▲",N10-R10-S10)))</f>
        <v>0.19611644599999997</v>
      </c>
      <c r="V10" s="136" t="s">
        <v>1717</v>
      </c>
      <c r="W10" s="137"/>
      <c r="X10" s="118"/>
      <c r="AE10" s="124" t="b">
        <f t="shared" ref="AE10:AE73" si="0">IF(D10="","",IF(P10&gt;0,TRUE,FALSE))</f>
        <v>0</v>
      </c>
      <c r="AF10" s="124" t="b">
        <f t="shared" ref="AF10:AF73" si="1">IF(D10="","",IF(Q10&gt;0,TRUE,FALSE))</f>
        <v>0</v>
      </c>
      <c r="AH10" s="124">
        <v>1</v>
      </c>
      <c r="AJ10" s="124" t="str">
        <f t="array" ref="AJ10">IFERROR(INDEX($AH$10:$AH$258, MATCH(0, IF(TRUE=$AE$10:$AE$258, COUNTIF($AJ9:$AJ$9, $AH$10:$AH$258), ""), 0)),"")</f>
        <v/>
      </c>
      <c r="AK10" s="124">
        <f t="array" ref="AK10">IFERROR(INDEX($AH$10:$AH$258, MATCH(0, IF(TRUE=$AF$10:$AF$258, COUNTIF($AK9:$AK$9, $AH$10:$AH$258), ""), 0)),"")</f>
        <v>2</v>
      </c>
      <c r="AL10" s="30" t="str">
        <f>IFERROR(INDEX('G-6 Hedgerow Data'!$BJ$3:$BJ$15,MATCH(D10,'G-6 Hedgerow Data'!$B$3:$B$15,0)),"")</f>
        <v>Hedgecond1</v>
      </c>
    </row>
    <row r="11" spans="2:38" ht="30">
      <c r="B11" s="110">
        <v>2</v>
      </c>
      <c r="C11" s="165" t="s">
        <v>1715</v>
      </c>
      <c r="D11" s="63" t="s">
        <v>176</v>
      </c>
      <c r="E11" s="139">
        <v>0.20192009599999999</v>
      </c>
      <c r="F11" s="411" t="str">
        <f>IF(D11="","",VLOOKUP(D11,'G-6 Hedgerow Data'!$B$2:$AG$15,2,FALSE))</f>
        <v>Low</v>
      </c>
      <c r="G11" s="363">
        <f>IF(D11="","",VLOOKUP(D11,'G-6 Hedgerow Data'!$B$2:$AG$15,3,FALSE))</f>
        <v>2</v>
      </c>
      <c r="H11" s="114" t="s">
        <v>67</v>
      </c>
      <c r="I11" s="363">
        <f>IFERROR(VLOOKUP(H11,'G-1 All Habitats'!$Z$2:$AA$9,2,FALSE),"")</f>
        <v>2</v>
      </c>
      <c r="J11" s="114" t="s">
        <v>1029</v>
      </c>
      <c r="K11" s="370" t="str">
        <f>IF(J11="","",IF(VLOOKUP(J11,'G-3 Multipliers'!$L$3:$N$6,2,FALSE)=0,"Spatial Data Missing",VLOOKUP(J11,'G-3 Multipliers'!$L$3:$N$6,2,FALSE)))</f>
        <v xml:space="preserve">High strategic significance </v>
      </c>
      <c r="L11" s="368">
        <f>IF(J11="","",IF(VLOOKUP(J11,'G-3 Multipliers'!$L$3:$N$6,3,FALSE)=0,"Spatial Data Missing ⚠",VLOOKUP(J11,'G-3 Multipliers'!$L$3:$N$6,3,FALSE)))</f>
        <v>1.1499999999999999</v>
      </c>
      <c r="M11" s="369" t="str">
        <f>IF(D11="","",VLOOKUP(D11,'G-6 Hedgerow Data'!$B$1:$AH$15,33,FALSE))</f>
        <v>Same distinctiveness band or better</v>
      </c>
      <c r="N11" s="376">
        <f t="shared" ref="N11:N74" si="2">IFERROR(E11*G11*I11*L11,"")</f>
        <v>0.92883244159999989</v>
      </c>
      <c r="O11" s="32"/>
      <c r="P11" s="582">
        <v>0</v>
      </c>
      <c r="Q11" s="165">
        <v>0.20192009599999999</v>
      </c>
      <c r="R11" s="393">
        <f t="shared" ref="R11:R74" si="3">IFERROR(P11*G11*I11*L11,"")</f>
        <v>0</v>
      </c>
      <c r="S11" s="393">
        <f t="shared" ref="S11:S74" si="4">IFERROR(Q11*G11*I11*L11,"")</f>
        <v>0.92883244159999989</v>
      </c>
      <c r="T11" s="393">
        <f t="shared" ref="T11:T74" si="5">IF(D11="","",IF(E11-P11-Q11=0&lt;0,"Error in lengths ▲",IF(P11+Q11&gt;E11,"Error in Lengths ▲",E11-P11-Q11)))</f>
        <v>0</v>
      </c>
      <c r="U11" s="415">
        <f t="shared" ref="U11:U74" si="6">IF(OR(E11="",N11=""),"",IF(E11-P11-Q11=0&lt;0,"Error in Lengths ▲",IF(P11+Q11&gt;E11,"Error in Lengths ▲",N11-R11-S11)))</f>
        <v>0</v>
      </c>
      <c r="V11" s="119" t="s">
        <v>1720</v>
      </c>
      <c r="W11" s="120"/>
      <c r="X11" s="120"/>
      <c r="AE11" s="124" t="b">
        <f t="shared" si="0"/>
        <v>0</v>
      </c>
      <c r="AF11" s="124" t="b">
        <f t="shared" si="1"/>
        <v>1</v>
      </c>
      <c r="AH11" s="124">
        <v>2</v>
      </c>
      <c r="AJ11" s="124" t="str">
        <f t="array" ref="AJ11">IFERROR(INDEX($AH$10:$AH$258, MATCH(0, IF(TRUE=$AE$10:$AE$258, COUNTIF($AJ$9:$AJ10, $AH$10:$AH$258), ""), 0)),"")</f>
        <v/>
      </c>
      <c r="AK11" s="124" t="str">
        <f t="array" ref="AK11">IFERROR(INDEX($AH$10:$AH$258, MATCH(0, IF(TRUE=$AF$10:$AF$258, COUNTIF($AK$9:$AK10, $AH$10:$AH$258), ""), 0)),"")</f>
        <v/>
      </c>
      <c r="AL11" s="30" t="str">
        <f>IFERROR(INDEX('G-6 Hedgerow Data'!$BJ$3:$BJ$15,MATCH(D11,'G-6 Hedgerow Data'!$B$3:$B$15,0)),"")</f>
        <v>Hedgecond1</v>
      </c>
    </row>
    <row r="12" spans="2:38" ht="30">
      <c r="B12" s="110">
        <v>3</v>
      </c>
      <c r="C12" s="165" t="s">
        <v>1699</v>
      </c>
      <c r="D12" s="63" t="s">
        <v>176</v>
      </c>
      <c r="E12" s="139">
        <v>1.5861604000000001E-2</v>
      </c>
      <c r="F12" s="411" t="str">
        <f>IF(D12="","",VLOOKUP(D12,'G-6 Hedgerow Data'!$B$2:$AG$15,2,FALSE))</f>
        <v>Low</v>
      </c>
      <c r="G12" s="363">
        <f>IF(D12="","",VLOOKUP(D12,'G-6 Hedgerow Data'!$B$2:$AG$15,3,FALSE))</f>
        <v>2</v>
      </c>
      <c r="H12" s="114" t="s">
        <v>67</v>
      </c>
      <c r="I12" s="363">
        <f>IFERROR(VLOOKUP(H12,'G-1 All Habitats'!$Z$2:$AA$9,2,FALSE),"")</f>
        <v>2</v>
      </c>
      <c r="J12" s="114" t="s">
        <v>1029</v>
      </c>
      <c r="K12" s="370" t="str">
        <f>IF(J12="","",IF(VLOOKUP(J12,'G-3 Multipliers'!$L$3:$N$6,2,FALSE)=0,"Spatial Data Missing",VLOOKUP(J12,'G-3 Multipliers'!$L$3:$N$6,2,FALSE)))</f>
        <v xml:space="preserve">High strategic significance </v>
      </c>
      <c r="L12" s="368">
        <f>IF(J12="","",IF(VLOOKUP(J12,'G-3 Multipliers'!$L$3:$N$6,3,FALSE)=0,"Spatial Data Missing ⚠",VLOOKUP(J12,'G-3 Multipliers'!$L$3:$N$6,3,FALSE)))</f>
        <v>1.1499999999999999</v>
      </c>
      <c r="M12" s="369" t="str">
        <f>IF(D12="","",VLOOKUP(D12,'G-6 Hedgerow Data'!$B$1:$AH$15,33,FALSE))</f>
        <v>Same distinctiveness band or better</v>
      </c>
      <c r="N12" s="376">
        <f t="shared" si="2"/>
        <v>7.2963378400000001E-2</v>
      </c>
      <c r="O12" s="32"/>
      <c r="P12" s="582">
        <v>0</v>
      </c>
      <c r="Q12" s="165">
        <v>0</v>
      </c>
      <c r="R12" s="393">
        <f t="shared" si="3"/>
        <v>0</v>
      </c>
      <c r="S12" s="393">
        <f t="shared" si="4"/>
        <v>0</v>
      </c>
      <c r="T12" s="393">
        <f t="shared" si="5"/>
        <v>1.5861604000000001E-2</v>
      </c>
      <c r="U12" s="415">
        <f t="shared" si="6"/>
        <v>7.2963378400000001E-2</v>
      </c>
      <c r="V12" s="119" t="s">
        <v>1718</v>
      </c>
      <c r="W12" s="120"/>
      <c r="X12" s="120"/>
      <c r="AE12" s="124" t="b">
        <f t="shared" si="0"/>
        <v>0</v>
      </c>
      <c r="AF12" s="124" t="b">
        <f t="shared" si="1"/>
        <v>0</v>
      </c>
      <c r="AH12" s="124">
        <v>3</v>
      </c>
      <c r="AJ12" s="124" t="str">
        <f t="array" ref="AJ12">IFERROR(INDEX($AH$10:$AH$258, MATCH(0, IF(TRUE=$AE$10:$AE$258, COUNTIF($AJ$9:$AJ11, $AH$10:$AH$258), ""), 0)),"")</f>
        <v/>
      </c>
      <c r="AK12" s="124" t="str">
        <f t="array" ref="AK12">IFERROR(INDEX($AH$10:$AH$258, MATCH(0, IF(TRUE=$AF$10:$AF$258, COUNTIF($AK$9:$AK11, $AH$10:$AH$258), ""), 0)),"")</f>
        <v/>
      </c>
      <c r="AL12" s="30" t="str">
        <f>IFERROR(INDEX('G-6 Hedgerow Data'!$BJ$3:$BJ$15,MATCH(D12,'G-6 Hedgerow Data'!$B$3:$B$15,0)),"")</f>
        <v>Hedgecond1</v>
      </c>
    </row>
    <row r="13" spans="2:38" ht="30">
      <c r="B13" s="110">
        <v>4</v>
      </c>
      <c r="C13" s="165" t="s">
        <v>1700</v>
      </c>
      <c r="D13" s="63" t="s">
        <v>176</v>
      </c>
      <c r="E13" s="139">
        <v>0.15010662</v>
      </c>
      <c r="F13" s="411" t="str">
        <f>IF(D13="","",VLOOKUP(D13,'G-6 Hedgerow Data'!$B$2:$AG$15,2,FALSE))</f>
        <v>Low</v>
      </c>
      <c r="G13" s="363">
        <f>IF(D13="","",VLOOKUP(D13,'G-6 Hedgerow Data'!$B$2:$AG$15,3,FALSE))</f>
        <v>2</v>
      </c>
      <c r="H13" s="114" t="s">
        <v>68</v>
      </c>
      <c r="I13" s="363">
        <f>IFERROR(VLOOKUP(H13,'G-1 All Habitats'!$Z$2:$AA$9,2,FALSE),"")</f>
        <v>3</v>
      </c>
      <c r="J13" s="114" t="s">
        <v>1029</v>
      </c>
      <c r="K13" s="370" t="str">
        <f>IF(J13="","",IF(VLOOKUP(J13,'G-3 Multipliers'!$L$3:$N$6,2,FALSE)=0,"Spatial Data Missing",VLOOKUP(J13,'G-3 Multipliers'!$L$3:$N$6,2,FALSE)))</f>
        <v xml:space="preserve">High strategic significance </v>
      </c>
      <c r="L13" s="368">
        <f>IF(J13="","",IF(VLOOKUP(J13,'G-3 Multipliers'!$L$3:$N$6,3,FALSE)=0,"Spatial Data Missing ⚠",VLOOKUP(J13,'G-3 Multipliers'!$L$3:$N$6,3,FALSE)))</f>
        <v>1.1499999999999999</v>
      </c>
      <c r="M13" s="369" t="str">
        <f>IF(D13="","",VLOOKUP(D13,'G-6 Hedgerow Data'!$B$1:$AH$15,33,FALSE))</f>
        <v>Same distinctiveness band or better</v>
      </c>
      <c r="N13" s="376">
        <f t="shared" si="2"/>
        <v>1.035735678</v>
      </c>
      <c r="O13" s="32"/>
      <c r="P13" s="582">
        <v>0</v>
      </c>
      <c r="Q13" s="165">
        <v>0</v>
      </c>
      <c r="R13" s="393">
        <f t="shared" si="3"/>
        <v>0</v>
      </c>
      <c r="S13" s="393">
        <f t="shared" si="4"/>
        <v>0</v>
      </c>
      <c r="T13" s="393">
        <f t="shared" si="5"/>
        <v>0.15010662</v>
      </c>
      <c r="U13" s="415">
        <f t="shared" si="6"/>
        <v>1.035735678</v>
      </c>
      <c r="V13" s="119" t="s">
        <v>1719</v>
      </c>
      <c r="W13" s="120"/>
      <c r="X13" s="120"/>
      <c r="AE13" s="124" t="b">
        <f t="shared" si="0"/>
        <v>0</v>
      </c>
      <c r="AF13" s="124" t="b">
        <f t="shared" si="1"/>
        <v>0</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Hedgecond1</v>
      </c>
    </row>
    <row r="14" spans="2:38" ht="30">
      <c r="B14" s="110">
        <v>5</v>
      </c>
      <c r="C14" s="165" t="s">
        <v>1716</v>
      </c>
      <c r="D14" s="159" t="s">
        <v>174</v>
      </c>
      <c r="E14" s="53">
        <v>7.5219306999999999E-2</v>
      </c>
      <c r="F14" s="411" t="str">
        <f>IF(D14="","",VLOOKUP(D14,'G-6 Hedgerow Data'!$B$2:$AG$15,2,FALSE))</f>
        <v>Medium</v>
      </c>
      <c r="G14" s="363">
        <f>IF(D14="","",VLOOKUP(D14,'G-6 Hedgerow Data'!$B$2:$AG$15,3,FALSE))</f>
        <v>4</v>
      </c>
      <c r="H14" s="114" t="s">
        <v>67</v>
      </c>
      <c r="I14" s="363">
        <f>IFERROR(VLOOKUP(H14,'G-1 All Habitats'!$Z$2:$AA$9,2,FALSE),"")</f>
        <v>2</v>
      </c>
      <c r="J14" s="114" t="s">
        <v>1033</v>
      </c>
      <c r="K14" s="370" t="str">
        <f>IF(J14="","",IF(VLOOKUP(J14,'G-3 Multipliers'!$L$3:$N$6,2,FALSE)=0,"Spatial Data Missing",VLOOKUP(J14,'G-3 Multipliers'!$L$3:$N$6,2,FALSE)))</f>
        <v xml:space="preserve">Medium strategic significance </v>
      </c>
      <c r="L14" s="368">
        <f>IF(J14="","",IF(VLOOKUP(J14,'G-3 Multipliers'!$L$3:$N$6,3,FALSE)=0,"Spatial Data Missing ⚠",VLOOKUP(J14,'G-3 Multipliers'!$L$3:$N$6,3,FALSE)))</f>
        <v>1.1000000000000001</v>
      </c>
      <c r="M14" s="369" t="str">
        <f>IF(D14="","",VLOOKUP(D14,'G-6 Hedgerow Data'!$B$1:$AH$15,33,FALSE))</f>
        <v>Same distinctiveness band or better</v>
      </c>
      <c r="N14" s="376">
        <f t="shared" si="2"/>
        <v>0.66192990160000009</v>
      </c>
      <c r="O14" s="32"/>
      <c r="P14" s="582">
        <v>0</v>
      </c>
      <c r="Q14" s="165">
        <v>0</v>
      </c>
      <c r="R14" s="393">
        <f t="shared" si="3"/>
        <v>0</v>
      </c>
      <c r="S14" s="393">
        <f t="shared" si="4"/>
        <v>0</v>
      </c>
      <c r="T14" s="393">
        <f t="shared" si="5"/>
        <v>7.5219306999999999E-2</v>
      </c>
      <c r="U14" s="415">
        <f t="shared" si="6"/>
        <v>0.66192990160000009</v>
      </c>
      <c r="V14" s="119" t="s">
        <v>1721</v>
      </c>
      <c r="W14" s="120"/>
      <c r="X14" s="120"/>
      <c r="AE14" s="124" t="b">
        <f t="shared" si="0"/>
        <v>0</v>
      </c>
      <c r="AF14" s="124" t="b">
        <f t="shared" si="1"/>
        <v>0</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Hedgecond1</v>
      </c>
    </row>
    <row r="15" spans="2:38" ht="30">
      <c r="B15" s="110">
        <v>6</v>
      </c>
      <c r="C15" s="165" t="s">
        <v>1701</v>
      </c>
      <c r="D15" s="159" t="s">
        <v>176</v>
      </c>
      <c r="E15" s="53">
        <v>0.22598486800000001</v>
      </c>
      <c r="F15" s="411" t="str">
        <f>IF(D15="","",VLOOKUP(D15,'G-6 Hedgerow Data'!$B$2:$AG$15,2,FALSE))</f>
        <v>Low</v>
      </c>
      <c r="G15" s="363">
        <f>IF(D15="","",VLOOKUP(D15,'G-6 Hedgerow Data'!$B$2:$AG$15,3,FALSE))</f>
        <v>2</v>
      </c>
      <c r="H15" s="114" t="s">
        <v>67</v>
      </c>
      <c r="I15" s="363">
        <f>IFERROR(VLOOKUP(H15,'G-1 All Habitats'!$Z$2:$AA$9,2,FALSE),"")</f>
        <v>2</v>
      </c>
      <c r="J15" s="114" t="s">
        <v>1029</v>
      </c>
      <c r="K15" s="370" t="str">
        <f>IF(J15="","",IF(VLOOKUP(J15,'G-3 Multipliers'!$L$3:$N$6,2,FALSE)=0,"Spatial Data Missing",VLOOKUP(J15,'G-3 Multipliers'!$L$3:$N$6,2,FALSE)))</f>
        <v xml:space="preserve">High strategic significance </v>
      </c>
      <c r="L15" s="368">
        <f>IF(J15="","",IF(VLOOKUP(J15,'G-3 Multipliers'!$L$3:$N$6,3,FALSE)=0,"Spatial Data Missing ⚠",VLOOKUP(J15,'G-3 Multipliers'!$L$3:$N$6,3,FALSE)))</f>
        <v>1.1499999999999999</v>
      </c>
      <c r="M15" s="369" t="str">
        <f>IF(D15="","",VLOOKUP(D15,'G-6 Hedgerow Data'!$B$1:$AH$15,33,FALSE))</f>
        <v>Same distinctiveness band or better</v>
      </c>
      <c r="N15" s="376">
        <f t="shared" si="2"/>
        <v>1.0395303927999999</v>
      </c>
      <c r="O15" s="32"/>
      <c r="P15" s="582">
        <v>0</v>
      </c>
      <c r="Q15" s="165">
        <v>0</v>
      </c>
      <c r="R15" s="393">
        <f t="shared" si="3"/>
        <v>0</v>
      </c>
      <c r="S15" s="393">
        <f t="shared" si="4"/>
        <v>0</v>
      </c>
      <c r="T15" s="393">
        <f t="shared" si="5"/>
        <v>0.22598486800000001</v>
      </c>
      <c r="U15" s="415">
        <f t="shared" si="6"/>
        <v>1.0395303927999999</v>
      </c>
      <c r="V15" s="119" t="s">
        <v>1756</v>
      </c>
      <c r="W15" s="120"/>
      <c r="X15" s="120"/>
      <c r="AE15" s="124" t="b">
        <f t="shared" si="0"/>
        <v>0</v>
      </c>
      <c r="AF15" s="124" t="b">
        <f t="shared" si="1"/>
        <v>0</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Hedgecond1</v>
      </c>
    </row>
    <row r="16" spans="2:38" ht="30">
      <c r="B16" s="110">
        <v>7</v>
      </c>
      <c r="C16" s="165" t="s">
        <v>1702</v>
      </c>
      <c r="D16" s="159" t="s">
        <v>173</v>
      </c>
      <c r="E16" s="53">
        <v>0.15788116299999999</v>
      </c>
      <c r="F16" s="411" t="str">
        <f>IF(D16="","",VLOOKUP(D16,'G-6 Hedgerow Data'!$B$2:$AG$15,2,FALSE))</f>
        <v>Medium</v>
      </c>
      <c r="G16" s="363">
        <f>IF(D16="","",VLOOKUP(D16,'G-6 Hedgerow Data'!$B$2:$AG$15,3,FALSE))</f>
        <v>4</v>
      </c>
      <c r="H16" s="114" t="s">
        <v>67</v>
      </c>
      <c r="I16" s="363">
        <f>IFERROR(VLOOKUP(H16,'G-1 All Habitats'!$Z$2:$AA$9,2,FALSE),"")</f>
        <v>2</v>
      </c>
      <c r="J16" s="114" t="s">
        <v>1029</v>
      </c>
      <c r="K16" s="370" t="str">
        <f>IF(J16="","",IF(VLOOKUP(J16,'G-3 Multipliers'!$L$3:$N$6,2,FALSE)=0,"Spatial Data Missing",VLOOKUP(J16,'G-3 Multipliers'!$L$3:$N$6,2,FALSE)))</f>
        <v xml:space="preserve">High strategic significance </v>
      </c>
      <c r="L16" s="368">
        <f>IF(J16="","",IF(VLOOKUP(J16,'G-3 Multipliers'!$L$3:$N$6,3,FALSE)=0,"Spatial Data Missing ⚠",VLOOKUP(J16,'G-3 Multipliers'!$L$3:$N$6,3,FALSE)))</f>
        <v>1.1499999999999999</v>
      </c>
      <c r="M16" s="369" t="str">
        <f>IF(D16="","",VLOOKUP(D16,'G-6 Hedgerow Data'!$B$1:$AH$15,33,FALSE))</f>
        <v>Same distinctiveness band or better</v>
      </c>
      <c r="N16" s="376">
        <f t="shared" si="2"/>
        <v>1.4525066995999998</v>
      </c>
      <c r="O16" s="32"/>
      <c r="P16" s="582">
        <v>0</v>
      </c>
      <c r="Q16" s="165">
        <v>0</v>
      </c>
      <c r="R16" s="393">
        <f t="shared" si="3"/>
        <v>0</v>
      </c>
      <c r="S16" s="393">
        <f t="shared" si="4"/>
        <v>0</v>
      </c>
      <c r="T16" s="393">
        <f t="shared" si="5"/>
        <v>0.15788116299999999</v>
      </c>
      <c r="U16" s="415">
        <f t="shared" si="6"/>
        <v>1.4525066995999998</v>
      </c>
      <c r="V16" s="119" t="s">
        <v>1757</v>
      </c>
      <c r="W16" s="120"/>
      <c r="X16" s="120"/>
      <c r="AE16" s="124" t="b">
        <f t="shared" si="0"/>
        <v>0</v>
      </c>
      <c r="AF16" s="124" t="b">
        <f t="shared" si="1"/>
        <v>0</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Hedgecond1</v>
      </c>
    </row>
    <row r="17" spans="2:38" ht="30">
      <c r="B17" s="110">
        <v>8</v>
      </c>
      <c r="C17" s="165" t="s">
        <v>1703</v>
      </c>
      <c r="D17" s="159" t="s">
        <v>176</v>
      </c>
      <c r="E17" s="53">
        <v>0.19357764499999999</v>
      </c>
      <c r="F17" s="411" t="str">
        <f>IF(D17="","",VLOOKUP(D17,'G-6 Hedgerow Data'!$B$2:$AG$15,2,FALSE))</f>
        <v>Low</v>
      </c>
      <c r="G17" s="363">
        <f>IF(D17="","",VLOOKUP(D17,'G-6 Hedgerow Data'!$B$2:$AG$15,3,FALSE))</f>
        <v>2</v>
      </c>
      <c r="H17" s="114" t="s">
        <v>68</v>
      </c>
      <c r="I17" s="363">
        <f>IFERROR(VLOOKUP(H17,'G-1 All Habitats'!$Z$2:$AA$9,2,FALSE),"")</f>
        <v>3</v>
      </c>
      <c r="J17" s="114" t="s">
        <v>1029</v>
      </c>
      <c r="K17" s="370" t="str">
        <f>IF(J17="","",IF(VLOOKUP(J17,'G-3 Multipliers'!$L$3:$N$6,2,FALSE)=0,"Spatial Data Missing",VLOOKUP(J17,'G-3 Multipliers'!$L$3:$N$6,2,FALSE)))</f>
        <v xml:space="preserve">High strategic significance </v>
      </c>
      <c r="L17" s="368">
        <f>IF(J17="","",IF(VLOOKUP(J17,'G-3 Multipliers'!$L$3:$N$6,3,FALSE)=0,"Spatial Data Missing ⚠",VLOOKUP(J17,'G-3 Multipliers'!$L$3:$N$6,3,FALSE)))</f>
        <v>1.1499999999999999</v>
      </c>
      <c r="M17" s="369" t="str">
        <f>IF(D17="","",VLOOKUP(D17,'G-6 Hedgerow Data'!$B$1:$AH$15,33,FALSE))</f>
        <v>Same distinctiveness band or better</v>
      </c>
      <c r="N17" s="376">
        <f t="shared" si="2"/>
        <v>1.3356857504999999</v>
      </c>
      <c r="O17" s="32"/>
      <c r="P17" s="582">
        <v>0</v>
      </c>
      <c r="Q17" s="165">
        <v>0</v>
      </c>
      <c r="R17" s="393">
        <f t="shared" si="3"/>
        <v>0</v>
      </c>
      <c r="S17" s="393">
        <f t="shared" si="4"/>
        <v>0</v>
      </c>
      <c r="T17" s="393">
        <f t="shared" si="5"/>
        <v>0.19357764499999999</v>
      </c>
      <c r="U17" s="415">
        <f t="shared" si="6"/>
        <v>1.3356857504999999</v>
      </c>
      <c r="V17" s="119" t="s">
        <v>1758</v>
      </c>
      <c r="W17" s="120"/>
      <c r="X17" s="120"/>
      <c r="AE17" s="124" t="b">
        <f t="shared" si="0"/>
        <v>0</v>
      </c>
      <c r="AF17" s="124" t="b">
        <f t="shared" si="1"/>
        <v>0</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Hedgecond1</v>
      </c>
    </row>
    <row r="18" spans="2:38" ht="30">
      <c r="B18" s="110">
        <v>9</v>
      </c>
      <c r="C18" s="165" t="s">
        <v>1704</v>
      </c>
      <c r="D18" s="159" t="s">
        <v>171</v>
      </c>
      <c r="E18" s="139">
        <v>0.15888027099999999</v>
      </c>
      <c r="F18" s="411" t="str">
        <f>IF(D18="","",VLOOKUP(D18,'G-6 Hedgerow Data'!$B$2:$AG$15,2,FALSE))</f>
        <v>Medium</v>
      </c>
      <c r="G18" s="363">
        <f>IF(D18="","",VLOOKUP(D18,'G-6 Hedgerow Data'!$B$2:$AG$15,3,FALSE))</f>
        <v>4</v>
      </c>
      <c r="H18" s="114" t="s">
        <v>67</v>
      </c>
      <c r="I18" s="363">
        <f>IFERROR(VLOOKUP(H18,'G-1 All Habitats'!$Z$2:$AA$9,2,FALSE),"")</f>
        <v>2</v>
      </c>
      <c r="J18" s="114" t="s">
        <v>1029</v>
      </c>
      <c r="K18" s="370" t="str">
        <f>IF(J18="","",IF(VLOOKUP(J18,'G-3 Multipliers'!$L$3:$N$6,2,FALSE)=0,"Spatial Data Missing",VLOOKUP(J18,'G-3 Multipliers'!$L$3:$N$6,2,FALSE)))</f>
        <v xml:space="preserve">High strategic significance </v>
      </c>
      <c r="L18" s="368">
        <f>IF(J18="","",IF(VLOOKUP(J18,'G-3 Multipliers'!$L$3:$N$6,3,FALSE)=0,"Spatial Data Missing ⚠",VLOOKUP(J18,'G-3 Multipliers'!$L$3:$N$6,3,FALSE)))</f>
        <v>1.1499999999999999</v>
      </c>
      <c r="M18" s="369" t="str">
        <f>IF(D18="","",VLOOKUP(D18,'G-6 Hedgerow Data'!$B$1:$AH$15,33,FALSE))</f>
        <v>Same distinctiveness band or better</v>
      </c>
      <c r="N18" s="376">
        <f t="shared" si="2"/>
        <v>1.4616984931999999</v>
      </c>
      <c r="O18" s="32"/>
      <c r="P18" s="582">
        <v>0</v>
      </c>
      <c r="Q18" s="165">
        <v>0</v>
      </c>
      <c r="R18" s="393">
        <f t="shared" si="3"/>
        <v>0</v>
      </c>
      <c r="S18" s="393">
        <f t="shared" si="4"/>
        <v>0</v>
      </c>
      <c r="T18" s="393">
        <f t="shared" si="5"/>
        <v>0.15888027099999999</v>
      </c>
      <c r="U18" s="415">
        <f t="shared" si="6"/>
        <v>1.4616984931999999</v>
      </c>
      <c r="V18" s="119" t="s">
        <v>1759</v>
      </c>
      <c r="W18" s="120"/>
      <c r="X18" s="120"/>
      <c r="AE18" s="124" t="b">
        <f t="shared" si="0"/>
        <v>0</v>
      </c>
      <c r="AF18" s="124" t="b">
        <f t="shared" si="1"/>
        <v>0</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Hedgecond1</v>
      </c>
    </row>
    <row r="19" spans="2:38" ht="30">
      <c r="B19" s="110">
        <v>10</v>
      </c>
      <c r="C19" s="165" t="s">
        <v>1705</v>
      </c>
      <c r="D19" s="159" t="s">
        <v>171</v>
      </c>
      <c r="E19" s="139">
        <v>0.114273631</v>
      </c>
      <c r="F19" s="411" t="str">
        <f>IF(D19="","",VLOOKUP(D19,'G-6 Hedgerow Data'!$B$2:$AG$15,2,FALSE))</f>
        <v>Medium</v>
      </c>
      <c r="G19" s="363">
        <f>IF(D19="","",VLOOKUP(D19,'G-6 Hedgerow Data'!$B$2:$AG$15,3,FALSE))</f>
        <v>4</v>
      </c>
      <c r="H19" s="114" t="s">
        <v>67</v>
      </c>
      <c r="I19" s="363">
        <f>IFERROR(VLOOKUP(H19,'G-1 All Habitats'!$Z$2:$AA$9,2,FALSE),"")</f>
        <v>2</v>
      </c>
      <c r="J19" s="114" t="s">
        <v>1029</v>
      </c>
      <c r="K19" s="370" t="str">
        <f>IF(J19="","",IF(VLOOKUP(J19,'G-3 Multipliers'!$L$3:$N$6,2,FALSE)=0,"Spatial Data Missing",VLOOKUP(J19,'G-3 Multipliers'!$L$3:$N$6,2,FALSE)))</f>
        <v xml:space="preserve">High strategic significance </v>
      </c>
      <c r="L19" s="368">
        <f>IF(J19="","",IF(VLOOKUP(J19,'G-3 Multipliers'!$L$3:$N$6,3,FALSE)=0,"Spatial Data Missing ⚠",VLOOKUP(J19,'G-3 Multipliers'!$L$3:$N$6,3,FALSE)))</f>
        <v>1.1499999999999999</v>
      </c>
      <c r="M19" s="369" t="str">
        <f>IF(D19="","",VLOOKUP(D19,'G-6 Hedgerow Data'!$B$1:$AH$15,33,FALSE))</f>
        <v>Same distinctiveness band or better</v>
      </c>
      <c r="N19" s="376">
        <f t="shared" si="2"/>
        <v>1.0513174051999998</v>
      </c>
      <c r="O19" s="32"/>
      <c r="P19" s="582">
        <v>0</v>
      </c>
      <c r="Q19" s="165">
        <v>0</v>
      </c>
      <c r="R19" s="393">
        <f t="shared" si="3"/>
        <v>0</v>
      </c>
      <c r="S19" s="393">
        <f t="shared" si="4"/>
        <v>0</v>
      </c>
      <c r="T19" s="393">
        <f t="shared" si="5"/>
        <v>0.114273631</v>
      </c>
      <c r="U19" s="415">
        <f t="shared" si="6"/>
        <v>1.0513174051999998</v>
      </c>
      <c r="V19" s="119" t="s">
        <v>1760</v>
      </c>
      <c r="W19" s="120"/>
      <c r="X19" s="120"/>
      <c r="AE19" s="124" t="b">
        <f t="shared" si="0"/>
        <v>0</v>
      </c>
      <c r="AF19" s="124" t="b">
        <f t="shared" si="1"/>
        <v>0</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Hedgecond1</v>
      </c>
    </row>
    <row r="20" spans="2:38" ht="30">
      <c r="B20" s="110">
        <v>11</v>
      </c>
      <c r="C20" s="165" t="s">
        <v>1706</v>
      </c>
      <c r="D20" s="159" t="s">
        <v>171</v>
      </c>
      <c r="E20" s="139">
        <v>0.20897512500000001</v>
      </c>
      <c r="F20" s="411" t="str">
        <f>IF(D20="","",VLOOKUP(D20,'G-6 Hedgerow Data'!$B$2:$AG$15,2,FALSE))</f>
        <v>Medium</v>
      </c>
      <c r="G20" s="363">
        <f>IF(D20="","",VLOOKUP(D20,'G-6 Hedgerow Data'!$B$2:$AG$15,3,FALSE))</f>
        <v>4</v>
      </c>
      <c r="H20" s="114" t="s">
        <v>67</v>
      </c>
      <c r="I20" s="363">
        <f>IFERROR(VLOOKUP(H20,'G-1 All Habitats'!$Z$2:$AA$9,2,FALSE),"")</f>
        <v>2</v>
      </c>
      <c r="J20" s="114" t="s">
        <v>1029</v>
      </c>
      <c r="K20" s="370" t="str">
        <f>IF(J20="","",IF(VLOOKUP(J20,'G-3 Multipliers'!$L$3:$N$6,2,FALSE)=0,"Spatial Data Missing",VLOOKUP(J20,'G-3 Multipliers'!$L$3:$N$6,2,FALSE)))</f>
        <v xml:space="preserve">High strategic significance </v>
      </c>
      <c r="L20" s="368">
        <f>IF(J20="","",IF(VLOOKUP(J20,'G-3 Multipliers'!$L$3:$N$6,3,FALSE)=0,"Spatial Data Missing ⚠",VLOOKUP(J20,'G-3 Multipliers'!$L$3:$N$6,3,FALSE)))</f>
        <v>1.1499999999999999</v>
      </c>
      <c r="M20" s="369" t="str">
        <f>IF(D20="","",VLOOKUP(D20,'G-6 Hedgerow Data'!$B$1:$AH$15,33,FALSE))</f>
        <v>Same distinctiveness band or better</v>
      </c>
      <c r="N20" s="376">
        <f t="shared" si="2"/>
        <v>1.92257115</v>
      </c>
      <c r="O20" s="32"/>
      <c r="P20" s="582">
        <v>0</v>
      </c>
      <c r="Q20" s="165">
        <v>0</v>
      </c>
      <c r="R20" s="393">
        <f t="shared" si="3"/>
        <v>0</v>
      </c>
      <c r="S20" s="393">
        <f t="shared" si="4"/>
        <v>0</v>
      </c>
      <c r="T20" s="393">
        <f t="shared" si="5"/>
        <v>0.20897512500000001</v>
      </c>
      <c r="U20" s="415">
        <f t="shared" si="6"/>
        <v>1.92257115</v>
      </c>
      <c r="V20" s="119" t="s">
        <v>1761</v>
      </c>
      <c r="W20" s="120"/>
      <c r="X20" s="120"/>
      <c r="AE20" s="124" t="b">
        <f t="shared" si="0"/>
        <v>0</v>
      </c>
      <c r="AF20" s="124" t="b">
        <f t="shared" si="1"/>
        <v>0</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Hedgecond1</v>
      </c>
    </row>
    <row r="21" spans="2:38" ht="30">
      <c r="B21" s="110">
        <v>12</v>
      </c>
      <c r="C21" s="165" t="s">
        <v>1707</v>
      </c>
      <c r="D21" s="159" t="s">
        <v>171</v>
      </c>
      <c r="E21" s="139">
        <v>0.14768355799999999</v>
      </c>
      <c r="F21" s="411" t="str">
        <f>IF(D21="","",VLOOKUP(D21,'G-6 Hedgerow Data'!$B$2:$AG$15,2,FALSE))</f>
        <v>Medium</v>
      </c>
      <c r="G21" s="363">
        <f>IF(D21="","",VLOOKUP(D21,'G-6 Hedgerow Data'!$B$2:$AG$15,3,FALSE))</f>
        <v>4</v>
      </c>
      <c r="H21" s="114" t="s">
        <v>67</v>
      </c>
      <c r="I21" s="363">
        <f>IFERROR(VLOOKUP(H21,'G-1 All Habitats'!$Z$2:$AA$9,2,FALSE),"")</f>
        <v>2</v>
      </c>
      <c r="J21" s="114" t="s">
        <v>1029</v>
      </c>
      <c r="K21" s="370" t="str">
        <f>IF(J21="","",IF(VLOOKUP(J21,'G-3 Multipliers'!$L$3:$N$6,2,FALSE)=0,"Spatial Data Missing",VLOOKUP(J21,'G-3 Multipliers'!$L$3:$N$6,2,FALSE)))</f>
        <v xml:space="preserve">High strategic significance </v>
      </c>
      <c r="L21" s="368">
        <f>IF(J21="","",IF(VLOOKUP(J21,'G-3 Multipliers'!$L$3:$N$6,3,FALSE)=0,"Spatial Data Missing ⚠",VLOOKUP(J21,'G-3 Multipliers'!$L$3:$N$6,3,FALSE)))</f>
        <v>1.1499999999999999</v>
      </c>
      <c r="M21" s="369" t="str">
        <f>IF(D21="","",VLOOKUP(D21,'G-6 Hedgerow Data'!$B$1:$AH$15,33,FALSE))</f>
        <v>Same distinctiveness band or better</v>
      </c>
      <c r="N21" s="376">
        <f t="shared" si="2"/>
        <v>1.3586887335999998</v>
      </c>
      <c r="O21" s="32"/>
      <c r="P21" s="582">
        <v>0</v>
      </c>
      <c r="Q21" s="165">
        <v>0</v>
      </c>
      <c r="R21" s="393">
        <f t="shared" si="3"/>
        <v>0</v>
      </c>
      <c r="S21" s="393">
        <f t="shared" si="4"/>
        <v>0</v>
      </c>
      <c r="T21" s="393">
        <f t="shared" si="5"/>
        <v>0.14768355799999999</v>
      </c>
      <c r="U21" s="415">
        <f t="shared" si="6"/>
        <v>1.3586887335999998</v>
      </c>
      <c r="V21" s="119" t="s">
        <v>1762</v>
      </c>
      <c r="W21" s="120"/>
      <c r="X21" s="120"/>
      <c r="AE21" s="124" t="b">
        <f t="shared" si="0"/>
        <v>0</v>
      </c>
      <c r="AF21" s="124" t="b">
        <f t="shared" si="1"/>
        <v>0</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Hedgecond1</v>
      </c>
    </row>
    <row r="22" spans="2:38" ht="30">
      <c r="B22" s="110">
        <v>13</v>
      </c>
      <c r="C22" s="165" t="s">
        <v>1708</v>
      </c>
      <c r="D22" s="159" t="s">
        <v>171</v>
      </c>
      <c r="E22" s="139">
        <v>0.45840198700000001</v>
      </c>
      <c r="F22" s="411" t="str">
        <f>IF(D22="","",VLOOKUP(D22,'G-6 Hedgerow Data'!$B$2:$AG$15,2,FALSE))</f>
        <v>Medium</v>
      </c>
      <c r="G22" s="363">
        <f>IF(D22="","",VLOOKUP(D22,'G-6 Hedgerow Data'!$B$2:$AG$15,3,FALSE))</f>
        <v>4</v>
      </c>
      <c r="H22" s="114" t="s">
        <v>67</v>
      </c>
      <c r="I22" s="363">
        <f>IFERROR(VLOOKUP(H22,'G-1 All Habitats'!$Z$2:$AA$9,2,FALSE),"")</f>
        <v>2</v>
      </c>
      <c r="J22" s="114" t="s">
        <v>1029</v>
      </c>
      <c r="K22" s="370" t="str">
        <f>IF(J22="","",IF(VLOOKUP(J22,'G-3 Multipliers'!$L$3:$N$6,2,FALSE)=0,"Spatial Data Missing",VLOOKUP(J22,'G-3 Multipliers'!$L$3:$N$6,2,FALSE)))</f>
        <v xml:space="preserve">High strategic significance </v>
      </c>
      <c r="L22" s="368">
        <f>IF(J22="","",IF(VLOOKUP(J22,'G-3 Multipliers'!$L$3:$N$6,3,FALSE)=0,"Spatial Data Missing ⚠",VLOOKUP(J22,'G-3 Multipliers'!$L$3:$N$6,3,FALSE)))</f>
        <v>1.1499999999999999</v>
      </c>
      <c r="M22" s="369" t="str">
        <f>IF(D22="","",VLOOKUP(D22,'G-6 Hedgerow Data'!$B$1:$AH$15,33,FALSE))</f>
        <v>Same distinctiveness band or better</v>
      </c>
      <c r="N22" s="376">
        <f t="shared" si="2"/>
        <v>4.2172982803999997</v>
      </c>
      <c r="O22" s="32"/>
      <c r="P22" s="582">
        <v>0</v>
      </c>
      <c r="Q22" s="165">
        <v>0</v>
      </c>
      <c r="R22" s="393">
        <f t="shared" si="3"/>
        <v>0</v>
      </c>
      <c r="S22" s="393">
        <f t="shared" si="4"/>
        <v>0</v>
      </c>
      <c r="T22" s="393">
        <f t="shared" si="5"/>
        <v>0.45840198700000001</v>
      </c>
      <c r="U22" s="415">
        <f t="shared" si="6"/>
        <v>4.2172982803999997</v>
      </c>
      <c r="V22" s="119" t="s">
        <v>1763</v>
      </c>
      <c r="W22" s="120"/>
      <c r="X22" s="120"/>
      <c r="AE22" s="124" t="b">
        <f t="shared" si="0"/>
        <v>0</v>
      </c>
      <c r="AF22" s="124" t="b">
        <f t="shared" si="1"/>
        <v>0</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Hedgecond1</v>
      </c>
    </row>
    <row r="23" spans="2:38" ht="30">
      <c r="B23" s="110">
        <v>14</v>
      </c>
      <c r="C23" s="165" t="s">
        <v>1709</v>
      </c>
      <c r="D23" s="63" t="s">
        <v>170</v>
      </c>
      <c r="E23" s="139">
        <v>0.21692453</v>
      </c>
      <c r="F23" s="411" t="str">
        <f>IF(D23="","",VLOOKUP(D23,'G-6 Hedgerow Data'!$B$2:$AG$15,2,FALSE))</f>
        <v>High</v>
      </c>
      <c r="G23" s="363">
        <f>IF(D23="","",VLOOKUP(D23,'G-6 Hedgerow Data'!$B$2:$AG$15,3,FALSE))</f>
        <v>6</v>
      </c>
      <c r="H23" s="114" t="s">
        <v>329</v>
      </c>
      <c r="I23" s="363">
        <f>IFERROR(VLOOKUP(H23,'G-1 All Habitats'!$Z$2:$AA$9,2,FALSE),"")</f>
        <v>1</v>
      </c>
      <c r="J23" s="114" t="s">
        <v>1029</v>
      </c>
      <c r="K23" s="370" t="str">
        <f>IF(J23="","",IF(VLOOKUP(J23,'G-3 Multipliers'!$L$3:$N$6,2,FALSE)=0,"Spatial Data Missing",VLOOKUP(J23,'G-3 Multipliers'!$L$3:$N$6,2,FALSE)))</f>
        <v xml:space="preserve">High strategic significance </v>
      </c>
      <c r="L23" s="368">
        <f>IF(J23="","",IF(VLOOKUP(J23,'G-3 Multipliers'!$L$3:$N$6,3,FALSE)=0,"Spatial Data Missing ⚠",VLOOKUP(J23,'G-3 Multipliers'!$L$3:$N$6,3,FALSE)))</f>
        <v>1.1499999999999999</v>
      </c>
      <c r="M23" s="369" t="str">
        <f>IF(D23="","",VLOOKUP(D23,'G-6 Hedgerow Data'!$B$1:$AH$15,33,FALSE))</f>
        <v>Like for like or better</v>
      </c>
      <c r="N23" s="376">
        <f t="shared" si="2"/>
        <v>1.4967792569999998</v>
      </c>
      <c r="O23" s="32"/>
      <c r="P23" s="582">
        <v>0</v>
      </c>
      <c r="Q23" s="165">
        <v>0</v>
      </c>
      <c r="R23" s="393">
        <f t="shared" si="3"/>
        <v>0</v>
      </c>
      <c r="S23" s="393">
        <f t="shared" si="4"/>
        <v>0</v>
      </c>
      <c r="T23" s="393">
        <f t="shared" si="5"/>
        <v>0.21692453</v>
      </c>
      <c r="U23" s="415">
        <f t="shared" si="6"/>
        <v>1.4967792569999998</v>
      </c>
      <c r="V23" s="119" t="s">
        <v>1764</v>
      </c>
      <c r="W23" s="120"/>
      <c r="X23" s="120"/>
      <c r="AE23" s="124" t="b">
        <f t="shared" si="0"/>
        <v>0</v>
      </c>
      <c r="AF23" s="124" t="b">
        <f t="shared" si="1"/>
        <v>0</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Hedgecond1</v>
      </c>
    </row>
    <row r="24" spans="2:38" ht="30">
      <c r="B24" s="110">
        <v>15</v>
      </c>
      <c r="C24" s="165" t="s">
        <v>1710</v>
      </c>
      <c r="D24" s="63" t="s">
        <v>176</v>
      </c>
      <c r="E24" s="139">
        <v>0.166065512</v>
      </c>
      <c r="F24" s="411" t="str">
        <f>IF(D24="","",VLOOKUP(D24,'G-6 Hedgerow Data'!$B$2:$AG$15,2,FALSE))</f>
        <v>Low</v>
      </c>
      <c r="G24" s="363">
        <f>IF(D24="","",VLOOKUP(D24,'G-6 Hedgerow Data'!$B$2:$AG$15,3,FALSE))</f>
        <v>2</v>
      </c>
      <c r="H24" s="114" t="s">
        <v>329</v>
      </c>
      <c r="I24" s="363">
        <f>IFERROR(VLOOKUP(H24,'G-1 All Habitats'!$Z$2:$AA$9,2,FALSE),"")</f>
        <v>1</v>
      </c>
      <c r="J24" s="114" t="s">
        <v>1029</v>
      </c>
      <c r="K24" s="370" t="str">
        <f>IF(J24="","",IF(VLOOKUP(J24,'G-3 Multipliers'!$L$3:$N$6,2,FALSE)=0,"Spatial Data Missing",VLOOKUP(J24,'G-3 Multipliers'!$L$3:$N$6,2,FALSE)))</f>
        <v xml:space="preserve">High strategic significance </v>
      </c>
      <c r="L24" s="368">
        <f>IF(J24="","",IF(VLOOKUP(J24,'G-3 Multipliers'!$L$3:$N$6,3,FALSE)=0,"Spatial Data Missing ⚠",VLOOKUP(J24,'G-3 Multipliers'!$L$3:$N$6,3,FALSE)))</f>
        <v>1.1499999999999999</v>
      </c>
      <c r="M24" s="369" t="str">
        <f>IF(D24="","",VLOOKUP(D24,'G-6 Hedgerow Data'!$B$1:$AH$15,33,FALSE))</f>
        <v>Same distinctiveness band or better</v>
      </c>
      <c r="N24" s="376">
        <f t="shared" si="2"/>
        <v>0.38195067759999995</v>
      </c>
      <c r="O24" s="32"/>
      <c r="P24" s="582">
        <v>0</v>
      </c>
      <c r="Q24" s="165">
        <v>0</v>
      </c>
      <c r="R24" s="393">
        <f t="shared" si="3"/>
        <v>0</v>
      </c>
      <c r="S24" s="393">
        <f t="shared" si="4"/>
        <v>0</v>
      </c>
      <c r="T24" s="393">
        <f t="shared" si="5"/>
        <v>0.166065512</v>
      </c>
      <c r="U24" s="415">
        <f t="shared" si="6"/>
        <v>0.38195067759999995</v>
      </c>
      <c r="V24" s="119" t="s">
        <v>1765</v>
      </c>
      <c r="W24" s="120"/>
      <c r="X24" s="120"/>
      <c r="AE24" s="124" t="b">
        <f t="shared" si="0"/>
        <v>0</v>
      </c>
      <c r="AF24" s="124" t="b">
        <f t="shared" si="1"/>
        <v>0</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Hedgecond1</v>
      </c>
    </row>
    <row r="25" spans="2:38" ht="30">
      <c r="B25" s="110">
        <v>16</v>
      </c>
      <c r="C25" s="165" t="s">
        <v>1711</v>
      </c>
      <c r="D25" s="63" t="s">
        <v>176</v>
      </c>
      <c r="E25" s="139">
        <v>7.7062505000000003E-2</v>
      </c>
      <c r="F25" s="411" t="str">
        <f>IF(D25="","",VLOOKUP(D25,'G-6 Hedgerow Data'!$B$2:$AG$15,2,FALSE))</f>
        <v>Low</v>
      </c>
      <c r="G25" s="363">
        <f>IF(D25="","",VLOOKUP(D25,'G-6 Hedgerow Data'!$B$2:$AG$15,3,FALSE))</f>
        <v>2</v>
      </c>
      <c r="H25" s="114" t="s">
        <v>329</v>
      </c>
      <c r="I25" s="363">
        <f>IFERROR(VLOOKUP(H25,'G-1 All Habitats'!$Z$2:$AA$9,2,FALSE),"")</f>
        <v>1</v>
      </c>
      <c r="J25" s="114" t="s">
        <v>1029</v>
      </c>
      <c r="K25" s="370" t="str">
        <f>IF(J25="","",IF(VLOOKUP(J25,'G-3 Multipliers'!$L$3:$N$6,2,FALSE)=0,"Spatial Data Missing",VLOOKUP(J25,'G-3 Multipliers'!$L$3:$N$6,2,FALSE)))</f>
        <v xml:space="preserve">High strategic significance </v>
      </c>
      <c r="L25" s="368">
        <f>IF(J25="","",IF(VLOOKUP(J25,'G-3 Multipliers'!$L$3:$N$6,3,FALSE)=0,"Spatial Data Missing ⚠",VLOOKUP(J25,'G-3 Multipliers'!$L$3:$N$6,3,FALSE)))</f>
        <v>1.1499999999999999</v>
      </c>
      <c r="M25" s="369" t="str">
        <f>IF(D25="","",VLOOKUP(D25,'G-6 Hedgerow Data'!$B$1:$AH$15,33,FALSE))</f>
        <v>Same distinctiveness band or better</v>
      </c>
      <c r="N25" s="376">
        <f t="shared" si="2"/>
        <v>0.17724376149999999</v>
      </c>
      <c r="O25" s="32"/>
      <c r="P25" s="582">
        <v>0</v>
      </c>
      <c r="Q25" s="165">
        <v>0</v>
      </c>
      <c r="R25" s="393">
        <f t="shared" si="3"/>
        <v>0</v>
      </c>
      <c r="S25" s="393">
        <f t="shared" si="4"/>
        <v>0</v>
      </c>
      <c r="T25" s="393">
        <f t="shared" si="5"/>
        <v>7.7062505000000003E-2</v>
      </c>
      <c r="U25" s="415">
        <f t="shared" si="6"/>
        <v>0.17724376149999999</v>
      </c>
      <c r="V25" s="119" t="s">
        <v>1766</v>
      </c>
      <c r="W25" s="120"/>
      <c r="X25" s="120"/>
      <c r="AE25" s="124" t="b">
        <f t="shared" si="0"/>
        <v>0</v>
      </c>
      <c r="AF25" s="124" t="b">
        <f t="shared" si="1"/>
        <v>0</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Hedgecond1</v>
      </c>
    </row>
    <row r="26" spans="2:38" ht="30">
      <c r="B26" s="110">
        <v>17</v>
      </c>
      <c r="C26" s="165" t="s">
        <v>1712</v>
      </c>
      <c r="D26" s="63" t="s">
        <v>176</v>
      </c>
      <c r="E26" s="139">
        <v>0.17566441899999999</v>
      </c>
      <c r="F26" s="411" t="str">
        <f>IF(D26="","",VLOOKUP(D26,'G-6 Hedgerow Data'!$B$2:$AG$15,2,FALSE))</f>
        <v>Low</v>
      </c>
      <c r="G26" s="363">
        <f>IF(D26="","",VLOOKUP(D26,'G-6 Hedgerow Data'!$B$2:$AG$15,3,FALSE))</f>
        <v>2</v>
      </c>
      <c r="H26" s="114" t="s">
        <v>329</v>
      </c>
      <c r="I26" s="363">
        <f>IFERROR(VLOOKUP(H26,'G-1 All Habitats'!$Z$2:$AA$9,2,FALSE),"")</f>
        <v>1</v>
      </c>
      <c r="J26" s="114" t="s">
        <v>1029</v>
      </c>
      <c r="K26" s="370" t="str">
        <f>IF(J26="","",IF(VLOOKUP(J26,'G-3 Multipliers'!$L$3:$N$6,2,FALSE)=0,"Spatial Data Missing",VLOOKUP(J26,'G-3 Multipliers'!$L$3:$N$6,2,FALSE)))</f>
        <v xml:space="preserve">High strategic significance </v>
      </c>
      <c r="L26" s="368">
        <f>IF(J26="","",IF(VLOOKUP(J26,'G-3 Multipliers'!$L$3:$N$6,3,FALSE)=0,"Spatial Data Missing ⚠",VLOOKUP(J26,'G-3 Multipliers'!$L$3:$N$6,3,FALSE)))</f>
        <v>1.1499999999999999</v>
      </c>
      <c r="M26" s="369" t="str">
        <f>IF(D26="","",VLOOKUP(D26,'G-6 Hedgerow Data'!$B$1:$AH$15,33,FALSE))</f>
        <v>Same distinctiveness band or better</v>
      </c>
      <c r="N26" s="376">
        <f t="shared" si="2"/>
        <v>0.40402816369999994</v>
      </c>
      <c r="O26" s="32"/>
      <c r="P26" s="582">
        <v>0</v>
      </c>
      <c r="Q26" s="165">
        <v>0</v>
      </c>
      <c r="R26" s="393">
        <f t="shared" si="3"/>
        <v>0</v>
      </c>
      <c r="S26" s="393">
        <f t="shared" si="4"/>
        <v>0</v>
      </c>
      <c r="T26" s="393">
        <f t="shared" si="5"/>
        <v>0.17566441899999999</v>
      </c>
      <c r="U26" s="415">
        <f t="shared" si="6"/>
        <v>0.40402816369999994</v>
      </c>
      <c r="V26" s="119" t="s">
        <v>1767</v>
      </c>
      <c r="W26" s="120"/>
      <c r="X26" s="120"/>
      <c r="AE26" s="124" t="b">
        <f t="shared" si="0"/>
        <v>0</v>
      </c>
      <c r="AF26" s="124" t="b">
        <f t="shared" si="1"/>
        <v>0</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Hedgecond1</v>
      </c>
    </row>
    <row r="27" spans="2:38" ht="30">
      <c r="B27" s="110">
        <v>18</v>
      </c>
      <c r="C27" s="165" t="s">
        <v>1713</v>
      </c>
      <c r="D27" s="159" t="s">
        <v>176</v>
      </c>
      <c r="E27" s="139">
        <v>0.276674588</v>
      </c>
      <c r="F27" s="411" t="str">
        <f>IF(D27="","",VLOOKUP(D27,'G-6 Hedgerow Data'!$B$2:$AG$15,2,FALSE))</f>
        <v>Low</v>
      </c>
      <c r="G27" s="363">
        <f>IF(D27="","",VLOOKUP(D27,'G-6 Hedgerow Data'!$B$2:$AG$15,3,FALSE))</f>
        <v>2</v>
      </c>
      <c r="H27" s="114" t="s">
        <v>67</v>
      </c>
      <c r="I27" s="363">
        <f>IFERROR(VLOOKUP(H27,'G-1 All Habitats'!$Z$2:$AA$9,2,FALSE),"")</f>
        <v>2</v>
      </c>
      <c r="J27" s="114" t="s">
        <v>1029</v>
      </c>
      <c r="K27" s="370" t="str">
        <f>IF(J27="","",IF(VLOOKUP(J27,'G-3 Multipliers'!$L$3:$N$6,2,FALSE)=0,"Spatial Data Missing",VLOOKUP(J27,'G-3 Multipliers'!$L$3:$N$6,2,FALSE)))</f>
        <v xml:space="preserve">High strategic significance </v>
      </c>
      <c r="L27" s="368">
        <f>IF(J27="","",IF(VLOOKUP(J27,'G-3 Multipliers'!$L$3:$N$6,3,FALSE)=0,"Spatial Data Missing ⚠",VLOOKUP(J27,'G-3 Multipliers'!$L$3:$N$6,3,FALSE)))</f>
        <v>1.1499999999999999</v>
      </c>
      <c r="M27" s="369" t="str">
        <f>IF(D27="","",VLOOKUP(D27,'G-6 Hedgerow Data'!$B$1:$AH$15,33,FALSE))</f>
        <v>Same distinctiveness band or better</v>
      </c>
      <c r="N27" s="376">
        <f t="shared" si="2"/>
        <v>1.2727031047999999</v>
      </c>
      <c r="O27" s="32"/>
      <c r="P27" s="582">
        <v>0</v>
      </c>
      <c r="Q27" s="165">
        <v>0</v>
      </c>
      <c r="R27" s="393">
        <f t="shared" si="3"/>
        <v>0</v>
      </c>
      <c r="S27" s="393">
        <f t="shared" si="4"/>
        <v>0</v>
      </c>
      <c r="T27" s="393">
        <f t="shared" si="5"/>
        <v>0.276674588</v>
      </c>
      <c r="U27" s="415">
        <f t="shared" si="6"/>
        <v>1.2727031047999999</v>
      </c>
      <c r="V27" s="119" t="s">
        <v>1768</v>
      </c>
      <c r="W27" s="120"/>
      <c r="X27" s="120"/>
      <c r="AE27" s="124" t="b">
        <f t="shared" si="0"/>
        <v>0</v>
      </c>
      <c r="AF27" s="124" t="b">
        <f t="shared" si="1"/>
        <v>0</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Hedgecond1</v>
      </c>
    </row>
    <row r="28" spans="2:38" ht="30">
      <c r="B28" s="110">
        <v>19</v>
      </c>
      <c r="C28" s="165" t="s">
        <v>1714</v>
      </c>
      <c r="D28" s="159" t="s">
        <v>173</v>
      </c>
      <c r="E28" s="139">
        <v>0.139663014</v>
      </c>
      <c r="F28" s="411" t="str">
        <f>IF(D28="","",VLOOKUP(D28,'G-6 Hedgerow Data'!$B$2:$AG$15,2,FALSE))</f>
        <v>Medium</v>
      </c>
      <c r="G28" s="363">
        <f>IF(D28="","",VLOOKUP(D28,'G-6 Hedgerow Data'!$B$2:$AG$15,3,FALSE))</f>
        <v>4</v>
      </c>
      <c r="H28" s="114" t="s">
        <v>329</v>
      </c>
      <c r="I28" s="363">
        <f>IFERROR(VLOOKUP(H28,'G-1 All Habitats'!$Z$2:$AA$9,2,FALSE),"")</f>
        <v>1</v>
      </c>
      <c r="J28" s="114" t="s">
        <v>1029</v>
      </c>
      <c r="K28" s="370" t="str">
        <f>IF(J28="","",IF(VLOOKUP(J28,'G-3 Multipliers'!$L$3:$N$6,2,FALSE)=0,"Spatial Data Missing",VLOOKUP(J28,'G-3 Multipliers'!$L$3:$N$6,2,FALSE)))</f>
        <v xml:space="preserve">High strategic significance </v>
      </c>
      <c r="L28" s="368">
        <f>IF(J28="","",IF(VLOOKUP(J28,'G-3 Multipliers'!$L$3:$N$6,3,FALSE)=0,"Spatial Data Missing ⚠",VLOOKUP(J28,'G-3 Multipliers'!$L$3:$N$6,3,FALSE)))</f>
        <v>1.1499999999999999</v>
      </c>
      <c r="M28" s="369" t="str">
        <f>IF(D28="","",VLOOKUP(D28,'G-6 Hedgerow Data'!$B$1:$AH$15,33,FALSE))</f>
        <v>Same distinctiveness band or better</v>
      </c>
      <c r="N28" s="376">
        <f t="shared" si="2"/>
        <v>0.64244986439999996</v>
      </c>
      <c r="O28" s="32"/>
      <c r="P28" s="582">
        <v>0</v>
      </c>
      <c r="Q28" s="165">
        <v>0</v>
      </c>
      <c r="R28" s="393">
        <f t="shared" si="3"/>
        <v>0</v>
      </c>
      <c r="S28" s="393">
        <f t="shared" si="4"/>
        <v>0</v>
      </c>
      <c r="T28" s="393">
        <f t="shared" si="5"/>
        <v>0.139663014</v>
      </c>
      <c r="U28" s="415">
        <f t="shared" si="6"/>
        <v>0.64244986439999996</v>
      </c>
      <c r="V28" s="119" t="s">
        <v>1769</v>
      </c>
      <c r="W28" s="120"/>
      <c r="X28" s="120"/>
      <c r="AE28" s="124" t="b">
        <f t="shared" si="0"/>
        <v>0</v>
      </c>
      <c r="AF28" s="124" t="b">
        <f t="shared" si="1"/>
        <v>0</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Hedgecond1</v>
      </c>
    </row>
    <row r="29" spans="2:38">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t="15.75" thickBot="1">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idden="1">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idden="1">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idden="1">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idden="1">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idden="1">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idden="1">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idden="1">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idden="1">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idden="1">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idden="1">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idden="1">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idden="1">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idden="1">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idden="1">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idden="1">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idden="1">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idden="1">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idden="1">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idden="1">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idden="1">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idden="1">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idden="1">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idden="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3.203454453</v>
      </c>
      <c r="M258" s="859"/>
      <c r="N258" s="414">
        <f>SUM(N10:N257)</f>
        <v>21.110029579900001</v>
      </c>
      <c r="O258" s="133"/>
      <c r="P258" s="379">
        <f t="shared" ref="P258:U258" si="28">SUM(P10:P257)</f>
        <v>0</v>
      </c>
      <c r="Q258" s="380">
        <f t="shared" si="28"/>
        <v>0.20192009599999999</v>
      </c>
      <c r="R258" s="380" cm="1">
        <f t="array" ref="R258">IF(OR(T10:T257="Error in Lengths ▲", R10:R27 = "Error"), "Error ▲", SUM(R10:R257))</f>
        <v>0</v>
      </c>
      <c r="S258" s="380" cm="1">
        <f t="array" ref="S258">IF(OR(T10:T257="Error in lengths ▲",S10:S257="Error"),"Error ▲",SUM(S10:S257))</f>
        <v>0.92883244159999989</v>
      </c>
      <c r="T258" s="380">
        <f t="shared" si="28"/>
        <v>3.0015343569999997</v>
      </c>
      <c r="U258" s="377">
        <f t="shared" si="28"/>
        <v>20.1811971383</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lN6Ezw91PdQwMyN5IS4mWnfPzi4iTx0nM81MU8uPvk6StUZBz7NWX48F4dRhAJ9mVNpjTJjgHXXUW/AWKcK5uQ==" saltValue="Wca05liLh3JV4MCe4vWy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87" priority="24" operator="equal">
      <formula>"Like for like or better"</formula>
    </cfRule>
    <cfRule type="cellIs" dxfId="486" priority="25" operator="equal">
      <formula>"Like for like"</formula>
    </cfRule>
    <cfRule type="containsText" dxfId="485" priority="26" operator="containsText" text="Same distinctiveness">
      <formula>NOT(ISERROR(SEARCH("Same distinctiveness",M10)))</formula>
    </cfRule>
  </conditionalFormatting>
  <conditionalFormatting sqref="K10:K257">
    <cfRule type="containsText" dxfId="484" priority="22" operator="containsText" text="Spatial">
      <formula>NOT(ISERROR(SEARCH("Spatial",K10)))</formula>
    </cfRule>
  </conditionalFormatting>
  <conditionalFormatting sqref="L10:L257">
    <cfRule type="containsText" dxfId="483" priority="21" operator="containsText" text="Spatial">
      <formula>NOT(ISERROR(SEARCH("Spatial",L10)))</formula>
    </cfRule>
  </conditionalFormatting>
  <conditionalFormatting sqref="T10:T257">
    <cfRule type="containsText" dxfId="482" priority="20" operator="containsText" text="Error">
      <formula>NOT(ISERROR(SEARCH("Error",T10)))</formula>
    </cfRule>
  </conditionalFormatting>
  <conditionalFormatting sqref="U10:U257">
    <cfRule type="containsText" dxfId="481" priority="19" operator="containsText" text="Error">
      <formula>NOT(ISERROR(SEARCH("Error",U10)))</formula>
    </cfRule>
  </conditionalFormatting>
  <conditionalFormatting sqref="J3">
    <cfRule type="containsText" dxfId="480" priority="13" operator="containsText" text="Error">
      <formula>NOT(ISERROR(SEARCH("Error",J3)))</formula>
    </cfRule>
    <cfRule type="containsText" dxfId="479" priority="14" operator="containsText" text="Check">
      <formula>NOT(ISERROR(SEARCH("Check",J3)))</formula>
    </cfRule>
  </conditionalFormatting>
  <conditionalFormatting sqref="J4">
    <cfRule type="containsText" dxfId="478" priority="1" operator="containsText" text="Error">
      <formula>NOT(ISERROR(SEARCH("Error",J4)))</formula>
    </cfRule>
    <cfRule type="containsText" dxfId="477" priority="2" operator="containsText" text="Check">
      <formula>NOT(ISERROR(SEARCH("Check",J4)))</formula>
    </cfRule>
    <cfRule type="cellIs" dxfId="476" priority="3" operator="equal">
      <formula>0</formula>
    </cfRule>
    <cfRule type="cellIs" dxfId="475" priority="4" operator="lessThan">
      <formula>0</formula>
    </cfRule>
  </conditionalFormatting>
  <conditionalFormatting sqref="J5">
    <cfRule type="containsText" dxfId="474" priority="7" operator="containsText" text="No">
      <formula>NOT(ISERROR(SEARCH("No",J5)))</formula>
    </cfRule>
    <cfRule type="containsText" dxfId="473" priority="8" operator="containsText" text="Yes">
      <formula>NOT(ISERROR(SEARCH("Yes",J5)))</formula>
    </cfRule>
  </conditionalFormatting>
  <conditionalFormatting sqref="I10:I257">
    <cfRule type="containsText" dxfId="472" priority="6" operator="containsText" text="Not possible">
      <formula>NOT(ISERROR(SEARCH("Not possible",I10)))</formula>
    </cfRule>
  </conditionalFormatting>
  <conditionalFormatting sqref="R258:S258">
    <cfRule type="containsText" dxfId="471" priority="5" operator="containsText" text="Error">
      <formula>NOT(ISERROR(SEARCH("Error",R258)))</formula>
    </cfRule>
  </conditionalFormatting>
  <dataValidations count="1">
    <dataValidation type="list" allowBlank="1" showInputMessage="1" showErrorMessage="1" sqref="H10:H257">
      <formula1>INDIRECT(AL10)</formula1>
    </dataValidation>
  </dataValidations>
  <pageMargins left="0.7" right="0.7" top="0.75" bottom="0.75" header="0.3" footer="0.3"/>
  <pageSetup paperSize="8" scale="39"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3" operator="lessThan" id="{B1ACE558-59E3-4CD1-B5A8-4EB8AA7004D8}">
            <xm:f>Start!$F$22</xm:f>
            <x14:dxf>
              <font>
                <color rgb="FF383745"/>
              </font>
              <fill>
                <patternFill>
                  <bgColor rgb="FFFFC000"/>
                </patternFill>
              </fill>
            </x14:dxf>
          </x14:cfRule>
          <x14:cfRule type="cellIs" priority="434"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AC68"/>
  <sheetViews>
    <sheetView showRowColHeaders="0" topLeftCell="A9" zoomScale="80" zoomScaleNormal="80" workbookViewId="0">
      <selection activeCell="F13" sqref="F13:J14"/>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923"/>
      <c r="G1" s="923"/>
      <c r="H1" s="923"/>
      <c r="I1" s="923"/>
      <c r="J1" s="923"/>
      <c r="K1" s="924"/>
      <c r="L1" s="924"/>
      <c r="M1" s="924"/>
      <c r="N1" s="924"/>
      <c r="O1" s="924"/>
      <c r="P1" s="924"/>
    </row>
    <row r="2" spans="1:19" ht="15.75" customHeight="1">
      <c r="B2" s="12"/>
      <c r="C2" s="12"/>
      <c r="E2" s="13"/>
    </row>
    <row r="3" spans="1:19" ht="15.75" customHeight="1">
      <c r="A3" s="13"/>
      <c r="B3" s="13"/>
      <c r="C3" s="13"/>
      <c r="D3" s="13"/>
      <c r="E3" s="13"/>
      <c r="F3" s="925"/>
      <c r="G3" s="925"/>
      <c r="H3" s="925"/>
      <c r="I3" s="925"/>
      <c r="J3" s="925"/>
      <c r="K3" s="925"/>
      <c r="L3" s="925"/>
      <c r="M3" s="925"/>
      <c r="N3" s="925"/>
      <c r="O3" s="925"/>
      <c r="P3" s="925"/>
      <c r="Q3" s="925"/>
    </row>
    <row r="4" spans="1:19" ht="16.5" customHeight="1">
      <c r="A4" s="13"/>
      <c r="B4" s="13"/>
      <c r="C4" s="13"/>
      <c r="D4" s="13"/>
      <c r="E4" s="13"/>
      <c r="F4" s="925"/>
      <c r="G4" s="925"/>
      <c r="H4" s="925"/>
      <c r="I4" s="925"/>
      <c r="J4" s="925"/>
      <c r="K4" s="925"/>
      <c r="L4" s="925"/>
      <c r="M4" s="925"/>
      <c r="N4" s="925"/>
      <c r="O4" s="925"/>
      <c r="P4" s="925"/>
      <c r="Q4" s="925"/>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702">
        <v>4</v>
      </c>
      <c r="E8" s="930"/>
      <c r="F8" s="930"/>
      <c r="G8" s="930"/>
      <c r="H8" s="930"/>
      <c r="I8" s="930"/>
      <c r="J8" s="930"/>
      <c r="K8" s="14"/>
      <c r="L8" s="14"/>
      <c r="M8" s="14"/>
      <c r="N8" s="14"/>
      <c r="O8" s="14"/>
      <c r="P8" s="14"/>
      <c r="Q8" s="14"/>
      <c r="R8" s="14"/>
      <c r="S8" s="14"/>
    </row>
    <row r="9" spans="1:19" ht="23.45" customHeight="1">
      <c r="B9" s="12"/>
      <c r="D9" s="931" t="s">
        <v>0</v>
      </c>
      <c r="E9" s="932"/>
      <c r="F9" s="932"/>
      <c r="G9" s="932"/>
      <c r="H9" s="932"/>
      <c r="I9" s="932"/>
      <c r="J9" s="933"/>
      <c r="K9" s="14"/>
      <c r="L9" s="14"/>
      <c r="M9" s="14"/>
      <c r="N9" s="14"/>
      <c r="O9" s="14"/>
      <c r="P9" s="14"/>
      <c r="Q9" s="14"/>
      <c r="R9" s="14"/>
      <c r="S9" s="14"/>
    </row>
    <row r="10" spans="1:19" ht="21.6" customHeight="1" thickBot="1">
      <c r="B10" s="12"/>
      <c r="D10" s="934"/>
      <c r="E10" s="935"/>
      <c r="F10" s="935"/>
      <c r="G10" s="935"/>
      <c r="H10" s="935"/>
      <c r="I10" s="935"/>
      <c r="J10" s="936"/>
      <c r="K10" s="14"/>
      <c r="L10" s="14"/>
      <c r="M10" s="14"/>
      <c r="N10" s="14"/>
      <c r="P10" s="14"/>
      <c r="Q10" s="14"/>
      <c r="R10" s="14"/>
    </row>
    <row r="11" spans="1:19" ht="25.9" customHeight="1">
      <c r="B11" s="12"/>
      <c r="D11" s="926" t="s">
        <v>1</v>
      </c>
      <c r="E11" s="927"/>
      <c r="F11" s="928" t="s">
        <v>1302</v>
      </c>
      <c r="G11" s="928"/>
      <c r="H11" s="928"/>
      <c r="I11" s="928"/>
      <c r="J11" s="929"/>
      <c r="K11" s="14"/>
      <c r="L11" s="14"/>
      <c r="M11" s="14"/>
      <c r="N11" s="14"/>
      <c r="P11" s="14"/>
      <c r="Q11" s="14"/>
      <c r="R11" s="14"/>
    </row>
    <row r="12" spans="1:19" ht="24" customHeight="1">
      <c r="B12" s="12"/>
      <c r="D12" s="915" t="s">
        <v>2</v>
      </c>
      <c r="E12" s="916"/>
      <c r="F12" s="919" t="s">
        <v>1754</v>
      </c>
      <c r="G12" s="919"/>
      <c r="H12" s="919"/>
      <c r="I12" s="919"/>
      <c r="J12" s="920"/>
      <c r="K12" s="14"/>
      <c r="L12" s="14"/>
      <c r="M12" s="14"/>
      <c r="N12" s="14"/>
      <c r="P12" s="14"/>
      <c r="Q12" s="14"/>
      <c r="R12" s="14"/>
    </row>
    <row r="13" spans="1:19" ht="21.6" customHeight="1">
      <c r="B13" s="12"/>
      <c r="D13" s="915" t="s">
        <v>3</v>
      </c>
      <c r="E13" s="916"/>
      <c r="F13" s="919" t="s">
        <v>1684</v>
      </c>
      <c r="G13" s="919"/>
      <c r="H13" s="919"/>
      <c r="I13" s="919"/>
      <c r="J13" s="920"/>
      <c r="K13" s="14"/>
      <c r="L13" s="14"/>
      <c r="M13" s="14"/>
      <c r="N13" s="14"/>
      <c r="P13" s="14"/>
      <c r="Q13" s="14"/>
      <c r="R13" s="14"/>
    </row>
    <row r="14" spans="1:19" ht="22.15" customHeight="1">
      <c r="B14" s="12"/>
      <c r="D14" s="915" t="s">
        <v>4</v>
      </c>
      <c r="E14" s="916"/>
      <c r="F14" s="919" t="s">
        <v>1685</v>
      </c>
      <c r="G14" s="919"/>
      <c r="H14" s="919"/>
      <c r="I14" s="919"/>
      <c r="J14" s="920"/>
      <c r="K14" s="14"/>
      <c r="L14" s="14"/>
      <c r="M14" s="14"/>
      <c r="N14" s="14"/>
      <c r="P14" s="14"/>
      <c r="Q14" s="14"/>
      <c r="R14" s="14"/>
    </row>
    <row r="15" spans="1:19" ht="21.6" customHeight="1">
      <c r="B15" s="12"/>
      <c r="D15" s="915" t="s">
        <v>5</v>
      </c>
      <c r="E15" s="916"/>
      <c r="F15" s="919"/>
      <c r="G15" s="919"/>
      <c r="H15" s="919"/>
      <c r="I15" s="919"/>
      <c r="J15" s="920"/>
      <c r="K15" s="14"/>
      <c r="L15" s="14"/>
      <c r="M15" s="14"/>
      <c r="N15" s="14"/>
      <c r="P15" s="14"/>
      <c r="Q15" s="14"/>
      <c r="R15" s="14"/>
    </row>
    <row r="16" spans="1:19" ht="21" customHeight="1">
      <c r="D16" s="915" t="s">
        <v>6</v>
      </c>
      <c r="E16" s="916"/>
      <c r="F16" s="919" t="s">
        <v>1750</v>
      </c>
      <c r="G16" s="919"/>
      <c r="H16" s="919"/>
      <c r="I16" s="919"/>
      <c r="J16" s="920"/>
      <c r="K16" s="14"/>
      <c r="L16" s="14"/>
      <c r="M16" s="14"/>
      <c r="N16" s="14"/>
      <c r="P16" s="14"/>
      <c r="Q16" s="14"/>
      <c r="R16" s="14"/>
    </row>
    <row r="17" spans="3:18" ht="21" customHeight="1">
      <c r="D17" s="915" t="s">
        <v>7</v>
      </c>
      <c r="E17" s="916"/>
      <c r="F17" s="921" t="s">
        <v>1751</v>
      </c>
      <c r="G17" s="921"/>
      <c r="H17" s="921"/>
      <c r="I17" s="921"/>
      <c r="J17" s="922"/>
      <c r="K17" s="14"/>
      <c r="L17" s="14"/>
      <c r="M17" s="14"/>
      <c r="N17" s="14"/>
      <c r="P17" s="14"/>
      <c r="Q17" s="14"/>
      <c r="R17" s="14"/>
    </row>
    <row r="18" spans="3:18" ht="23.45" customHeight="1">
      <c r="D18" s="915" t="s">
        <v>8</v>
      </c>
      <c r="E18" s="916"/>
      <c r="F18" s="919" t="s">
        <v>1752</v>
      </c>
      <c r="G18" s="919"/>
      <c r="H18" s="919"/>
      <c r="I18" s="919"/>
      <c r="J18" s="920"/>
      <c r="K18" s="14"/>
      <c r="L18" s="14"/>
      <c r="M18" s="14"/>
      <c r="N18" s="14"/>
      <c r="P18" s="14"/>
      <c r="Q18" s="14"/>
      <c r="R18" s="14"/>
    </row>
    <row r="19" spans="3:18" ht="24.6" customHeight="1">
      <c r="D19" s="915" t="s">
        <v>9</v>
      </c>
      <c r="E19" s="916"/>
      <c r="F19" s="919"/>
      <c r="G19" s="919"/>
      <c r="H19" s="919"/>
      <c r="I19" s="919"/>
      <c r="J19" s="920"/>
      <c r="K19" s="14"/>
      <c r="L19" s="14"/>
      <c r="M19" s="14"/>
      <c r="N19" s="14"/>
      <c r="P19" s="14"/>
      <c r="Q19" s="14"/>
      <c r="R19" s="14"/>
    </row>
    <row r="20" spans="3:18" ht="24.6" customHeight="1">
      <c r="D20" s="896" t="s">
        <v>10</v>
      </c>
      <c r="E20" s="897"/>
      <c r="F20" s="910"/>
      <c r="G20" s="911"/>
      <c r="H20" s="911"/>
      <c r="I20" s="911"/>
      <c r="J20" s="912"/>
      <c r="K20" s="14"/>
      <c r="L20" s="14"/>
      <c r="M20" s="14"/>
      <c r="N20" s="14"/>
      <c r="P20" s="14"/>
      <c r="Q20" s="14"/>
      <c r="R20" s="14"/>
    </row>
    <row r="21" spans="3:18" ht="19.899999999999999" customHeight="1">
      <c r="D21" s="917" t="s">
        <v>11</v>
      </c>
      <c r="E21" s="918"/>
      <c r="F21" s="913"/>
      <c r="G21" s="913"/>
      <c r="H21" s="913"/>
      <c r="I21" s="913"/>
      <c r="J21" s="914"/>
      <c r="K21" s="14"/>
      <c r="L21" s="14"/>
      <c r="M21" s="14"/>
      <c r="N21" s="14"/>
      <c r="P21" s="14"/>
      <c r="Q21" s="14"/>
      <c r="R21" s="14"/>
    </row>
    <row r="22" spans="3:18" ht="19.899999999999999" customHeight="1">
      <c r="D22" s="896" t="s">
        <v>12</v>
      </c>
      <c r="E22" s="897"/>
      <c r="F22" s="898">
        <v>0.1</v>
      </c>
      <c r="G22" s="899"/>
      <c r="H22" s="900"/>
      <c r="I22" s="906" t="str">
        <f>IF(OR(F22&gt;=10%,F22=""),"","Target set below 10% ▲")</f>
        <v/>
      </c>
      <c r="J22" s="907"/>
      <c r="K22" s="14"/>
      <c r="L22" s="14"/>
      <c r="M22" s="14"/>
      <c r="N22" s="14"/>
      <c r="P22" s="14"/>
      <c r="Q22" s="14"/>
      <c r="R22" s="14"/>
    </row>
    <row r="23" spans="3:18" ht="30.95" customHeight="1">
      <c r="D23" s="908" t="s">
        <v>13</v>
      </c>
      <c r="E23" s="909"/>
      <c r="F23" s="901" t="s">
        <v>52</v>
      </c>
      <c r="G23" s="902"/>
      <c r="H23" s="903"/>
      <c r="I23" s="904" t="str">
        <f>IF(F23="Yes","Irreplaceable habitats at baseline, you must fill in the irreplaceable habitat tab ⚠",IF(F23="","You must specify if irreplaceable habitats are on-site at baseline ▲",""))</f>
        <v>Irreplaceable habitats at baseline, you must fill in the irreplaceable habitat tab ⚠</v>
      </c>
      <c r="J23" s="905"/>
      <c r="K23" s="14"/>
      <c r="L23" s="14"/>
      <c r="M23" s="14"/>
      <c r="N23" s="14"/>
      <c r="P23" s="14"/>
      <c r="Q23" s="14"/>
      <c r="R23" s="14"/>
    </row>
    <row r="24" spans="3:18" ht="36.950000000000003" customHeight="1">
      <c r="D24" s="961" t="s">
        <v>14</v>
      </c>
      <c r="E24" s="962"/>
      <c r="F24" s="976">
        <f>'Detailed Results'!D21+'Irreplaceable Habitats'!S38</f>
        <v>40.575935598519997</v>
      </c>
      <c r="G24" s="977"/>
      <c r="H24" s="977"/>
      <c r="I24" s="600" t="s">
        <v>15</v>
      </c>
      <c r="J24" s="601">
        <f>'Irreplaceable Habitats'!M32</f>
        <v>0.17618396625999999</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41" t="s">
        <v>16</v>
      </c>
      <c r="E27" s="942"/>
      <c r="F27" s="943"/>
      <c r="G27" s="943"/>
      <c r="H27" s="943"/>
      <c r="I27" s="944" t="str">
        <f>IF(F27="Yes", "Only acceptable in exceptionally rare circumstances, ensure any deviations have been agreed with the consenting body ⚠", "")</f>
        <v/>
      </c>
      <c r="J27" s="945"/>
      <c r="P27" s="14"/>
      <c r="Q27" s="14"/>
      <c r="R27" s="14"/>
    </row>
    <row r="28" spans="3:18" ht="16.5" customHeight="1" thickBot="1">
      <c r="C28" s="14"/>
      <c r="K28" s="14"/>
      <c r="P28" s="14"/>
      <c r="Q28" s="14"/>
      <c r="R28" s="14"/>
    </row>
    <row r="29" spans="3:18" ht="20.25" customHeight="1" thickBot="1">
      <c r="C29" s="14"/>
      <c r="D29" s="965" t="s">
        <v>17</v>
      </c>
      <c r="E29" s="966"/>
      <c r="F29" s="966"/>
      <c r="G29" s="966"/>
      <c r="H29" s="966"/>
      <c r="I29" s="966"/>
      <c r="J29" s="967"/>
      <c r="K29" s="14"/>
      <c r="L29" s="15"/>
      <c r="M29" s="15"/>
      <c r="N29" s="15"/>
      <c r="P29" s="14"/>
      <c r="Q29" s="14"/>
      <c r="R29" s="14"/>
    </row>
    <row r="30" spans="3:18" ht="20.25" customHeight="1">
      <c r="C30" s="14"/>
      <c r="D30" s="972" t="s">
        <v>18</v>
      </c>
      <c r="E30" s="973"/>
      <c r="F30" s="974" t="s">
        <v>19</v>
      </c>
      <c r="G30" s="974"/>
      <c r="H30" s="974"/>
      <c r="I30" s="974"/>
      <c r="J30" s="975"/>
      <c r="K30" s="14"/>
      <c r="L30" s="15"/>
      <c r="M30" s="15"/>
      <c r="N30" s="15"/>
      <c r="P30" s="14"/>
      <c r="Q30" s="14"/>
      <c r="R30" s="14"/>
    </row>
    <row r="31" spans="3:18" ht="16.5" customHeight="1">
      <c r="D31" s="968" t="s">
        <v>20</v>
      </c>
      <c r="E31" s="969"/>
      <c r="F31" s="970" t="s">
        <v>21</v>
      </c>
      <c r="G31" s="970"/>
      <c r="H31" s="970"/>
      <c r="I31" s="970"/>
      <c r="J31" s="971"/>
      <c r="P31" s="14"/>
      <c r="Q31" s="14"/>
      <c r="R31" s="14"/>
    </row>
    <row r="32" spans="3:18" ht="16.5" customHeight="1">
      <c r="D32" s="950"/>
      <c r="E32" s="951"/>
      <c r="F32" s="952" t="s">
        <v>22</v>
      </c>
      <c r="G32" s="953"/>
      <c r="H32" s="953"/>
      <c r="I32" s="953"/>
      <c r="J32" s="954"/>
      <c r="P32" s="14"/>
      <c r="Q32" s="14"/>
      <c r="R32" s="14"/>
    </row>
    <row r="33" spans="4:18" ht="16.5" customHeight="1">
      <c r="D33" s="963"/>
      <c r="E33" s="964"/>
      <c r="F33" s="948" t="s">
        <v>23</v>
      </c>
      <c r="G33" s="948"/>
      <c r="H33" s="948"/>
      <c r="I33" s="948"/>
      <c r="J33" s="949"/>
      <c r="K33" s="14"/>
      <c r="L33" s="14"/>
      <c r="M33" s="14"/>
      <c r="N33" s="14"/>
      <c r="P33" s="14"/>
      <c r="Q33" s="14"/>
      <c r="R33" s="14"/>
    </row>
    <row r="34" spans="4:18" ht="16.5" customHeight="1">
      <c r="D34" s="946"/>
      <c r="E34" s="947"/>
      <c r="F34" s="948" t="s">
        <v>24</v>
      </c>
      <c r="G34" s="948"/>
      <c r="H34" s="948"/>
      <c r="I34" s="948"/>
      <c r="J34" s="949"/>
      <c r="K34" s="14"/>
      <c r="L34" s="14"/>
      <c r="M34" s="14"/>
      <c r="N34" s="14"/>
      <c r="P34" s="14"/>
      <c r="Q34" s="14"/>
      <c r="R34" s="14"/>
    </row>
    <row r="35" spans="4:18" ht="16.5" customHeight="1" thickBot="1">
      <c r="D35" s="937"/>
      <c r="E35" s="938"/>
      <c r="F35" s="939" t="s">
        <v>25</v>
      </c>
      <c r="G35" s="939"/>
      <c r="H35" s="939"/>
      <c r="I35" s="939"/>
      <c r="J35" s="940"/>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59" t="s">
        <v>26</v>
      </c>
      <c r="E55" s="960"/>
      <c r="F55" s="955"/>
      <c r="G55" s="956"/>
      <c r="I55" s="957" t="s">
        <v>27</v>
      </c>
      <c r="J55" s="958"/>
      <c r="K55" s="955"/>
      <c r="L55" s="955"/>
      <c r="M55" s="955"/>
      <c r="N55" s="955"/>
      <c r="O55" s="956"/>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57" t="s">
        <v>28</v>
      </c>
      <c r="E66" s="958"/>
      <c r="F66" s="955"/>
      <c r="G66" s="956"/>
      <c r="I66" s="957" t="s">
        <v>29</v>
      </c>
      <c r="J66" s="958"/>
      <c r="K66" s="955"/>
      <c r="L66" s="955"/>
      <c r="M66" s="955"/>
      <c r="N66" s="955"/>
      <c r="O66" s="956"/>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I22">
    <cfRule type="containsText" dxfId="937" priority="12" operator="containsText" text="▲">
      <formula>NOT(ISERROR(SEARCH("▲",I22)))</formula>
    </cfRule>
  </conditionalFormatting>
  <conditionalFormatting sqref="F27 F23:F24">
    <cfRule type="containsText" dxfId="936" priority="10" operator="containsText" text="No">
      <formula>NOT(ISERROR(SEARCH("No",F23)))</formula>
    </cfRule>
    <cfRule type="containsText" dxfId="935" priority="11" operator="containsText" text="Yes">
      <formula>NOT(ISERROR(SEARCH("Yes",F23)))</formula>
    </cfRule>
  </conditionalFormatting>
  <conditionalFormatting sqref="I23">
    <cfRule type="containsText" dxfId="934" priority="8" operator="containsText" text="tab">
      <formula>NOT(ISERROR(SEARCH("tab",I23)))</formula>
    </cfRule>
    <cfRule type="containsText" dxfId="933" priority="9" operator="containsText" text="▲">
      <formula>NOT(ISERROR(SEARCH("▲",I23)))</formula>
    </cfRule>
  </conditionalFormatting>
  <conditionalFormatting sqref="I27 I24">
    <cfRule type="containsText" dxfId="932" priority="6" operator="containsText" text="tab">
      <formula>NOT(ISERROR(SEARCH("tab",I24)))</formula>
    </cfRule>
    <cfRule type="containsText" dxfId="931" priority="7" operator="containsText" text="▲">
      <formula>NOT(ISERROR(SEARCH("▲",I24)))</formula>
    </cfRule>
  </conditionalFormatting>
  <conditionalFormatting sqref="J24">
    <cfRule type="containsText" dxfId="930" priority="2" operator="containsText" text="tab">
      <formula>NOT(ISERROR(SEARCH("tab",J24)))</formula>
    </cfRule>
    <cfRule type="containsText" dxfId="929" priority="3" operator="containsText" text="▲">
      <formula>NOT(ISERROR(SEARCH("▲",J24)))</formula>
    </cfRule>
  </conditionalFormatting>
  <conditionalFormatting sqref="I27:J27">
    <cfRule type="containsBlanks" dxfId="928" priority="1">
      <formula>LEN(TRIM(I27))=0</formula>
    </cfRule>
  </conditionalFormatting>
  <dataValidations count="2">
    <dataValidation type="list" allowBlank="1" showInputMessage="1" showErrorMessage="1" sqref="F23">
      <formula1>"Yes, No"</formula1>
    </dataValidation>
    <dataValidation type="list" showInputMessage="1" showErrorMessage="1" sqref="F27:H27">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63300"/>
    <pageSetUpPr fitToPage="1"/>
  </sheetPr>
  <dimension ref="A1:AG268"/>
  <sheetViews>
    <sheetView showGridLines="0" topLeftCell="K1" zoomScale="80" zoomScaleNormal="80" workbookViewId="0">
      <pane ySplit="11" topLeftCell="A12" activePane="bottomLeft" state="frozen"/>
      <selection pane="bottomLeft" activeCell="X14" sqref="X14"/>
    </sheetView>
  </sheetViews>
  <sheetFormatPr defaultColWidth="0" defaultRowHeight="0" customHeight="1" zeroHeight="1"/>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row r="2" spans="2:33" ht="21.6" customHeight="1" thickBot="1">
      <c r="B2" s="1551" t="str">
        <f>CONCATENATE("Project Name:", " ", Start!F12, "     ", "Map Reference:", " ", Start!K55)</f>
        <v xml:space="preserve">Project Name: Barnsley West Commerical     Map Reference: </v>
      </c>
      <c r="C2" s="1552"/>
      <c r="D2" s="1553"/>
      <c r="F2" s="1401" t="s">
        <v>381</v>
      </c>
      <c r="G2" s="1402"/>
      <c r="H2" s="1402"/>
      <c r="I2" s="1402"/>
      <c r="J2" s="1403"/>
    </row>
    <row r="3" spans="2:33" ht="15" customHeight="1">
      <c r="B3" s="1509" t="str">
        <f ca="1">MID(CELL("filename",A1),FIND("]",CELL("filename",A1))+1,256)</f>
        <v>B-2 On-Site Hedge Creation</v>
      </c>
      <c r="C3" s="1510"/>
      <c r="D3" s="1511"/>
      <c r="F3" s="1502" t="s">
        <v>264</v>
      </c>
      <c r="G3" s="1503"/>
      <c r="H3" s="1503"/>
      <c r="I3" s="1498">
        <f ca="1">'Headline Results'!H48</f>
        <v>11.168566810968827</v>
      </c>
      <c r="J3" s="1499"/>
      <c r="M3" s="1460" t="str">
        <f>IF(OR(COUNTIF($M$12:M259,"*30+*")&gt;0,COUNTIF($Q$12:Q259,"*30+*")&gt;0),"Note; Habitat selected has a time to target condition greater than 30 years. Non standard agreement may be required. ⚠","")</f>
        <v/>
      </c>
      <c r="N3" s="1460"/>
      <c r="O3" s="1460"/>
      <c r="P3" s="1460"/>
      <c r="Q3" s="1460"/>
      <c r="R3" s="1460"/>
    </row>
    <row r="4" spans="2:33" ht="15.75" customHeight="1" thickBot="1">
      <c r="B4" s="1512"/>
      <c r="C4" s="1513"/>
      <c r="D4" s="1514"/>
      <c r="F4" s="1580" t="s">
        <v>266</v>
      </c>
      <c r="G4" s="1581"/>
      <c r="H4" s="1581"/>
      <c r="I4" s="1574">
        <f ca="1">'Headline Results'!H52</f>
        <v>0.52906447945497059</v>
      </c>
      <c r="J4" s="1575"/>
      <c r="M4" s="1460"/>
      <c r="N4" s="1460"/>
      <c r="O4" s="1460"/>
      <c r="P4" s="1460"/>
      <c r="Q4" s="1460"/>
      <c r="R4" s="1460"/>
    </row>
    <row r="5" spans="2:33" ht="15.75" customHeight="1" thickBot="1">
      <c r="F5" s="1579" t="s">
        <v>268</v>
      </c>
      <c r="G5" s="1576"/>
      <c r="H5" s="1576"/>
      <c r="I5" s="1576" t="str" cm="1">
        <f t="array" aca="1" ref="I5" ca="1">IF(OR('Trading Summary Hedgerows'!G5:H8="No ▲"), "No - check trading summary ▲", "Yes ✓")</f>
        <v>No - check trading summary ▲</v>
      </c>
      <c r="J5" s="1577"/>
      <c r="M5" s="1460"/>
      <c r="N5" s="1460"/>
      <c r="O5" s="1460"/>
      <c r="P5" s="1460"/>
      <c r="Q5" s="1460"/>
      <c r="R5" s="1460"/>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70" t="s">
        <v>390</v>
      </c>
      <c r="E10" s="1572"/>
      <c r="F10" s="1570" t="s">
        <v>270</v>
      </c>
      <c r="G10" s="1572"/>
      <c r="H10" s="1570" t="s">
        <v>358</v>
      </c>
      <c r="I10" s="1572"/>
      <c r="J10" s="1570" t="s">
        <v>272</v>
      </c>
      <c r="K10" s="1571"/>
      <c r="L10" s="1572"/>
      <c r="M10" s="1570" t="s">
        <v>315</v>
      </c>
      <c r="N10" s="1571"/>
      <c r="O10" s="1571"/>
      <c r="P10" s="1571"/>
      <c r="Q10" s="1571"/>
      <c r="R10" s="1572"/>
      <c r="S10" s="1570" t="s">
        <v>338</v>
      </c>
      <c r="T10" s="1571"/>
      <c r="U10" s="1571"/>
      <c r="V10" s="1572"/>
      <c r="W10" s="1534" t="s">
        <v>391</v>
      </c>
      <c r="X10" s="1561" t="s">
        <v>277</v>
      </c>
      <c r="Y10" s="1558"/>
    </row>
    <row r="11" spans="2:33" ht="43.5" thickBot="1">
      <c r="B11" s="140" t="s">
        <v>340</v>
      </c>
      <c r="C11" s="144" t="s">
        <v>392</v>
      </c>
      <c r="D11" s="132" t="s">
        <v>33</v>
      </c>
      <c r="E11" s="861" t="s">
        <v>34</v>
      </c>
      <c r="F11" s="862" t="s">
        <v>270</v>
      </c>
      <c r="G11" s="752" t="s">
        <v>287</v>
      </c>
      <c r="H11" s="132" t="s">
        <v>271</v>
      </c>
      <c r="I11" s="752" t="s">
        <v>287</v>
      </c>
      <c r="J11" s="132" t="s">
        <v>272</v>
      </c>
      <c r="K11" s="811" t="s">
        <v>272</v>
      </c>
      <c r="L11" s="752" t="s">
        <v>318</v>
      </c>
      <c r="M11" s="132" t="s">
        <v>393</v>
      </c>
      <c r="N11" s="811" t="s">
        <v>320</v>
      </c>
      <c r="O11" s="811" t="s">
        <v>321</v>
      </c>
      <c r="P11" s="811" t="s">
        <v>322</v>
      </c>
      <c r="Q11" s="811" t="s">
        <v>323</v>
      </c>
      <c r="R11" s="752" t="s">
        <v>324</v>
      </c>
      <c r="S11" s="132" t="s">
        <v>325</v>
      </c>
      <c r="T11" s="811" t="s">
        <v>1682</v>
      </c>
      <c r="U11" s="811" t="s">
        <v>327</v>
      </c>
      <c r="V11" s="752" t="s">
        <v>328</v>
      </c>
      <c r="W11" s="1567"/>
      <c r="X11" s="126" t="s">
        <v>296</v>
      </c>
      <c r="Y11" s="861" t="s">
        <v>297</v>
      </c>
      <c r="Z11" s="48" t="s">
        <v>298</v>
      </c>
      <c r="AG11" s="101" t="s">
        <v>281</v>
      </c>
    </row>
    <row r="12" spans="2:33" ht="30">
      <c r="B12" s="291">
        <v>1</v>
      </c>
      <c r="C12" s="166" t="s">
        <v>1747</v>
      </c>
      <c r="D12" s="63" t="s">
        <v>171</v>
      </c>
      <c r="E12" s="53">
        <v>0.123806183</v>
      </c>
      <c r="F12" s="411" t="str">
        <f>IF(D12="","",VLOOKUP(D12,'G-6 Hedgerow Data'!$B$2:$AG$15,2,FALSE))</f>
        <v>Medium</v>
      </c>
      <c r="G12" s="363">
        <f>IF(D12="","",VLOOKUP(D12,'G-6 Hedgerow Data'!$B$2:$AG$15,3,FALSE))</f>
        <v>4</v>
      </c>
      <c r="H12" s="114" t="s">
        <v>68</v>
      </c>
      <c r="I12" s="363">
        <f>IFERROR(VLOOKUP(H12,'G-1 All Habitats'!$Z$2:$AA$9,2,FALSE),"")</f>
        <v>3</v>
      </c>
      <c r="J12" s="114" t="s">
        <v>1029</v>
      </c>
      <c r="K12" s="370" t="str">
        <f>IF(J12="","",IF(VLOOKUP(J12,'G-3 Multipliers'!$L$3:$N$6,2,FALSE)=0,"Spatial Data Missing ⚠",VLOOKUP(J12,'G-3 Multipliers'!$L$3:$N$6,2,FALSE)))</f>
        <v xml:space="preserve">High strategic significance </v>
      </c>
      <c r="L12" s="368">
        <f>IF(J12="","",IF(VLOOKUP(J12,'G-3 Multipliers'!$L$3:$N$6,3,FALSE)=0,"Spatial Data Missing ⚠",VLOOKUP(J12,'G-3 Multipliers'!$L$3:$N$6,3,FALSE)))</f>
        <v>1.1499999999999999</v>
      </c>
      <c r="M12" s="362">
        <f>IF(OR(D12="",H12=""),"",(INDEX('G-6 Hedgerow Data'!$E$3:$I$15,MATCH(D12,'G-6 Hedgerow Data'!$B$3:$B$15,0),MATCH(H12,'G-6 Hedgerow Data'!$E$2:$I$2,0))))</f>
        <v>12</v>
      </c>
      <c r="N12" s="159">
        <v>0</v>
      </c>
      <c r="O12" s="159">
        <v>3</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383">
        <f>IF(M12="","",IF(P12="Error -both advance and delayed habitat creation ▲","Check Data ⚠",IF(OR(N12="30+",N12="Habitat already in target condition"),0,IF(O12="30+","30+",IF(AND(M12="30+",OR(N12="",N12=0)),"30+",IF(AND(M12="30+",N12&gt;0),30-N12,IF(M12+O12&gt;30,"30+",IF(M12+O12-N12&gt;0,M12+O12-N12,IF(M12-N12&lt;0,0,M12+O12-N12)))))))))</f>
        <v>15</v>
      </c>
      <c r="R12" s="384">
        <f t="shared" ref="R12:R75" si="0">IF(M12="","",IF(Q12="Check Data ⚠","Check Data ⚠",VLOOKUP(Q12,TemporalMultipliers,3,FALSE)))</f>
        <v>0.58601630550000006</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1.0012236990440933</v>
      </c>
      <c r="X12" s="117" t="s">
        <v>1755</v>
      </c>
      <c r="Y12" s="118"/>
      <c r="Z12" s="118"/>
      <c r="AG12" s="30" t="str">
        <f>IFERROR(INDEX('G-6 Hedgerow Data'!$BJ$3:$BJ$15,MATCH(D12,'G-6 Hedgerow Data'!$B$3:$B$15,0)),"")</f>
        <v>Hedgecond1</v>
      </c>
    </row>
    <row r="13" spans="2:33" ht="30">
      <c r="B13" s="110">
        <v>2</v>
      </c>
      <c r="C13" s="166" t="s">
        <v>1748</v>
      </c>
      <c r="D13" s="63" t="s">
        <v>171</v>
      </c>
      <c r="E13" s="53">
        <v>1.2868142039999999</v>
      </c>
      <c r="F13" s="411" t="str">
        <f>IF(D13="","",VLOOKUP(D13,'G-6 Hedgerow Data'!$B$2:$AG$15,2,FALSE))</f>
        <v>Medium</v>
      </c>
      <c r="G13" s="363">
        <f>IF(D13="","",VLOOKUP(D13,'G-6 Hedgerow Data'!$B$2:$AG$15,3,FALSE))</f>
        <v>4</v>
      </c>
      <c r="H13" s="114" t="s">
        <v>68</v>
      </c>
      <c r="I13" s="363">
        <f>IFERROR(VLOOKUP(H13,'G-1 All Habitats'!$Z$2:$AA$9,2,FALSE),"")</f>
        <v>3</v>
      </c>
      <c r="J13" s="114" t="s">
        <v>1029</v>
      </c>
      <c r="K13" s="382" t="str">
        <f>IF(J13="","",IF(VLOOKUP(J13,'G-3 Multipliers'!$L$3:$N$6,2,FALSE)=0,"Spatial Data Missing ⚠",VLOOKUP(J13,'G-3 Multipliers'!$L$3:$N$6,2,FALSE)))</f>
        <v xml:space="preserve">High strategic significance </v>
      </c>
      <c r="L13" s="368">
        <f>IF(J13="","",IF(VLOOKUP(J13,'G-3 Multipliers'!$L$3:$N$6,3,FALSE)=0,"Spatial Data Missing ⚠",VLOOKUP(J13,'G-3 Multipliers'!$L$3:$N$6,3,FALSE)))</f>
        <v>1.1499999999999999</v>
      </c>
      <c r="M13" s="362">
        <f>IF(OR(D13="",H13=""),"",(INDEX('G-6 Hedgerow Data'!$E$3:$I$15,MATCH(D13,'G-6 Hedgerow Data'!$B$3:$B$15,0),MATCH(H13,'G-6 Hedgerow Data'!$E$2:$I$2,0))))</f>
        <v>12</v>
      </c>
      <c r="N13" s="159">
        <v>0</v>
      </c>
      <c r="O13" s="159">
        <v>3</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383">
        <f t="shared" ref="Q13:Q76" si="2">IF(M13="","",IF(P13="Error -both advance and delayed habitat creation ▲","Check Data ⚠",IF(OR(N13="30+",N13="Habitat already in target condition"),0,IF(O13="30+","30+",IF(AND(M13="30+",OR(N13="",N13=0)),"30+",IF(AND(M13="30+",N13&gt;0),30-N13,IF(M13+O13&gt;30,"30+",IF(M13+O13-N13&gt;0,M13+O13-N13,IF(M13-N13&lt;0,0,M13+O13-N13)))))))))</f>
        <v>15</v>
      </c>
      <c r="R13" s="384">
        <f t="shared" si="0"/>
        <v>0.58601630550000006</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10.406498658563446</v>
      </c>
      <c r="X13" s="117" t="s">
        <v>1755</v>
      </c>
      <c r="Y13" s="118"/>
      <c r="Z13" s="120"/>
      <c r="AG13" s="30" t="str">
        <f>IFERROR(INDEX('G-6 Hedgerow Data'!$BJ$3:$BJ$15,MATCH(D13,'G-6 Hedgerow Data'!$B$3:$B$15,0)),"")</f>
        <v>Hedgecond1</v>
      </c>
    </row>
    <row r="14" spans="2:33" ht="30">
      <c r="B14" s="110">
        <v>3</v>
      </c>
      <c r="C14" s="166" t="s">
        <v>1749</v>
      </c>
      <c r="D14" s="63" t="s">
        <v>171</v>
      </c>
      <c r="E14" s="53">
        <v>2.2737031559999998</v>
      </c>
      <c r="F14" s="411" t="str">
        <f>IF(D14="","",VLOOKUP(D14,'G-6 Hedgerow Data'!$B$2:$AG$15,2,FALSE))</f>
        <v>Medium</v>
      </c>
      <c r="G14" s="363">
        <f>IF(D14="","",VLOOKUP(D14,'G-6 Hedgerow Data'!$B$2:$AG$15,3,FALSE))</f>
        <v>4</v>
      </c>
      <c r="H14" s="114" t="s">
        <v>68</v>
      </c>
      <c r="I14" s="363">
        <f>IFERROR(VLOOKUP(H14,'G-1 All Habitats'!$Z$2:$AA$9,2,FALSE),"")</f>
        <v>3</v>
      </c>
      <c r="J14" s="114" t="s">
        <v>1029</v>
      </c>
      <c r="K14" s="382" t="str">
        <f>IF(J14="","",IF(VLOOKUP(J14,'G-3 Multipliers'!$L$3:$N$6,2,FALSE)=0,"Spatial Data Missing ⚠",VLOOKUP(J14,'G-3 Multipliers'!$L$3:$N$6,2,FALSE)))</f>
        <v xml:space="preserve">High strategic significance </v>
      </c>
      <c r="L14" s="368">
        <f>IF(J14="","",IF(VLOOKUP(J14,'G-3 Multipliers'!$L$3:$N$6,3,FALSE)=0,"Spatial Data Missing ⚠",VLOOKUP(J14,'G-3 Multipliers'!$L$3:$N$6,3,FALSE)))</f>
        <v>1.1499999999999999</v>
      </c>
      <c r="M14" s="362">
        <f>IF(OR(D14="",H14=""),"",(INDEX('G-6 Hedgerow Data'!$E$3:$I$15,MATCH(D14,'G-6 Hedgerow Data'!$B$3:$B$15,0),MATCH(H14,'G-6 Hedgerow Data'!$E$2:$I$2,0))))</f>
        <v>12</v>
      </c>
      <c r="N14" s="159">
        <v>0</v>
      </c>
      <c r="O14" s="159">
        <v>3</v>
      </c>
      <c r="P14" s="370" t="str">
        <f t="shared" si="1"/>
        <v>Check details- Delay in starting habitat in required condition? ⚠</v>
      </c>
      <c r="Q14" s="383">
        <f t="shared" si="2"/>
        <v>15</v>
      </c>
      <c r="R14" s="384">
        <f t="shared" si="0"/>
        <v>0.58601630550000006</v>
      </c>
      <c r="S14" s="398" t="str">
        <f>IF(D14="","",VLOOKUP(D14,'G-6 Hedgerow Data'!$B$3:$AG$15,31,FALSE))</f>
        <v>Low</v>
      </c>
      <c r="T14" s="370" t="str">
        <f t="shared" si="3"/>
        <v>Standard difficulty applied</v>
      </c>
      <c r="U14" s="370" t="str">
        <f t="shared" si="4"/>
        <v>Low</v>
      </c>
      <c r="V14" s="386">
        <f>IF(D14="","",VLOOKUP(S14,'G-3 Multipliers'!$P$3:$Q$6,2,FALSE))</f>
        <v>1</v>
      </c>
      <c r="W14" s="390">
        <f t="shared" si="5"/>
        <v>18.38749430130278</v>
      </c>
      <c r="X14" s="117" t="s">
        <v>1755</v>
      </c>
      <c r="Y14" s="118"/>
      <c r="Z14" s="120"/>
      <c r="AG14" s="30" t="str">
        <f>IFERROR(INDEX('G-6 Hedgerow Data'!$BJ$3:$BJ$15,MATCH(D14,'G-6 Hedgerow Data'!$B$3:$B$15,0)),"")</f>
        <v>Hedgecond1</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75" thickBot="1">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hidden="1">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hidden="1">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hidden="1">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hidden="1">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hidden="1">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hidden="1">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hidden="1">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hidden="1">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hidden="1">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hidden="1">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hidden="1">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hidden="1">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hidden="1">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hidden="1">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hidden="1">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hidden="1">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hidden="1">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hidden="1">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hidden="1">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hidden="1">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hidden="1">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hidden="1">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hidden="1">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hidden="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3.6843235429999996</v>
      </c>
      <c r="F260" s="34"/>
      <c r="G260" s="34"/>
      <c r="H260" s="34"/>
      <c r="I260" s="34"/>
      <c r="J260" s="34"/>
      <c r="K260" s="34"/>
      <c r="L260" s="34"/>
      <c r="M260" s="34"/>
      <c r="N260" s="34"/>
      <c r="O260" s="34"/>
      <c r="P260" s="34"/>
      <c r="Q260" s="34"/>
      <c r="R260" s="34"/>
      <c r="S260" s="34"/>
      <c r="T260" s="34"/>
      <c r="U260" s="1583"/>
      <c r="V260" s="1584"/>
      <c r="W260" s="366">
        <f>SUM(W12:W259)</f>
        <v>29.79521665891032</v>
      </c>
      <c r="X260" s="34"/>
      <c r="Y260" s="34"/>
    </row>
    <row r="261" spans="2:33" ht="28.9" customHeight="1">
      <c r="E261" s="1582"/>
      <c r="F261" s="1582"/>
      <c r="G261" s="1582"/>
      <c r="H261" s="1582"/>
      <c r="I261" s="1582"/>
      <c r="J261" s="1582"/>
    </row>
    <row r="262" spans="2:33" ht="27" customHeight="1"/>
    <row r="263" spans="2:33" ht="15"/>
    <row r="264" spans="2:33" ht="15"/>
    <row r="265" spans="2:33" ht="15"/>
    <row r="266" spans="2:33" ht="15"/>
    <row r="267" spans="2:33" ht="15"/>
    <row r="268" spans="2:33" ht="15"/>
  </sheetData>
  <sheetProtection algorithmName="SHA-512" hashValue="SEw95tiUQyA3z74EicilLhooCmdl6yOaWa/Z4ro1iOGCU5k5jYNP6pBanHKY5YpAODnN0d5mmmOgR6tHrWxf3A==" saltValue="bQc87XDK5h2vdAuAdlrNL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W12:W259">
    <cfRule type="containsText" dxfId="468" priority="25" operator="containsText" text="Existing Value Not Required">
      <formula>NOT(ISERROR(SEARCH("Existing Value Not Required",W12)))</formula>
    </cfRule>
    <cfRule type="containsText" dxfId="467" priority="26" operator="containsText" text="Existing Value Required">
      <formula>NOT(ISERROR(SEARCH("Existing Value Required",W12)))</formula>
    </cfRule>
  </conditionalFormatting>
  <conditionalFormatting sqref="K12:K259">
    <cfRule type="containsText" dxfId="466" priority="24" operator="containsText" text="Spatial">
      <formula>NOT(ISERROR(SEARCH("Spatial",K12)))</formula>
    </cfRule>
  </conditionalFormatting>
  <conditionalFormatting sqref="L12:L259">
    <cfRule type="containsText" dxfId="465" priority="23" operator="containsText" text="Spatial">
      <formula>NOT(ISERROR(SEARCH("Spatial",L12)))</formula>
    </cfRule>
  </conditionalFormatting>
  <conditionalFormatting sqref="M6:Q7 M3">
    <cfRule type="containsText" dxfId="464" priority="22" operator="containsText" text="Note">
      <formula>NOT(ISERROR(SEARCH("Note",M3)))</formula>
    </cfRule>
  </conditionalFormatting>
  <conditionalFormatting sqref="P12:P259">
    <cfRule type="containsText" dxfId="463" priority="20" operator="containsText" text="Check">
      <formula>NOT(ISERROR(SEARCH("Check",P12)))</formula>
    </cfRule>
    <cfRule type="containsText" dxfId="462" priority="21" operator="containsText" text="Error">
      <formula>NOT(ISERROR(SEARCH("Error",P12)))</formula>
    </cfRule>
  </conditionalFormatting>
  <conditionalFormatting sqref="Q12:Q259">
    <cfRule type="containsText" dxfId="461" priority="19" operator="containsText" text="Check">
      <formula>NOT(ISERROR(SEARCH("Check",Q12)))</formula>
    </cfRule>
  </conditionalFormatting>
  <conditionalFormatting sqref="R12:R259">
    <cfRule type="containsText" dxfId="460" priority="18" operator="containsText" text="Check">
      <formula>NOT(ISERROR(SEARCH("Check",R12)))</formula>
    </cfRule>
  </conditionalFormatting>
  <conditionalFormatting sqref="T12:T259">
    <cfRule type="containsText" dxfId="459" priority="16" operator="containsText" text="No - Low Difficulty">
      <formula>NOT(ISERROR(SEARCH("No - Low Difficulty",T12)))</formula>
    </cfRule>
    <cfRule type="containsText" dxfId="458" priority="17" operator="containsText" text="Check">
      <formula>NOT(ISERROR(SEARCH("Check",T12)))</formula>
    </cfRule>
  </conditionalFormatting>
  <conditionalFormatting sqref="E261:J261">
    <cfRule type="containsText" dxfId="457" priority="15" operator="containsText" text="Check">
      <formula>NOT(ISERROR(SEARCH("Check",E261)))</formula>
    </cfRule>
  </conditionalFormatting>
  <conditionalFormatting sqref="Q12:Q259">
    <cfRule type="containsText" dxfId="456" priority="14" operator="containsText" text="30+">
      <formula>NOT(ISERROR(SEARCH("30+",Q12)))</formula>
    </cfRule>
  </conditionalFormatting>
  <conditionalFormatting sqref="I3">
    <cfRule type="containsText" dxfId="455" priority="12" operator="containsText" text="Error">
      <formula>NOT(ISERROR(SEARCH("Error",I3)))</formula>
    </cfRule>
    <cfRule type="containsText" dxfId="454" priority="13" operator="containsText" text="Check">
      <formula>NOT(ISERROR(SEARCH("Check",I3)))</formula>
    </cfRule>
  </conditionalFormatting>
  <conditionalFormatting sqref="I4">
    <cfRule type="containsText" dxfId="453" priority="2" operator="containsText" text="Error">
      <formula>NOT(ISERROR(SEARCH("Error",I4)))</formula>
    </cfRule>
    <cfRule type="containsText" dxfId="452" priority="3" operator="containsText" text="Check">
      <formula>NOT(ISERROR(SEARCH("Check",I4)))</formula>
    </cfRule>
  </conditionalFormatting>
  <conditionalFormatting sqref="I5">
    <cfRule type="containsText" dxfId="451" priority="6" operator="containsText" text="No">
      <formula>NOT(ISERROR(SEARCH("No",I5)))</formula>
    </cfRule>
    <cfRule type="containsText" dxfId="450" priority="7" operator="containsText" text="Yes">
      <formula>NOT(ISERROR(SEARCH("Yes",I5)))</formula>
    </cfRule>
  </conditionalFormatting>
  <conditionalFormatting sqref="I12:I259">
    <cfRule type="containsText" dxfId="449" priority="5" operator="containsText" text="Not possible">
      <formula>NOT(ISERROR(SEARCH("Not possible",I12)))</formula>
    </cfRule>
  </conditionalFormatting>
  <conditionalFormatting sqref="I4:J4">
    <cfRule type="cellIs" dxfId="448" priority="1" operator="equal">
      <formula>0</formula>
    </cfRule>
    <cfRule type="cellIs" dxfId="447" priority="4" operator="lessThan">
      <formula>0</formula>
    </cfRule>
  </conditionalFormatting>
  <dataValidations count="1">
    <dataValidation type="list" allowBlank="1" showInputMessage="1" showErrorMessage="1" sqref="H12:H259">
      <formula1>INDIRECT(AG12)</formula1>
    </dataValidation>
  </dataValidations>
  <pageMargins left="0.7" right="0.7" top="0.75" bottom="0.75" header="0.3" footer="0.3"/>
  <pageSetup paperSize="8" scale="34"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5" operator="lessThan" id="{96391D0B-65D4-461C-B97E-32341A4ADCD7}">
            <xm:f>Start!$F$22</xm:f>
            <x14:dxf>
              <font>
                <color rgb="FF383745"/>
              </font>
              <fill>
                <patternFill>
                  <bgColor rgb="FFFFC000"/>
                </patternFill>
              </fill>
            </x14:dxf>
          </x14:cfRule>
          <x14:cfRule type="cellIs" priority="436"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63300"/>
    <pageSetUpPr fitToPage="1"/>
  </sheetPr>
  <dimension ref="A1:AT266"/>
  <sheetViews>
    <sheetView showGridLines="0" topLeftCell="W1" zoomScale="80" zoomScaleNormal="80" workbookViewId="0">
      <pane ySplit="11" topLeftCell="A12" activePane="bottomLeft" state="frozen"/>
      <selection pane="bottomLeft" activeCell="AH265" sqref="AH265"/>
    </sheetView>
  </sheetViews>
  <sheetFormatPr defaultColWidth="0" defaultRowHeight="0" customHeight="1" zeroHeight="1"/>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row r="2" spans="2:46" ht="19.899999999999999" customHeight="1" thickBot="1">
      <c r="B2" s="1551" t="str">
        <f>CONCATENATE("Project Name:", " ", Start!F12, "     ", "Map Reference:", " ", Start!K55)</f>
        <v xml:space="preserve">Project Name: Barnsley West Commerical     Map Reference: </v>
      </c>
      <c r="C2" s="1552"/>
      <c r="D2" s="1553"/>
      <c r="M2" s="503"/>
      <c r="N2" s="1587" t="s">
        <v>381</v>
      </c>
      <c r="O2" s="1588"/>
      <c r="P2" s="1589"/>
      <c r="X2" s="1460" t="str">
        <f ca="1">IF(OR(COUNTIF($X$12:X257,"*30+*")&gt;0,COUNTIF($AB$12:AB257,"*30+*")&gt;0),"Note; Habitat selected has a time to target condition greater than 30 years. Non standard agreement may be required.","")</f>
        <v/>
      </c>
      <c r="Y2" s="1460"/>
      <c r="Z2" s="1460"/>
      <c r="AA2" s="1460"/>
      <c r="AB2" s="1460"/>
      <c r="AC2" s="1460"/>
    </row>
    <row r="3" spans="2:46" ht="21" customHeight="1">
      <c r="B3" s="1509" t="str">
        <f ca="1">MID(CELL("filename",A1),FIND("]",CELL("filename",A1))+1,256)</f>
        <v>B-3 On-Site Hedge Enhancement</v>
      </c>
      <c r="C3" s="1510"/>
      <c r="D3" s="1511"/>
      <c r="N3" s="535" t="s">
        <v>264</v>
      </c>
      <c r="O3" s="1498">
        <f ca="1">'Headline Results'!H48</f>
        <v>11.168566810968827</v>
      </c>
      <c r="P3" s="1499"/>
      <c r="X3" s="1460"/>
      <c r="Y3" s="1460"/>
      <c r="Z3" s="1460"/>
      <c r="AA3" s="1460"/>
      <c r="AB3" s="1460"/>
      <c r="AC3" s="1460"/>
    </row>
    <row r="4" spans="2:46" ht="15.75" customHeight="1" thickBot="1">
      <c r="B4" s="1512"/>
      <c r="C4" s="1513"/>
      <c r="D4" s="1514"/>
      <c r="N4" s="506" t="s">
        <v>266</v>
      </c>
      <c r="O4" s="1574">
        <f ca="1">'Headline Results'!H52</f>
        <v>0.52906447945497059</v>
      </c>
      <c r="P4" s="1575"/>
      <c r="V4" s="31"/>
      <c r="W4" s="158"/>
      <c r="X4" s="1460"/>
      <c r="Y4" s="1460"/>
      <c r="Z4" s="1460"/>
      <c r="AA4" s="1460"/>
      <c r="AB4" s="1460"/>
      <c r="AC4" s="1460"/>
      <c r="AD4" s="158"/>
      <c r="AE4" s="158"/>
      <c r="AF4" s="158"/>
      <c r="AG4" s="158"/>
      <c r="AH4" s="158"/>
      <c r="AI4" s="158"/>
      <c r="AJ4" s="158"/>
    </row>
    <row r="5" spans="2:46" ht="15.75" customHeight="1" thickBot="1">
      <c r="N5" s="536" t="s">
        <v>268</v>
      </c>
      <c r="O5" s="1576" t="str" cm="1">
        <f t="array" aca="1" ref="O5" ca="1">IF(OR('Trading Summary Hedgerows'!G5:H8="No ▲"), "No - check trading summary ▲", "Yes ✓")</f>
        <v>No - check trading summary ▲</v>
      </c>
      <c r="P5" s="1577"/>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57" t="s">
        <v>312</v>
      </c>
      <c r="N9" s="1559"/>
      <c r="O9" s="1559"/>
      <c r="P9" s="1559"/>
      <c r="Q9" s="1559"/>
      <c r="R9" s="1559"/>
      <c r="S9" s="1559"/>
      <c r="T9" s="1559"/>
      <c r="U9" s="1559"/>
      <c r="V9" s="1559"/>
      <c r="W9" s="1559"/>
      <c r="X9" s="1559"/>
      <c r="Y9" s="1559"/>
      <c r="Z9" s="1559"/>
      <c r="AA9" s="1559"/>
      <c r="AB9" s="1559"/>
      <c r="AC9" s="1559"/>
      <c r="AD9" s="1559"/>
      <c r="AE9" s="1559"/>
      <c r="AF9" s="1559"/>
      <c r="AG9" s="1560"/>
    </row>
    <row r="10" spans="2:46" ht="28.15" customHeight="1" thickBot="1">
      <c r="B10" s="161"/>
      <c r="C10" s="1545" t="s">
        <v>394</v>
      </c>
      <c r="D10" s="1545"/>
      <c r="E10" s="1545"/>
      <c r="F10" s="1545"/>
      <c r="G10" s="1545"/>
      <c r="H10" s="1545"/>
      <c r="I10" s="1545"/>
      <c r="J10" s="1545"/>
      <c r="K10" s="1545"/>
      <c r="L10" s="1545"/>
      <c r="M10" s="1531" t="s">
        <v>395</v>
      </c>
      <c r="N10" s="1586" t="s">
        <v>335</v>
      </c>
      <c r="O10" s="1586"/>
      <c r="P10" s="1531" t="s">
        <v>34</v>
      </c>
      <c r="Q10" s="1312" t="s">
        <v>270</v>
      </c>
      <c r="R10" s="1310"/>
      <c r="S10" s="1543" t="s">
        <v>271</v>
      </c>
      <c r="T10" s="1310"/>
      <c r="U10" s="1533" t="s">
        <v>272</v>
      </c>
      <c r="V10" s="1533"/>
      <c r="W10" s="1533"/>
      <c r="X10" s="1570" t="s">
        <v>315</v>
      </c>
      <c r="Y10" s="1571"/>
      <c r="Z10" s="1571"/>
      <c r="AA10" s="1571"/>
      <c r="AB10" s="1571"/>
      <c r="AC10" s="1572"/>
      <c r="AD10" s="1549" t="s">
        <v>338</v>
      </c>
      <c r="AE10" s="1549"/>
      <c r="AF10" s="1549"/>
      <c r="AG10" s="1549"/>
      <c r="AH10" s="1549" t="s">
        <v>391</v>
      </c>
      <c r="AI10" s="1558" t="s">
        <v>277</v>
      </c>
      <c r="AJ10" s="1533"/>
    </row>
    <row r="11" spans="2:46" ht="61.5" customHeight="1" thickBot="1">
      <c r="B11" s="140" t="s">
        <v>340</v>
      </c>
      <c r="C11" s="145" t="s">
        <v>341</v>
      </c>
      <c r="D11" s="145" t="s">
        <v>34</v>
      </c>
      <c r="E11" s="145" t="s">
        <v>343</v>
      </c>
      <c r="F11" s="145" t="s">
        <v>344</v>
      </c>
      <c r="G11" s="145" t="s">
        <v>345</v>
      </c>
      <c r="H11" s="145" t="s">
        <v>346</v>
      </c>
      <c r="I11" s="145" t="s">
        <v>347</v>
      </c>
      <c r="J11" s="145" t="s">
        <v>348</v>
      </c>
      <c r="K11" s="145" t="s">
        <v>349</v>
      </c>
      <c r="L11" s="144" t="s">
        <v>273</v>
      </c>
      <c r="M11" s="1531"/>
      <c r="N11" s="132" t="s">
        <v>396</v>
      </c>
      <c r="O11" s="752" t="s">
        <v>397</v>
      </c>
      <c r="P11" s="1531"/>
      <c r="Q11" s="126" t="s">
        <v>270</v>
      </c>
      <c r="R11" s="861" t="s">
        <v>287</v>
      </c>
      <c r="S11" s="865" t="s">
        <v>271</v>
      </c>
      <c r="T11" s="861" t="s">
        <v>287</v>
      </c>
      <c r="U11" s="132" t="s">
        <v>272</v>
      </c>
      <c r="V11" s="811" t="s">
        <v>272</v>
      </c>
      <c r="W11" s="752" t="s">
        <v>318</v>
      </c>
      <c r="X11" s="132" t="s">
        <v>393</v>
      </c>
      <c r="Y11" s="811" t="s">
        <v>378</v>
      </c>
      <c r="Z11" s="811" t="s">
        <v>355</v>
      </c>
      <c r="AA11" s="811" t="s">
        <v>322</v>
      </c>
      <c r="AB11" s="811" t="s">
        <v>323</v>
      </c>
      <c r="AC11" s="752" t="s">
        <v>398</v>
      </c>
      <c r="AD11" s="132" t="s">
        <v>399</v>
      </c>
      <c r="AE11" s="811" t="s">
        <v>1682</v>
      </c>
      <c r="AF11" s="811" t="s">
        <v>400</v>
      </c>
      <c r="AG11" s="752" t="s">
        <v>328</v>
      </c>
      <c r="AH11" s="1585"/>
      <c r="AI11" s="865" t="s">
        <v>296</v>
      </c>
      <c r="AJ11" s="861" t="s">
        <v>297</v>
      </c>
      <c r="AK11" s="48" t="s">
        <v>298</v>
      </c>
      <c r="AT11" s="101" t="s">
        <v>281</v>
      </c>
    </row>
    <row r="12" spans="2:46" ht="45">
      <c r="B12" s="863">
        <f>'B-1 On-Site Hedge Baseline'!AK10</f>
        <v>2</v>
      </c>
      <c r="C12" s="370" t="str">
        <f ca="1">IF(B12="","",IF(ISNA(VLOOKUP($B12,'B-1 On-Site Hedge Baseline'!$B$1:$L$257,3,FALSE)),"",(VLOOKUP($B12,'B-1 On-Site Hedge Baseline'!$B$1:$L$257,3,FALSE))))</f>
        <v>Native hedgerow</v>
      </c>
      <c r="D12" s="370">
        <f ca="1">IF(B12="","",IF(ISNA(VLOOKUP($B12,'B-1 On-Site Hedge Baseline'!$B$1:$L$257,4,FALSE)),"",(VLOOKUP($B12,'B-1 On-Site Hedge Baseline'!$B$1:$L$257,4,FALSE))))</f>
        <v>0.20192009599999999</v>
      </c>
      <c r="E12" s="370" t="str">
        <f ca="1">IF(B12="","",IF(ISNA(VLOOKUP($B12,'B-1 On-Site Hedge Baseline'!$B$1:$L$257,5,FALSE)),"",(VLOOKUP($B12,'B-1 On-Site Hedge Baseline'!$B$1:$L$257,5,FALSE))))</f>
        <v>Low</v>
      </c>
      <c r="F12" s="370">
        <f ca="1">IF(B12="","",IF(ISNA(VLOOKUP($B12,'B-1 On-Site Hedge Baseline'!$B$1:$L$257,6,FALSE)),"",(VLOOKUP($B12,'B-1 On-Site Hedge Baseline'!$B$1:$L$257,6,FALSE))))</f>
        <v>2</v>
      </c>
      <c r="G12" s="370" t="str">
        <f ca="1">IF(B12="","",IF(ISNA(VLOOKUP($B12,'B-1 On-Site Hedge Baseline'!$B$1:$L$257,7,FALSE)),"",(VLOOKUP($B12,'B-1 On-Site Hedge Baseline'!$B$1:$L$257,7,FALSE))))</f>
        <v>Moderate</v>
      </c>
      <c r="H12" s="370">
        <f ca="1">IF(B12="","",IF(ISNA(VLOOKUP($B12,'B-1 On-Site Hedge Baseline'!$B$1:$L$257,8,FALSE)),"",(VLOOKUP($B12,'B-1 On-Site Hedge Baseline'!$B$1:$L$257,8,FALSE))))</f>
        <v>2</v>
      </c>
      <c r="I12" s="370" t="str">
        <f ca="1">IF(B12="","",IF(ISNA(VLOOKUP($B12,'B-1 On-Site Hedge Baseline'!$B$1:$L$257,10,FALSE)),"",(VLOOKUP($B12,'B-1 On-Site Hedge Baseline'!$B$1:$L$257,10,FALSE))))</f>
        <v xml:space="preserve">High strategic significance </v>
      </c>
      <c r="J12" s="370">
        <f ca="1">IF(B12="","",IF(ISNA(VLOOKUP($B12,'B-1 On-Site Hedge Baseline'!$B$1:$L$257,11,FALSE)),"",(VLOOKUP($B12,'B-1 On-Site Hedge Baseline'!$B$1:$L$257,11,FALSE))))</f>
        <v>1.1499999999999999</v>
      </c>
      <c r="K12" s="370">
        <f ca="1">IF(B12="","",IF(ISNA(VLOOKUP($B12,'B-1 On-Site Hedge Baseline'!$B$1:$U$257,13,FALSE)),"",(VLOOKUP($B12,'B-1 On-Site Hedge Baseline'!$B$1:$U$257,13,FALSE))))</f>
        <v>0.92883244159999989</v>
      </c>
      <c r="L12" s="363" t="str">
        <f ca="1">IF(B12="","",IF(ISNA(VLOOKUP($B12,'B-1 On-Site Hedge Baseline'!$B$1:$U$257,12,FALSE)),"",(VLOOKUP($B12,'B-1 On-Site Hedge Baseline'!$B$1:$U$257,12,FALSE))))</f>
        <v>Same distinctiveness band or better</v>
      </c>
      <c r="M12" s="864" t="s">
        <v>171</v>
      </c>
      <c r="N12" s="362" t="str">
        <f ca="1">IFERROR(IF(B12="","",INDEX('G-6 Hedgerow Data'!$AN$3:$AZ$15,MATCH(C12,'G-6 Hedgerow Data'!$AM$3:$AM$15,0),MATCH(M12,'G-6 Hedgerow Data'!$AN$2:$AZ$2,0))),"")</f>
        <v>Low - Medium</v>
      </c>
      <c r="O12" s="363" t="str">
        <f ca="1">IFERROR(IF(B12="","",IF(AND(LEFT(C12,55)&lt;&gt;LEFT(M12,55),N12="High - High"),"Error - Not like for like ▲",IF(H12&gt;T12,"Error - Can not reduce condition ▲",IF(AND(F12=R12,H12=T12),"Error - No enhancement ▲",IF(AND(C12&lt;&gt;M12,F12&lt;R12),"Lower Distinctiveness Habitat"&amp;" - "&amp;S12,G12&amp;" - "&amp;S12))))),"")</f>
        <v>Lower Distinctiveness Habitat - Good</v>
      </c>
      <c r="P12" s="417">
        <f>IF(B12="","",VLOOKUP(B12,'B-1 On-Site Hedge Baseline'!$B$10:T257,16,FALSE))</f>
        <v>0.20192009599999999</v>
      </c>
      <c r="Q12" s="362" t="str">
        <f>IF(M12="","",VLOOKUP(M12,'G-6 Hedgerow Data'!$B$2:$AG$15,2,FALSE))</f>
        <v>Medium</v>
      </c>
      <c r="R12" s="363">
        <f>IF(M12="","",VLOOKUP(M12,'G-6 Hedgerow Data'!$B$2:$AG$15,3,FALSE))</f>
        <v>4</v>
      </c>
      <c r="S12" s="114" t="s">
        <v>68</v>
      </c>
      <c r="T12" s="401">
        <f>IFERROR(VLOOKUP(S12,'G-1 All Habitats'!$Z$2:$AA$9,2,FALSE),"")</f>
        <v>3</v>
      </c>
      <c r="U12" s="114" t="s">
        <v>1029</v>
      </c>
      <c r="V12" s="370" t="str">
        <f>IF(U12="","",IF(VLOOKUP(U12,'G-3 Multipliers'!$L$3:$N$6,2,FALSE)=0,"Spatial Data Missing ⚠",VLOOKUP(U12,'G-3 Multipliers'!$L$3:$N$6,2,FALSE)))</f>
        <v xml:space="preserve">High strategic significance </v>
      </c>
      <c r="W12" s="363">
        <f>IF(U12="","",IF(VLOOKUP(U12,'G-3 Multipliers'!$L$3:$N$6,3,FALSE)=0,"Spatial Data Missing ⚠",VLOOKUP(U12,'G-3 Multipliers'!$L$3:$N$6,3,FALSE)))</f>
        <v>1.1499999999999999</v>
      </c>
      <c r="X12" s="362">
        <f ca="1">IFERROR(IF(OR(LEFT(O12,5)="Error",LEFT(N12,5)="Error",T12="Error"),"Check Data ⚠",IF(F12&lt;R12,INDEX('G-6 Hedgerow Data'!$S$3:$AE$14,MATCH(C12,'G-6 Hedgerow Data'!$B$3:$B$14,0),MATCH(M12,'G-6 Hedgerow Data'!$S$2:$AE$2,0)),INDEX('G-6 Hedgerow Data'!$K$3:$Q$14,MATCH(M12,'G-6 Hedgerow Data'!$B$3:$B$14,0),MATCH(O12,'G-6 Hedgerow Data'!$K$2:$Q$2,0)))),"")</f>
        <v>5</v>
      </c>
      <c r="Y12" s="159">
        <v>0</v>
      </c>
      <c r="Z12" s="159">
        <v>0</v>
      </c>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5</v>
      </c>
      <c r="AC12" s="384">
        <f t="shared" ref="AC12:AC75" ca="1" si="0">IF(OR(S12="",M12=""),"",IF(LEFT(AB12,5)="Error ▲","Check Data ⚠",IF(AB12="Check Data ⚠","Check Data ⚠",VLOOKUP(AB12,TemporalMultipliers,3,FALSE))))</f>
        <v>0.83682870060000003</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2.4833797319585065</v>
      </c>
      <c r="AI12" s="317" t="s">
        <v>1770</v>
      </c>
      <c r="AJ12" s="195"/>
      <c r="AK12" s="118"/>
      <c r="AT12" s="30" t="str">
        <f>IFERROR(INDEX('G-6 Hedgerow Data'!$BJ$3:$BJ$15,MATCH(M12,'G-6 Hedgerow Data'!$B$3:$B$15,0)),"")</f>
        <v>Hedgecond1</v>
      </c>
    </row>
    <row r="13" spans="2:46" ht="1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ref="M13:M77" si="1">IF(B13="","",C13)</f>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0"/>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1"/>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0"/>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1"/>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0"/>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1"/>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0"/>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75" thickBot="1">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1"/>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0"/>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5" hidden="1">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1"/>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0"/>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5" hidden="1">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1"/>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0"/>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5" hidden="1">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1"/>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0"/>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5" hidden="1">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1"/>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0"/>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5" hidden="1">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1"/>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0"/>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5" hidden="1">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1"/>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0"/>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5" hidden="1">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1"/>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0"/>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5" hidden="1">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1"/>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0"/>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5" hidden="1">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1"/>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0"/>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5" hidden="1">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1"/>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0"/>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5" hidden="1">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1"/>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0"/>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5" hidden="1">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1"/>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0"/>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5" hidden="1">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1"/>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0"/>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5" hidden="1">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1"/>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0"/>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5" hidden="1">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1"/>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0"/>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5" hidden="1">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1"/>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0"/>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5" hidden="1">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1"/>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0"/>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5" hidden="1">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1"/>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0"/>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5" hidden="1">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1"/>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0"/>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5" hidden="1">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1"/>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0"/>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5" hidden="1">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1"/>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0"/>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5" hidden="1">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1"/>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0"/>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5" hidden="1">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1"/>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0"/>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5" hidden="1">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1"/>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0"/>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5" hidden="1">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1"/>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0"/>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5" hidden="1">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1"/>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0"/>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5" hidden="1">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1"/>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0"/>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5" hidden="1">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1"/>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0"/>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5" hidden="1">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1"/>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0"/>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5" hidden="1">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1"/>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0"/>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5" hidden="1">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1"/>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0"/>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5" hidden="1">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1"/>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0"/>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5" hidden="1">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1"/>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0"/>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5" hidden="1">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1"/>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0"/>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5" hidden="1">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1"/>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0"/>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5" hidden="1">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1"/>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0"/>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5" hidden="1">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1"/>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0"/>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5" hidden="1">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1"/>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0"/>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5" hidden="1">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1"/>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0"/>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5" hidden="1">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1"/>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0"/>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5" hidden="1">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1"/>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0"/>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5" hidden="1">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1"/>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0"/>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5" hidden="1">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1"/>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0"/>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5" hidden="1">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1"/>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0"/>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5" hidden="1">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1"/>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0"/>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5" hidden="1">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1"/>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0"/>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5" hidden="1">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1"/>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0"/>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5" hidden="1">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1"/>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0"/>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5" hidden="1">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1"/>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0"/>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5" hidden="1">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1"/>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0"/>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5" hidden="1">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1"/>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0"/>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5" hidden="1">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1"/>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0"/>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5" hidden="1">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1"/>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0"/>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5" hidden="1">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1"/>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0"/>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5" hidden="1">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1"/>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0"/>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5" hidden="1">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1"/>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0"/>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5" hidden="1">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1"/>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0"/>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5" hidden="1">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1"/>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0"/>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5" hidden="1">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1"/>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hidden="1">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1"/>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hidden="1">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hidden="1">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hidden="1">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hidden="1">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hidden="1">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hidden="1">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hidden="1">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hidden="1">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hidden="1">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hidden="1">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hidden="1">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hidden="1">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hidden="1">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hidden="1">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hidden="1">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hidden="1">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hidden="1">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hidden="1">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hidden="1">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hidden="1">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hidden="1">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hidden="1">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hidden="1">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hidden="1">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hidden="1">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hidden="1">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hidden="1">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hidden="1">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hidden="1">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hidden="1">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hidden="1">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hidden="1">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hidden="1">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hidden="1">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hidden="1">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hidden="1">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hidden="1">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hidden="1">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hidden="1">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hidden="1">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hidden="1">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hidden="1">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hidden="1">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hidden="1">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hidden="1">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hidden="1">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hidden="1">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hidden="1">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hidden="1">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hidden="1">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hidden="1">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hidden="1">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hidden="1">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hidden="1">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hidden="1">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hidden="1">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hidden="1">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hidden="1">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hidden="1">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hidden="1">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hidden="1">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hidden="1">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hidden="1">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hidden="1">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hidden="1">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hidden="1">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hidden="1">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hidden="1">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hidden="1">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hidden="1">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hidden="1">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hidden="1">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hidden="1">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hidden="1">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hidden="1">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hidden="1">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hidden="1">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hidden="1">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hidden="1">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hidden="1">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hidden="1">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hidden="1">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hidden="1">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hidden="1">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hidden="1">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hidden="1">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hidden="1">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hidden="1">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hidden="1">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hidden="1">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hidden="1">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hidden="1">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hidden="1">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hidden="1">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hidden="1">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hidden="1">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hidden="1">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hidden="1">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hidden="1">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hidden="1">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hidden="1">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hidden="1">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hidden="1">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hidden="1">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hidden="1">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hidden="1">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hidden="1">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hidden="1">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hidden="1">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hidden="1">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hidden="1">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hidden="1">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hidden="1">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hidden="1">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hidden="1">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hidden="1">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hidden="1">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hidden="1">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hidden="1">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hidden="1">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hidden="1">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hidden="1">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hidden="1">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hidden="1">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hidden="1">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hidden="1">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hidden="1">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hidden="1">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hidden="1">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hidden="1">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hidden="1">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hidden="1">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hidden="1">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hidden="1">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hidden="1">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hidden="1">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hidden="1">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hidden="1">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hidden="1">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hidden="1">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hidden="1">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hidden="1">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hidden="1">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hidden="1">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hidden="1">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hidden="1">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hidden="1">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hidden="1">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hidden="1">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hidden="1">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hidden="1">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hidden="1">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hidden="1">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hidden="1">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hidden="1">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hidden="1">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hidden="1">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hidden="1">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hidden="1">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hidden="1">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hidden="1">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hidden="1">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hidden="1">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hidden="1">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hidden="1">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hidden="1">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hidden="1">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hidden="1">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hidden="1">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hidden="1">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hidden="1">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hidden="1">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hidden="1">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hidden="1">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hidden="1">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hidden="1">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hidden="1">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hidden="1">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hidden="1">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hidden="1"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0.20192009599999999</v>
      </c>
      <c r="Q258" s="34"/>
      <c r="R258" s="34"/>
      <c r="S258" s="34"/>
      <c r="T258" s="34"/>
      <c r="U258" s="34"/>
      <c r="V258" s="34"/>
      <c r="W258" s="34"/>
      <c r="X258" s="34"/>
      <c r="Y258" s="34"/>
      <c r="Z258" s="34"/>
      <c r="AA258" s="34"/>
      <c r="AB258" s="34"/>
      <c r="AC258" s="34"/>
      <c r="AD258" s="34"/>
      <c r="AE258" s="34"/>
      <c r="AF258" s="321"/>
      <c r="AG258" s="321"/>
      <c r="AH258" s="366">
        <f ca="1">SUM(AH12:AH257)</f>
        <v>2.4833797319585065</v>
      </c>
      <c r="AI258" s="34"/>
      <c r="AJ258" s="34"/>
    </row>
    <row r="259" spans="2:46" ht="15"/>
    <row r="260" spans="2:46" ht="15"/>
    <row r="261" spans="2:46" ht="15"/>
    <row r="262" spans="2:46" ht="15"/>
    <row r="263" spans="2:46" ht="15"/>
    <row r="264" spans="2:46" ht="15"/>
    <row r="265" spans="2:46" ht="15"/>
    <row r="266" spans="2:46" ht="15"/>
  </sheetData>
  <sheetProtection algorithmName="SHA-512" hashValue="x1LlaHqXl7SFLa/ecrKht05Nim4E8+KRa1nq21etUe7mRNyjIlnd1o17yJSmHvpQnHiVV5YOxQQLEWcz9S8exA==" saltValue="+CQkTUjlaw3cfGJ/G6rF6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3:P3"/>
    <mergeCell ref="O4:P4"/>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s>
  <conditionalFormatting sqref="AH258">
    <cfRule type="containsText" dxfId="444" priority="37" operator="containsText" text="Existing Value Not Required">
      <formula>NOT(ISERROR(SEARCH("Existing Value Not Required",AH258)))</formula>
    </cfRule>
    <cfRule type="containsText" dxfId="443" priority="38" operator="containsText" text="Existing Value Required">
      <formula>NOT(ISERROR(SEARCH("Existing Value Required",AH258)))</formula>
    </cfRule>
  </conditionalFormatting>
  <conditionalFormatting sqref="AH12:AH257">
    <cfRule type="containsText" dxfId="442" priority="33" operator="containsText" text="Existing Value Not Required">
      <formula>NOT(ISERROR(SEARCH("Existing Value Not Required",AH12)))</formula>
    </cfRule>
    <cfRule type="containsText" dxfId="441" priority="34" operator="containsText" text="Existing Value Required">
      <formula>NOT(ISERROR(SEARCH("Existing Value Required",AH12)))</formula>
    </cfRule>
  </conditionalFormatting>
  <conditionalFormatting sqref="L12:L257">
    <cfRule type="cellIs" dxfId="440" priority="30" operator="equal">
      <formula>"Same distinctiveness band or better"</formula>
    </cfRule>
    <cfRule type="cellIs" dxfId="439" priority="31" operator="equal">
      <formula>"Like for like or better"</formula>
    </cfRule>
    <cfRule type="cellIs" dxfId="438" priority="32" operator="equal">
      <formula>"Like for Like"</formula>
    </cfRule>
  </conditionalFormatting>
  <conditionalFormatting sqref="N12:N257">
    <cfRule type="beginsWith" dxfId="437" priority="29" operator="beginsWith" text="Error">
      <formula>LEFT(N12,LEN("Error"))="Error"</formula>
    </cfRule>
  </conditionalFormatting>
  <conditionalFormatting sqref="O12:O257">
    <cfRule type="beginsWith" dxfId="436" priority="28" operator="beginsWith" text="Error">
      <formula>LEFT(O12,LEN("Error"))="Error"</formula>
    </cfRule>
  </conditionalFormatting>
  <conditionalFormatting sqref="V12:V257">
    <cfRule type="containsText" dxfId="435" priority="27" operator="containsText" text="Spatial">
      <formula>NOT(ISERROR(SEARCH("Spatial",V12)))</formula>
    </cfRule>
  </conditionalFormatting>
  <conditionalFormatting sqref="W12:W257">
    <cfRule type="containsText" dxfId="434" priority="26" operator="containsText" text="Spatial">
      <formula>NOT(ISERROR(SEARCH("Spatial",W12)))</formula>
    </cfRule>
  </conditionalFormatting>
  <conditionalFormatting sqref="X12:X257">
    <cfRule type="containsText" dxfId="433" priority="24" operator="containsText" text="Error">
      <formula>NOT(ISERROR(SEARCH("Error",X12)))</formula>
    </cfRule>
    <cfRule type="containsText" dxfId="432" priority="25" operator="containsText" text="Check">
      <formula>NOT(ISERROR(SEARCH("Check",X12)))</formula>
    </cfRule>
  </conditionalFormatting>
  <conditionalFormatting sqref="AA12:AA257">
    <cfRule type="containsText" dxfId="431" priority="22" operator="containsText" text="Error">
      <formula>NOT(ISERROR(SEARCH("Error",AA12)))</formula>
    </cfRule>
    <cfRule type="containsText" dxfId="430" priority="23" operator="containsText" text="Check">
      <formula>NOT(ISERROR(SEARCH("Check",AA12)))</formula>
    </cfRule>
  </conditionalFormatting>
  <conditionalFormatting sqref="AB12:AB257">
    <cfRule type="cellIs" dxfId="429" priority="14" operator="equal">
      <formula>"30+ ⚠"</formula>
    </cfRule>
    <cfRule type="containsText" dxfId="428" priority="20" operator="containsText" text="Error">
      <formula>NOT(ISERROR(SEARCH("Error",AB12)))</formula>
    </cfRule>
    <cfRule type="containsText" dxfId="427" priority="21" operator="containsText" text="Check">
      <formula>NOT(ISERROR(SEARCH("Check",AB12)))</formula>
    </cfRule>
  </conditionalFormatting>
  <conditionalFormatting sqref="AC12:AC257">
    <cfRule type="containsText" dxfId="426" priority="18" operator="containsText" text="Error">
      <formula>NOT(ISERROR(SEARCH("Error",AC12)))</formula>
    </cfRule>
    <cfRule type="containsText" dxfId="425" priority="19" operator="containsText" text="Check">
      <formula>NOT(ISERROR(SEARCH("Check",AC12)))</formula>
    </cfRule>
  </conditionalFormatting>
  <conditionalFormatting sqref="AE12:AE257">
    <cfRule type="beginsWith" dxfId="424" priority="16" operator="beginsWith" text="No - Low Difficulty">
      <formula>LEFT(AE12,LEN("No - Low Difficulty"))="No - Low Difficulty"</formula>
    </cfRule>
    <cfRule type="containsText" dxfId="423" priority="17" operator="containsText" text="Check">
      <formula>NOT(ISERROR(SEARCH("Check",AE12)))</formula>
    </cfRule>
  </conditionalFormatting>
  <conditionalFormatting sqref="X5:AB6 X2">
    <cfRule type="containsText" dxfId="422" priority="15" operator="containsText" text="Note">
      <formula>NOT(ISERROR(SEARCH("Note",X2)))</formula>
    </cfRule>
  </conditionalFormatting>
  <conditionalFormatting sqref="O3">
    <cfRule type="containsText" dxfId="421" priority="12" operator="containsText" text="Error">
      <formula>NOT(ISERROR(SEARCH("Error",O3)))</formula>
    </cfRule>
    <cfRule type="containsText" dxfId="420" priority="13" operator="containsText" text="Check">
      <formula>NOT(ISERROR(SEARCH("Check",O3)))</formula>
    </cfRule>
  </conditionalFormatting>
  <conditionalFormatting sqref="O4">
    <cfRule type="containsText" dxfId="419" priority="1" operator="containsText" text="Error">
      <formula>NOT(ISERROR(SEARCH("Error",O4)))</formula>
    </cfRule>
    <cfRule type="containsText" dxfId="418" priority="2" operator="containsText" text="Check">
      <formula>NOT(ISERROR(SEARCH("Check",O4)))</formula>
    </cfRule>
  </conditionalFormatting>
  <conditionalFormatting sqref="O5">
    <cfRule type="containsText" dxfId="417" priority="6" operator="containsText" text="No">
      <formula>NOT(ISERROR(SEARCH("No",O5)))</formula>
    </cfRule>
    <cfRule type="containsText" dxfId="416" priority="7" operator="containsText" text="Yes">
      <formula>NOT(ISERROR(SEARCH("Yes",O5)))</formula>
    </cfRule>
  </conditionalFormatting>
  <conditionalFormatting sqref="T12:T257">
    <cfRule type="containsText" dxfId="415" priority="5" operator="containsText" text="Not possible">
      <formula>NOT(ISERROR(SEARCH("Not possible",T12)))</formula>
    </cfRule>
  </conditionalFormatting>
  <conditionalFormatting sqref="O4:P4">
    <cfRule type="cellIs" dxfId="414" priority="3" operator="equal">
      <formula>0</formula>
    </cfRule>
    <cfRule type="cellIs" dxfId="413" priority="4" operator="lessThan">
      <formula>0</formula>
    </cfRule>
  </conditionalFormatting>
  <dataValidations count="1">
    <dataValidation type="list" allowBlank="1" showInputMessage="1" showErrorMessage="1" sqref="S12:S257">
      <formula1>INDIRECT(AT12)</formula1>
    </dataValidation>
  </dataValidations>
  <pageMargins left="0.7" right="0.7" top="0.75" bottom="0.75" header="0.3" footer="0.3"/>
  <pageSetup paperSize="8" scale="21"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7" operator="lessThan" id="{648A280C-F032-4F50-9520-A2A1C0C475E3}">
            <xm:f>Start!$F$22</xm:f>
            <x14:dxf>
              <font>
                <color rgb="FF383745"/>
              </font>
              <fill>
                <patternFill>
                  <bgColor rgb="FFFFC000"/>
                </patternFill>
              </fill>
            </x14:dxf>
          </x14:cfRule>
          <x14:cfRule type="cellIs" priority="438"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51" t="str">
        <f>CONCATENATE("Project Name:", " ", Start!F12, "     ", "Map Reference:", " ", Start!F66)</f>
        <v xml:space="preserve">Project Name: Barnsley West Commerical     Map Reference: </v>
      </c>
      <c r="C2" s="1552"/>
      <c r="D2" s="1553"/>
      <c r="F2" s="1401" t="s">
        <v>381</v>
      </c>
      <c r="G2" s="1402"/>
      <c r="H2" s="1402"/>
      <c r="I2" s="1402"/>
      <c r="J2" s="1403"/>
      <c r="K2" s="309"/>
      <c r="L2" s="309"/>
      <c r="M2" s="309"/>
    </row>
    <row r="3" spans="2:51 16384:16384" ht="15.75" customHeight="1">
      <c r="B3" s="1127" t="str">
        <f ca="1">MID(CELL("filename",A1),FIND("]",CELL("filename",A1))+1,256)</f>
        <v>E-1 Off-Site Hedge Baseline</v>
      </c>
      <c r="C3" s="1128"/>
      <c r="D3" s="1129"/>
      <c r="F3" s="1502" t="s">
        <v>264</v>
      </c>
      <c r="G3" s="1503"/>
      <c r="H3" s="1503"/>
      <c r="I3" s="1498">
        <f ca="1">'Headline Results'!H48</f>
        <v>11.168566810968827</v>
      </c>
      <c r="J3" s="1499"/>
    </row>
    <row r="4" spans="2:51 16384:16384" ht="15.75" customHeight="1" thickBot="1">
      <c r="B4" s="1130"/>
      <c r="C4" s="1131"/>
      <c r="D4" s="1132"/>
      <c r="F4" s="1580" t="s">
        <v>266</v>
      </c>
      <c r="G4" s="1581"/>
      <c r="H4" s="1581"/>
      <c r="I4" s="1574">
        <f ca="1">'Headline Results'!H52</f>
        <v>0.52906447945497059</v>
      </c>
      <c r="J4" s="1575"/>
    </row>
    <row r="5" spans="2:51 16384:16384" ht="22.5" customHeight="1" thickBot="1">
      <c r="F5" s="1579" t="s">
        <v>268</v>
      </c>
      <c r="G5" s="1576"/>
      <c r="H5" s="1576"/>
      <c r="I5" s="1576" t="str" cm="1">
        <f t="array" aca="1" ref="I5" ca="1">IF(OR('Trading Summary Hedgerows'!G5:H8="No ▲"), "No - check trading summary ▲", "Yes ✓")</f>
        <v>No - check trading summary ▲</v>
      </c>
      <c r="J5" s="1577"/>
    </row>
    <row r="6" spans="2:51 16384:16384" ht="28.9" customHeight="1"/>
    <row r="7" spans="2:51 16384:16384" ht="15.75" customHeight="1" thickBot="1">
      <c r="B7" s="102"/>
      <c r="C7" s="102"/>
      <c r="D7" s="101"/>
    </row>
    <row r="8" spans="2:51 16384:16384" s="33" customFormat="1" ht="30.95" customHeight="1" thickBot="1">
      <c r="B8" s="32"/>
      <c r="C8" s="1570" t="s">
        <v>382</v>
      </c>
      <c r="D8" s="1571"/>
      <c r="E8" s="1572"/>
      <c r="F8" s="1570" t="s">
        <v>270</v>
      </c>
      <c r="G8" s="1572"/>
      <c r="H8" s="1570" t="s">
        <v>358</v>
      </c>
      <c r="I8" s="1572"/>
      <c r="J8" s="1570" t="s">
        <v>272</v>
      </c>
      <c r="K8" s="1571"/>
      <c r="L8" s="1572"/>
      <c r="M8" s="1534" t="s">
        <v>273</v>
      </c>
      <c r="N8" s="134" t="s">
        <v>274</v>
      </c>
      <c r="O8" s="1532" t="s">
        <v>359</v>
      </c>
      <c r="P8" s="1533"/>
      <c r="Q8" s="134" t="s">
        <v>274</v>
      </c>
      <c r="R8" s="107"/>
      <c r="S8" s="1404" t="s">
        <v>275</v>
      </c>
      <c r="T8" s="1405"/>
      <c r="U8" s="1405"/>
      <c r="V8" s="1405"/>
      <c r="W8" s="1405"/>
      <c r="X8" s="1406"/>
      <c r="Y8" s="1404" t="s">
        <v>277</v>
      </c>
      <c r="Z8" s="1406"/>
      <c r="XFD8" s="543"/>
    </row>
    <row r="9" spans="2:51 16384:16384" ht="45" customHeight="1" thickBot="1">
      <c r="B9" s="719" t="s">
        <v>340</v>
      </c>
      <c r="C9" s="132" t="s">
        <v>383</v>
      </c>
      <c r="D9" s="811" t="s">
        <v>161</v>
      </c>
      <c r="E9" s="752" t="s">
        <v>34</v>
      </c>
      <c r="F9" s="132" t="s">
        <v>270</v>
      </c>
      <c r="G9" s="752" t="s">
        <v>287</v>
      </c>
      <c r="H9" s="132" t="s">
        <v>271</v>
      </c>
      <c r="I9" s="752" t="s">
        <v>287</v>
      </c>
      <c r="J9" s="132" t="s">
        <v>272</v>
      </c>
      <c r="K9" s="811" t="s">
        <v>272</v>
      </c>
      <c r="L9" s="752" t="s">
        <v>318</v>
      </c>
      <c r="M9" s="1567"/>
      <c r="N9" s="169" t="s">
        <v>401</v>
      </c>
      <c r="O9" s="853" t="s">
        <v>362</v>
      </c>
      <c r="P9" s="866" t="s">
        <v>359</v>
      </c>
      <c r="Q9" s="169" t="s">
        <v>384</v>
      </c>
      <c r="R9" s="107"/>
      <c r="S9" s="867" t="s">
        <v>385</v>
      </c>
      <c r="T9" s="868" t="s">
        <v>386</v>
      </c>
      <c r="U9" s="869" t="s">
        <v>387</v>
      </c>
      <c r="V9" s="869" t="s">
        <v>388</v>
      </c>
      <c r="W9" s="869" t="s">
        <v>389</v>
      </c>
      <c r="X9" s="870" t="s">
        <v>295</v>
      </c>
      <c r="Y9" s="867" t="s">
        <v>296</v>
      </c>
      <c r="Z9" s="870" t="s">
        <v>297</v>
      </c>
      <c r="AA9" s="43" t="s">
        <v>298</v>
      </c>
      <c r="AB9" s="43" t="s">
        <v>364</v>
      </c>
      <c r="AE9" s="101" t="s">
        <v>281</v>
      </c>
      <c r="AH9" s="124" t="s">
        <v>301</v>
      </c>
      <c r="AI9" s="124" t="s">
        <v>302</v>
      </c>
      <c r="AK9" s="124" t="s">
        <v>304</v>
      </c>
      <c r="AM9" s="124" t="s">
        <v>301</v>
      </c>
      <c r="AN9" s="124" t="s">
        <v>302</v>
      </c>
      <c r="AY9" s="869" t="s">
        <v>387</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gCRoc8uH8T4DLNXZ+cMFMgj2dBHrsDE3a2IgXhxCe7/53NfiDIKaYN+DUyh5vlkoqXL5bhuN7iokiHuu7pauUQ==" saltValue="WZa6ddzlg5C1l6JIbGhjQ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s>
  <conditionalFormatting sqref="I10:I257">
    <cfRule type="containsText" dxfId="410" priority="42" operator="containsText" text="Error">
      <formula>NOT(ISERROR(SEARCH("Error",I10)))</formula>
    </cfRule>
  </conditionalFormatting>
  <conditionalFormatting sqref="J9:L9 J36:L257 K10:L35">
    <cfRule type="containsText" dxfId="409" priority="41" operator="containsText" text="Spatial">
      <formula>NOT(ISERROR(SEARCH("Spatial",J9)))</formula>
    </cfRule>
  </conditionalFormatting>
  <conditionalFormatting sqref="M10:M257">
    <cfRule type="cellIs" dxfId="408" priority="38" operator="equal">
      <formula>"Like for like or better"</formula>
    </cfRule>
    <cfRule type="cellIs" dxfId="407" priority="39" operator="equal">
      <formula>"Like for like"</formula>
    </cfRule>
    <cfRule type="containsText" dxfId="406" priority="40" operator="containsText" text="Same distinctiveness">
      <formula>NOT(ISERROR(SEARCH("Same distinctiveness",M10)))</formula>
    </cfRule>
  </conditionalFormatting>
  <conditionalFormatting sqref="W10:X257">
    <cfRule type="containsText" dxfId="405" priority="37" operator="containsText" text="Error">
      <formula>NOT(ISERROR(SEARCH("Error",W10)))</formula>
    </cfRule>
  </conditionalFormatting>
  <conditionalFormatting sqref="I3">
    <cfRule type="containsText" dxfId="404" priority="35" operator="containsText" text="Error">
      <formula>NOT(ISERROR(SEARCH("Error",I3)))</formula>
    </cfRule>
    <cfRule type="containsText" dxfId="403" priority="36" operator="containsText" text="Check">
      <formula>NOT(ISERROR(SEARCH("Check",I3)))</formula>
    </cfRule>
  </conditionalFormatting>
  <conditionalFormatting sqref="I4">
    <cfRule type="containsText" dxfId="402" priority="3" operator="containsText" text="Error">
      <formula>NOT(ISERROR(SEARCH("Error",I4)))</formula>
    </cfRule>
    <cfRule type="containsText" dxfId="401" priority="4" operator="containsText" text="Check">
      <formula>NOT(ISERROR(SEARCH("Check",I4)))</formula>
    </cfRule>
  </conditionalFormatting>
  <conditionalFormatting sqref="I5">
    <cfRule type="containsText" dxfId="400" priority="29" operator="containsText" text="No">
      <formula>NOT(ISERROR(SEARCH("No",I5)))</formula>
    </cfRule>
    <cfRule type="containsText" dxfId="399" priority="30" operator="containsText" text="Yes">
      <formula>NOT(ISERROR(SEARCH("Yes",I5)))</formula>
    </cfRule>
  </conditionalFormatting>
  <conditionalFormatting sqref="O10:O257">
    <cfRule type="containsText" dxfId="398" priority="27" operator="containsText" text="Existing Value Not Required">
      <formula>NOT(ISERROR(SEARCH("Existing Value Not Required",O10)))</formula>
    </cfRule>
    <cfRule type="containsText" dxfId="397" priority="28" operator="containsText" text="Existing Value Required">
      <formula>NOT(ISERROR(SEARCH("Existing Value Required",O10)))</formula>
    </cfRule>
  </conditionalFormatting>
  <conditionalFormatting sqref="O10:P10 P11:P255 O11:O257">
    <cfRule type="containsText" dxfId="396" priority="23" operator="containsText" text="Check">
      <formula>NOT(ISERROR(SEARCH("Check",O10)))</formula>
    </cfRule>
    <cfRule type="containsText" dxfId="395" priority="24" operator="containsText" text="Error">
      <formula>NOT(ISERROR(SEARCH("Error",O10)))</formula>
    </cfRule>
  </conditionalFormatting>
  <conditionalFormatting sqref="P10:P255">
    <cfRule type="containsText" dxfId="394" priority="22" operator="containsText" text="Spatial">
      <formula>NOT(ISERROR(SEARCH("Spatial",P10)))</formula>
    </cfRule>
  </conditionalFormatting>
  <conditionalFormatting sqref="P256">
    <cfRule type="containsText" dxfId="393" priority="12" operator="containsText" text="Check">
      <formula>NOT(ISERROR(SEARCH("Check",P256)))</formula>
    </cfRule>
    <cfRule type="containsText" dxfId="392" priority="13" operator="containsText" text="Error">
      <formula>NOT(ISERROR(SEARCH("Error",P256)))</formula>
    </cfRule>
  </conditionalFormatting>
  <conditionalFormatting sqref="P256">
    <cfRule type="containsText" dxfId="391" priority="11" operator="containsText" text="Spatial">
      <formula>NOT(ISERROR(SEARCH("Spatial",P256)))</formula>
    </cfRule>
  </conditionalFormatting>
  <conditionalFormatting sqref="P257">
    <cfRule type="containsText" dxfId="390" priority="9" operator="containsText" text="Check">
      <formula>NOT(ISERROR(SEARCH("Check",P257)))</formula>
    </cfRule>
    <cfRule type="containsText" dxfId="389" priority="10" operator="containsText" text="Error">
      <formula>NOT(ISERROR(SEARCH("Error",P257)))</formula>
    </cfRule>
  </conditionalFormatting>
  <conditionalFormatting sqref="P257">
    <cfRule type="containsText" dxfId="388" priority="8" operator="containsText" text="Spatial">
      <formula>NOT(ISERROR(SEARCH("Spatial",P257)))</formula>
    </cfRule>
  </conditionalFormatting>
  <conditionalFormatting sqref="I10:I257">
    <cfRule type="containsText" dxfId="387" priority="7" operator="containsText" text="Not possible">
      <formula>NOT(ISERROR(SEARCH("Not possible",I10)))</formula>
    </cfRule>
  </conditionalFormatting>
  <conditionalFormatting sqref="U258:V258">
    <cfRule type="containsText" dxfId="386" priority="6" operator="containsText" text="Error">
      <formula>NOT(ISERROR(SEARCH("Error",U258)))</formula>
    </cfRule>
  </conditionalFormatting>
  <conditionalFormatting sqref="I4:J4">
    <cfRule type="cellIs" dxfId="385" priority="2" operator="equal">
      <formula>0</formula>
    </cfRule>
    <cfRule type="cellIs" dxfId="384" priority="5" operator="lessThan">
      <formula>0</formula>
    </cfRule>
  </conditionalFormatting>
  <conditionalFormatting sqref="AY258">
    <cfRule type="containsText" dxfId="383" priority="1" operator="containsText" text="Error">
      <formula>NOT(ISERROR(SEARCH("Error",AY258)))</formula>
    </cfRule>
  </conditionalFormatting>
  <dataValidations count="1">
    <dataValidation type="list" allowBlank="1" showInputMessage="1" showErrorMessage="1" sqref="H10:H257">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0" operator="lessThan" id="{800F3E3C-3EA1-44B0-B5B6-6ED146EB03B0}">
            <xm:f>Start!$F$22</xm:f>
            <x14:dxf>
              <font>
                <color rgb="FF383745"/>
              </font>
              <fill>
                <patternFill>
                  <bgColor rgb="FFFFC000"/>
                </patternFill>
              </fill>
            </x14:dxf>
          </x14:cfRule>
          <x14:cfRule type="cellIs" priority="441"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 type="list" allowBlank="1" showInputMessage="1" showErrorMessage="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row r="2" spans="2:34" ht="15.75" customHeight="1" thickBot="1">
      <c r="B2" s="1551" t="str">
        <f>CONCATENATE("Project Name:", " ", Start!F12, "     ", "Map Reference:", " ", Start!K66)</f>
        <v xml:space="preserve">Project Name: Barnsley West Commerical     Map Reference: </v>
      </c>
      <c r="C2" s="1552"/>
      <c r="D2" s="1552"/>
      <c r="E2" s="1553"/>
      <c r="I2" s="309"/>
      <c r="J2" s="1401" t="s">
        <v>381</v>
      </c>
      <c r="K2" s="1402"/>
      <c r="L2" s="1402"/>
      <c r="M2" s="1403"/>
      <c r="O2" s="1460" t="str">
        <f>IF(OR(COUNTIF($O$12:O259,"*30+*")&gt;0,COUNTIF($S$12:S259,"*30+*")&gt;0),"Note; Habitat selected has a time to target condition greater than 30 years. Non standard agreement may be required. ⚠","")</f>
        <v/>
      </c>
      <c r="P2" s="1460"/>
      <c r="Q2" s="1460"/>
      <c r="R2" s="1460"/>
      <c r="S2" s="1460"/>
      <c r="T2" s="1460"/>
    </row>
    <row r="3" spans="2:34" ht="15.75" customHeight="1" thickBot="1">
      <c r="B3" s="1554" t="str">
        <f ca="1">MID(CELL("filename",A1),FIND("]",CELL("filename",A1))+1,256)</f>
        <v>E-2 Off-Site Hedge Creation</v>
      </c>
      <c r="C3" s="1555"/>
      <c r="D3" s="1555"/>
      <c r="E3" s="1556"/>
      <c r="I3" s="509"/>
      <c r="J3" s="1502" t="s">
        <v>264</v>
      </c>
      <c r="K3" s="1503"/>
      <c r="L3" s="1503"/>
      <c r="M3" s="512">
        <f ca="1">'Headline Results'!H48</f>
        <v>11.168566810968827</v>
      </c>
      <c r="O3" s="1460"/>
      <c r="P3" s="1460"/>
      <c r="Q3" s="1460"/>
      <c r="R3" s="1460"/>
      <c r="S3" s="1460"/>
      <c r="T3" s="1460"/>
    </row>
    <row r="4" spans="2:34" ht="15.75" customHeight="1" thickBot="1">
      <c r="B4" s="1554"/>
      <c r="C4" s="1555"/>
      <c r="D4" s="1555"/>
      <c r="E4" s="1556"/>
      <c r="I4" s="509"/>
      <c r="J4" s="1580" t="s">
        <v>266</v>
      </c>
      <c r="K4" s="1581"/>
      <c r="L4" s="1581"/>
      <c r="M4" s="513">
        <f ca="1">'Headline Results'!H52</f>
        <v>0.52906447945497059</v>
      </c>
      <c r="O4" s="1460"/>
      <c r="P4" s="1460"/>
      <c r="Q4" s="1460"/>
      <c r="R4" s="1460"/>
      <c r="S4" s="1460"/>
      <c r="T4" s="1460"/>
    </row>
    <row r="5" spans="2:34" ht="15.75" customHeight="1" thickBot="1">
      <c r="J5" s="1579" t="s">
        <v>268</v>
      </c>
      <c r="K5" s="1576"/>
      <c r="L5" s="1576"/>
      <c r="M5" s="504" t="str" cm="1">
        <f t="array" aca="1" ref="M5" ca="1">IF(OR('Trading Summary Hedgerows'!G5:H8="No ▲"), "No - check trading summary ▲", "Yes ✓")</f>
        <v>No - check trading summary ▲</v>
      </c>
      <c r="N5" s="509"/>
      <c r="O5" s="1460"/>
      <c r="P5" s="1460"/>
      <c r="Q5" s="1460"/>
      <c r="R5" s="1460"/>
      <c r="S5" s="1460"/>
      <c r="T5" s="1460"/>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39.950000000000003" customHeight="1" thickBot="1">
      <c r="B10" s="32"/>
      <c r="C10" s="32"/>
      <c r="D10" s="1570" t="s">
        <v>390</v>
      </c>
      <c r="E10" s="1572"/>
      <c r="F10" s="1312" t="s">
        <v>270</v>
      </c>
      <c r="G10" s="1314"/>
      <c r="H10" s="1314" t="s">
        <v>358</v>
      </c>
      <c r="I10" s="1310"/>
      <c r="J10" s="1570" t="s">
        <v>272</v>
      </c>
      <c r="K10" s="1571"/>
      <c r="L10" s="1572"/>
      <c r="M10" s="1312" t="s">
        <v>359</v>
      </c>
      <c r="N10" s="1314"/>
      <c r="O10" s="1314" t="s">
        <v>315</v>
      </c>
      <c r="P10" s="1314"/>
      <c r="Q10" s="1314"/>
      <c r="R10" s="1314"/>
      <c r="S10" s="1314"/>
      <c r="T10" s="1314"/>
      <c r="U10" s="1314" t="s">
        <v>338</v>
      </c>
      <c r="V10" s="1314"/>
      <c r="W10" s="1314"/>
      <c r="X10" s="1310"/>
      <c r="Y10" s="1534" t="s">
        <v>402</v>
      </c>
      <c r="Z10" s="1534" t="s">
        <v>391</v>
      </c>
      <c r="AA10" s="1570" t="s">
        <v>277</v>
      </c>
      <c r="AB10" s="1572"/>
    </row>
    <row r="11" spans="2:34" ht="57.75" thickBot="1">
      <c r="B11" s="719" t="s">
        <v>340</v>
      </c>
      <c r="C11" s="719" t="s">
        <v>392</v>
      </c>
      <c r="D11" s="132" t="s">
        <v>33</v>
      </c>
      <c r="E11" s="752" t="s">
        <v>34</v>
      </c>
      <c r="F11" s="132" t="s">
        <v>270</v>
      </c>
      <c r="G11" s="752" t="s">
        <v>287</v>
      </c>
      <c r="H11" s="873" t="s">
        <v>271</v>
      </c>
      <c r="I11" s="752" t="s">
        <v>287</v>
      </c>
      <c r="J11" s="132" t="s">
        <v>272</v>
      </c>
      <c r="K11" s="811" t="s">
        <v>272</v>
      </c>
      <c r="L11" s="752" t="s">
        <v>318</v>
      </c>
      <c r="M11" s="132" t="s">
        <v>362</v>
      </c>
      <c r="N11" s="752" t="s">
        <v>359</v>
      </c>
      <c r="O11" s="132" t="s">
        <v>393</v>
      </c>
      <c r="P11" s="811" t="s">
        <v>371</v>
      </c>
      <c r="Q11" s="811" t="s">
        <v>321</v>
      </c>
      <c r="R11" s="811" t="s">
        <v>322</v>
      </c>
      <c r="S11" s="811" t="s">
        <v>323</v>
      </c>
      <c r="T11" s="752" t="s">
        <v>398</v>
      </c>
      <c r="U11" s="132" t="s">
        <v>325</v>
      </c>
      <c r="V11" s="811" t="s">
        <v>326</v>
      </c>
      <c r="W11" s="811" t="s">
        <v>327</v>
      </c>
      <c r="X11" s="752" t="s">
        <v>328</v>
      </c>
      <c r="Y11" s="1591"/>
      <c r="Z11" s="1591"/>
      <c r="AA11" s="126" t="s">
        <v>296</v>
      </c>
      <c r="AB11" s="861" t="s">
        <v>297</v>
      </c>
      <c r="AC11" s="43" t="s">
        <v>298</v>
      </c>
      <c r="AD11" s="43" t="s">
        <v>364</v>
      </c>
      <c r="AH11" s="101" t="s">
        <v>281</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0"/>
      <c r="X260" s="1590"/>
      <c r="Y260" s="366">
        <f>SUM(Y12:Y259)</f>
        <v>0</v>
      </c>
      <c r="Z260" s="366">
        <f>SUM(Z12:Z259)</f>
        <v>0</v>
      </c>
      <c r="AA260" s="34"/>
      <c r="AB260" s="34"/>
    </row>
    <row r="261" spans="2:34" ht="28.9" customHeight="1">
      <c r="E261" s="1582"/>
      <c r="F261" s="1582"/>
      <c r="G261" s="1582"/>
      <c r="H261" s="1582"/>
      <c r="I261" s="1582"/>
      <c r="J261" s="1582"/>
    </row>
    <row r="262" spans="2:34" ht="27" customHeight="1"/>
    <row r="263" spans="2:34" ht="15"/>
    <row r="264" spans="2:34" ht="15"/>
    <row r="265" spans="2:34" ht="15"/>
    <row r="266" spans="2:34" ht="15" hidden="1"/>
    <row r="267" spans="2:34" ht="15" hidden="1"/>
    <row r="268" spans="2:34" ht="15" hidden="1"/>
  </sheetData>
  <sheetProtection algorithmName="SHA-512" hashValue="Y+j0lYlCLu9Pjh9RuMi2kw/3ggIjr66vR4w+uIU1oFMvnTYy4RO9h8nrECWTaVQ8Ida1it4iZlHuQK9TDD3jSA==" saltValue="RJI0hy8yGg3cQQ4uORKAR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Y12">
    <cfRule type="containsText" dxfId="380" priority="143" operator="containsText" text="Existing Value Not Required">
      <formula>NOT(ISERROR(SEARCH("Existing Value Not Required",Y12)))</formula>
    </cfRule>
    <cfRule type="containsText" dxfId="379" priority="144" operator="containsText" text="Existing Value Required">
      <formula>NOT(ISERROR(SEARCH("Existing Value Required",Y12)))</formula>
    </cfRule>
  </conditionalFormatting>
  <conditionalFormatting sqref="M12:M259">
    <cfRule type="containsText" dxfId="378" priority="139" operator="containsText" text="Existing Value Not Required">
      <formula>NOT(ISERROR(SEARCH("Existing Value Not Required",M12)))</formula>
    </cfRule>
    <cfRule type="containsText" dxfId="377" priority="140" operator="containsText" text="Existing Value Required">
      <formula>NOT(ISERROR(SEARCH("Existing Value Required",M12)))</formula>
    </cfRule>
  </conditionalFormatting>
  <conditionalFormatting sqref="Y13:Y259">
    <cfRule type="containsText" dxfId="376" priority="137" operator="containsText" text="Existing Value Not Required">
      <formula>NOT(ISERROR(SEARCH("Existing Value Not Required",Y13)))</formula>
    </cfRule>
    <cfRule type="containsText" dxfId="375" priority="138" operator="containsText" text="Existing Value Required">
      <formula>NOT(ISERROR(SEARCH("Existing Value Required",Y13)))</formula>
    </cfRule>
  </conditionalFormatting>
  <conditionalFormatting sqref="M13:M259">
    <cfRule type="containsText" dxfId="374" priority="135" operator="containsText" text="Existing Value Not Required">
      <formula>NOT(ISERROR(SEARCH("Existing Value Not Required",M13)))</formula>
    </cfRule>
    <cfRule type="containsText" dxfId="373" priority="136" operator="containsText" text="Existing Value Required">
      <formula>NOT(ISERROR(SEARCH("Existing Value Required",M13)))</formula>
    </cfRule>
  </conditionalFormatting>
  <conditionalFormatting sqref="I12:Y259">
    <cfRule type="containsText" dxfId="372" priority="134" operator="containsText" text="Error">
      <formula>NOT(ISERROR(SEARCH("Error",I12)))</formula>
    </cfRule>
  </conditionalFormatting>
  <conditionalFormatting sqref="K12:L259">
    <cfRule type="containsText" dxfId="371" priority="133" operator="containsText" text="Spatial">
      <formula>NOT(ISERROR(SEARCH("Spatial",K12)))</formula>
    </cfRule>
  </conditionalFormatting>
  <conditionalFormatting sqref="N12:N259">
    <cfRule type="containsText" dxfId="370" priority="132" operator="containsText" text="Spatial">
      <formula>NOT(ISERROR(SEARCH("Spatial",N12)))</formula>
    </cfRule>
  </conditionalFormatting>
  <conditionalFormatting sqref="O6:S6 O2">
    <cfRule type="containsText" dxfId="369" priority="131" operator="containsText" text="Note">
      <formula>NOT(ISERROR(SEARCH("Note",O2)))</formula>
    </cfRule>
  </conditionalFormatting>
  <conditionalFormatting sqref="R12:Y259">
    <cfRule type="containsText" dxfId="368" priority="121" operator="containsText" text="30+">
      <formula>NOT(ISERROR(SEARCH("30+",R12)))</formula>
    </cfRule>
    <cfRule type="containsText" dxfId="367" priority="130" operator="containsText" text="Check">
      <formula>NOT(ISERROR(SEARCH("Check",R12)))</formula>
    </cfRule>
  </conditionalFormatting>
  <conditionalFormatting sqref="V12:V259">
    <cfRule type="beginsWith" dxfId="366" priority="129" operator="beginsWith" text="No">
      <formula>LEFT(V12,LEN("No"))="No"</formula>
    </cfRule>
  </conditionalFormatting>
  <conditionalFormatting sqref="E261:J261">
    <cfRule type="containsText" dxfId="365" priority="128" operator="containsText" text="Check">
      <formula>NOT(ISERROR(SEARCH("Check",E261)))</formula>
    </cfRule>
  </conditionalFormatting>
  <conditionalFormatting sqref="M17">
    <cfRule type="containsText" dxfId="364" priority="126" operator="containsText" text="Existing Value Not Required">
      <formula>NOT(ISERROR(SEARCH("Existing Value Not Required",M17)))</formula>
    </cfRule>
    <cfRule type="containsText" dxfId="363" priority="127" operator="containsText" text="Existing Value Required">
      <formula>NOT(ISERROR(SEARCH("Existing Value Required",M17)))</formula>
    </cfRule>
  </conditionalFormatting>
  <conditionalFormatting sqref="M18">
    <cfRule type="containsText" dxfId="362" priority="124" operator="containsText" text="Existing Value Not Required">
      <formula>NOT(ISERROR(SEARCH("Existing Value Not Required",M18)))</formula>
    </cfRule>
    <cfRule type="containsText" dxfId="361" priority="125" operator="containsText" text="Existing Value Required">
      <formula>NOT(ISERROR(SEARCH("Existing Value Required",M18)))</formula>
    </cfRule>
  </conditionalFormatting>
  <conditionalFormatting sqref="M19">
    <cfRule type="containsText" dxfId="360" priority="122" operator="containsText" text="Existing Value Not Required">
      <formula>NOT(ISERROR(SEARCH("Existing Value Not Required",M19)))</formula>
    </cfRule>
    <cfRule type="containsText" dxfId="359" priority="123" operator="containsText" text="Existing Value Required">
      <formula>NOT(ISERROR(SEARCH("Existing Value Required",M19)))</formula>
    </cfRule>
  </conditionalFormatting>
  <conditionalFormatting sqref="M20:M24">
    <cfRule type="containsText" dxfId="358" priority="119" operator="containsText" text="Existing Value Not Required">
      <formula>NOT(ISERROR(SEARCH("Existing Value Not Required",M20)))</formula>
    </cfRule>
    <cfRule type="containsText" dxfId="357" priority="120" operator="containsText" text="Existing Value Required">
      <formula>NOT(ISERROR(SEARCH("Existing Value Required",M20)))</formula>
    </cfRule>
  </conditionalFormatting>
  <conditionalFormatting sqref="M25">
    <cfRule type="containsText" dxfId="356" priority="117" operator="containsText" text="Existing Value Not Required">
      <formula>NOT(ISERROR(SEARCH("Existing Value Not Required",M25)))</formula>
    </cfRule>
    <cfRule type="containsText" dxfId="355" priority="118" operator="containsText" text="Existing Value Required">
      <formula>NOT(ISERROR(SEARCH("Existing Value Required",M25)))</formula>
    </cfRule>
  </conditionalFormatting>
  <conditionalFormatting sqref="M26">
    <cfRule type="containsText" dxfId="354" priority="115" operator="containsText" text="Existing Value Not Required">
      <formula>NOT(ISERROR(SEARCH("Existing Value Not Required",M26)))</formula>
    </cfRule>
    <cfRule type="containsText" dxfId="353" priority="116" operator="containsText" text="Existing Value Required">
      <formula>NOT(ISERROR(SEARCH("Existing Value Required",M26)))</formula>
    </cfRule>
  </conditionalFormatting>
  <conditionalFormatting sqref="M27">
    <cfRule type="containsText" dxfId="352" priority="113" operator="containsText" text="Existing Value Not Required">
      <formula>NOT(ISERROR(SEARCH("Existing Value Not Required",M27)))</formula>
    </cfRule>
    <cfRule type="containsText" dxfId="351" priority="114" operator="containsText" text="Existing Value Required">
      <formula>NOT(ISERROR(SEARCH("Existing Value Required",M27)))</formula>
    </cfRule>
  </conditionalFormatting>
  <conditionalFormatting sqref="M17">
    <cfRule type="containsText" dxfId="350" priority="111" operator="containsText" text="Existing Value Not Required">
      <formula>NOT(ISERROR(SEARCH("Existing Value Not Required",M17)))</formula>
    </cfRule>
    <cfRule type="containsText" dxfId="349" priority="112" operator="containsText" text="Existing Value Required">
      <formula>NOT(ISERROR(SEARCH("Existing Value Required",M17)))</formula>
    </cfRule>
  </conditionalFormatting>
  <conditionalFormatting sqref="M18">
    <cfRule type="containsText" dxfId="348" priority="109" operator="containsText" text="Existing Value Not Required">
      <formula>NOT(ISERROR(SEARCH("Existing Value Not Required",M18)))</formula>
    </cfRule>
    <cfRule type="containsText" dxfId="347" priority="110" operator="containsText" text="Existing Value Required">
      <formula>NOT(ISERROR(SEARCH("Existing Value Required",M18)))</formula>
    </cfRule>
  </conditionalFormatting>
  <conditionalFormatting sqref="M19">
    <cfRule type="containsText" dxfId="346" priority="107" operator="containsText" text="Existing Value Not Required">
      <formula>NOT(ISERROR(SEARCH("Existing Value Not Required",M19)))</formula>
    </cfRule>
    <cfRule type="containsText" dxfId="345" priority="108" operator="containsText" text="Existing Value Required">
      <formula>NOT(ISERROR(SEARCH("Existing Value Required",M19)))</formula>
    </cfRule>
  </conditionalFormatting>
  <conditionalFormatting sqref="M20">
    <cfRule type="containsText" dxfId="344" priority="105" operator="containsText" text="Existing Value Not Required">
      <formula>NOT(ISERROR(SEARCH("Existing Value Not Required",M20)))</formula>
    </cfRule>
    <cfRule type="containsText" dxfId="343" priority="106" operator="containsText" text="Existing Value Required">
      <formula>NOT(ISERROR(SEARCH("Existing Value Required",M20)))</formula>
    </cfRule>
  </conditionalFormatting>
  <conditionalFormatting sqref="M21">
    <cfRule type="containsText" dxfId="342" priority="103" operator="containsText" text="Existing Value Not Required">
      <formula>NOT(ISERROR(SEARCH("Existing Value Not Required",M21)))</formula>
    </cfRule>
    <cfRule type="containsText" dxfId="341" priority="104" operator="containsText" text="Existing Value Required">
      <formula>NOT(ISERROR(SEARCH("Existing Value Required",M21)))</formula>
    </cfRule>
  </conditionalFormatting>
  <conditionalFormatting sqref="M27">
    <cfRule type="containsText" dxfId="340" priority="101" operator="containsText" text="Existing Value Not Required">
      <formula>NOT(ISERROR(SEARCH("Existing Value Not Required",M27)))</formula>
    </cfRule>
    <cfRule type="containsText" dxfId="339" priority="102" operator="containsText" text="Existing Value Required">
      <formula>NOT(ISERROR(SEARCH("Existing Value Required",M27)))</formula>
    </cfRule>
  </conditionalFormatting>
  <conditionalFormatting sqref="M22">
    <cfRule type="containsText" dxfId="338" priority="99" operator="containsText" text="Existing Value Not Required">
      <formula>NOT(ISERROR(SEARCH("Existing Value Not Required",M22)))</formula>
    </cfRule>
    <cfRule type="containsText" dxfId="337" priority="100" operator="containsText" text="Existing Value Required">
      <formula>NOT(ISERROR(SEARCH("Existing Value Required",M22)))</formula>
    </cfRule>
  </conditionalFormatting>
  <conditionalFormatting sqref="M23">
    <cfRule type="containsText" dxfId="336" priority="97" operator="containsText" text="Existing Value Not Required">
      <formula>NOT(ISERROR(SEARCH("Existing Value Not Required",M23)))</formula>
    </cfRule>
    <cfRule type="containsText" dxfId="335" priority="98" operator="containsText" text="Existing Value Required">
      <formula>NOT(ISERROR(SEARCH("Existing Value Required",M23)))</formula>
    </cfRule>
  </conditionalFormatting>
  <conditionalFormatting sqref="M24">
    <cfRule type="containsText" dxfId="334" priority="95" operator="containsText" text="Existing Value Not Required">
      <formula>NOT(ISERROR(SEARCH("Existing Value Not Required",M24)))</formula>
    </cfRule>
    <cfRule type="containsText" dxfId="333" priority="96" operator="containsText" text="Existing Value Required">
      <formula>NOT(ISERROR(SEARCH("Existing Value Required",M24)))</formula>
    </cfRule>
  </conditionalFormatting>
  <conditionalFormatting sqref="M27">
    <cfRule type="containsText" dxfId="332" priority="93" operator="containsText" text="Existing Value Not Required">
      <formula>NOT(ISERROR(SEARCH("Existing Value Not Required",M27)))</formula>
    </cfRule>
    <cfRule type="containsText" dxfId="331" priority="94" operator="containsText" text="Existing Value Required">
      <formula>NOT(ISERROR(SEARCH("Existing Value Required",M27)))</formula>
    </cfRule>
  </conditionalFormatting>
  <conditionalFormatting sqref="M25">
    <cfRule type="containsText" dxfId="330" priority="91" operator="containsText" text="Existing Value Not Required">
      <formula>NOT(ISERROR(SEARCH("Existing Value Not Required",M25)))</formula>
    </cfRule>
    <cfRule type="containsText" dxfId="329" priority="92" operator="containsText" text="Existing Value Required">
      <formula>NOT(ISERROR(SEARCH("Existing Value Required",M25)))</formula>
    </cfRule>
  </conditionalFormatting>
  <conditionalFormatting sqref="M26">
    <cfRule type="containsText" dxfId="328" priority="89" operator="containsText" text="Existing Value Not Required">
      <formula>NOT(ISERROR(SEARCH("Existing Value Not Required",M26)))</formula>
    </cfRule>
    <cfRule type="containsText" dxfId="327" priority="90" operator="containsText" text="Existing Value Required">
      <formula>NOT(ISERROR(SEARCH("Existing Value Required",M26)))</formula>
    </cfRule>
  </conditionalFormatting>
  <conditionalFormatting sqref="M17">
    <cfRule type="containsText" dxfId="326" priority="87" operator="containsText" text="Existing Value Not Required">
      <formula>NOT(ISERROR(SEARCH("Existing Value Not Required",M17)))</formula>
    </cfRule>
    <cfRule type="containsText" dxfId="325" priority="88" operator="containsText" text="Existing Value Required">
      <formula>NOT(ISERROR(SEARCH("Existing Value Required",M17)))</formula>
    </cfRule>
  </conditionalFormatting>
  <conditionalFormatting sqref="M18">
    <cfRule type="containsText" dxfId="324" priority="85" operator="containsText" text="Existing Value Not Required">
      <formula>NOT(ISERROR(SEARCH("Existing Value Not Required",M18)))</formula>
    </cfRule>
    <cfRule type="containsText" dxfId="323" priority="86" operator="containsText" text="Existing Value Required">
      <formula>NOT(ISERROR(SEARCH("Existing Value Required",M18)))</formula>
    </cfRule>
  </conditionalFormatting>
  <conditionalFormatting sqref="M19">
    <cfRule type="containsText" dxfId="322" priority="83" operator="containsText" text="Existing Value Not Required">
      <formula>NOT(ISERROR(SEARCH("Existing Value Not Required",M19)))</formula>
    </cfRule>
    <cfRule type="containsText" dxfId="321" priority="84" operator="containsText" text="Existing Value Required">
      <formula>NOT(ISERROR(SEARCH("Existing Value Required",M19)))</formula>
    </cfRule>
  </conditionalFormatting>
  <conditionalFormatting sqref="M20">
    <cfRule type="containsText" dxfId="320" priority="81" operator="containsText" text="Existing Value Not Required">
      <formula>NOT(ISERROR(SEARCH("Existing Value Not Required",M20)))</formula>
    </cfRule>
    <cfRule type="containsText" dxfId="319" priority="82" operator="containsText" text="Existing Value Required">
      <formula>NOT(ISERROR(SEARCH("Existing Value Required",M20)))</formula>
    </cfRule>
  </conditionalFormatting>
  <conditionalFormatting sqref="M21">
    <cfRule type="containsText" dxfId="318" priority="79" operator="containsText" text="Existing Value Not Required">
      <formula>NOT(ISERROR(SEARCH("Existing Value Not Required",M21)))</formula>
    </cfRule>
    <cfRule type="containsText" dxfId="317" priority="80" operator="containsText" text="Existing Value Required">
      <formula>NOT(ISERROR(SEARCH("Existing Value Required",M21)))</formula>
    </cfRule>
  </conditionalFormatting>
  <conditionalFormatting sqref="M22">
    <cfRule type="containsText" dxfId="316" priority="77" operator="containsText" text="Existing Value Not Required">
      <formula>NOT(ISERROR(SEARCH("Existing Value Not Required",M22)))</formula>
    </cfRule>
    <cfRule type="containsText" dxfId="315" priority="78" operator="containsText" text="Existing Value Required">
      <formula>NOT(ISERROR(SEARCH("Existing Value Required",M22)))</formula>
    </cfRule>
  </conditionalFormatting>
  <conditionalFormatting sqref="M23">
    <cfRule type="containsText" dxfId="314" priority="75" operator="containsText" text="Existing Value Not Required">
      <formula>NOT(ISERROR(SEARCH("Existing Value Not Required",M23)))</formula>
    </cfRule>
    <cfRule type="containsText" dxfId="313" priority="76" operator="containsText" text="Existing Value Required">
      <formula>NOT(ISERROR(SEARCH("Existing Value Required",M23)))</formula>
    </cfRule>
  </conditionalFormatting>
  <conditionalFormatting sqref="M24">
    <cfRule type="containsText" dxfId="312" priority="73" operator="containsText" text="Existing Value Not Required">
      <formula>NOT(ISERROR(SEARCH("Existing Value Not Required",M24)))</formula>
    </cfRule>
    <cfRule type="containsText" dxfId="311" priority="74" operator="containsText" text="Existing Value Required">
      <formula>NOT(ISERROR(SEARCH("Existing Value Required",M24)))</formula>
    </cfRule>
  </conditionalFormatting>
  <conditionalFormatting sqref="M25">
    <cfRule type="containsText" dxfId="310" priority="71" operator="containsText" text="Existing Value Not Required">
      <formula>NOT(ISERROR(SEARCH("Existing Value Not Required",M25)))</formula>
    </cfRule>
    <cfRule type="containsText" dxfId="309" priority="72" operator="containsText" text="Existing Value Required">
      <formula>NOT(ISERROR(SEARCH("Existing Value Required",M25)))</formula>
    </cfRule>
  </conditionalFormatting>
  <conditionalFormatting sqref="M26">
    <cfRule type="containsText" dxfId="308" priority="69" operator="containsText" text="Existing Value Not Required">
      <formula>NOT(ISERROR(SEARCH("Existing Value Not Required",M26)))</formula>
    </cfRule>
    <cfRule type="containsText" dxfId="307" priority="70" operator="containsText" text="Existing Value Required">
      <formula>NOT(ISERROR(SEARCH("Existing Value Required",M26)))</formula>
    </cfRule>
  </conditionalFormatting>
  <conditionalFormatting sqref="M27">
    <cfRule type="containsText" dxfId="306" priority="67" operator="containsText" text="Existing Value Not Required">
      <formula>NOT(ISERROR(SEARCH("Existing Value Not Required",M27)))</formula>
    </cfRule>
    <cfRule type="containsText" dxfId="305" priority="68" operator="containsText" text="Existing Value Required">
      <formula>NOT(ISERROR(SEARCH("Existing Value Required",M27)))</formula>
    </cfRule>
  </conditionalFormatting>
  <conditionalFormatting sqref="M17">
    <cfRule type="containsText" dxfId="304" priority="65" operator="containsText" text="Existing Value Not Required">
      <formula>NOT(ISERROR(SEARCH("Existing Value Not Required",M17)))</formula>
    </cfRule>
    <cfRule type="containsText" dxfId="303" priority="66" operator="containsText" text="Existing Value Required">
      <formula>NOT(ISERROR(SEARCH("Existing Value Required",M17)))</formula>
    </cfRule>
  </conditionalFormatting>
  <conditionalFormatting sqref="M18">
    <cfRule type="containsText" dxfId="302" priority="63" operator="containsText" text="Existing Value Not Required">
      <formula>NOT(ISERROR(SEARCH("Existing Value Not Required",M18)))</formula>
    </cfRule>
    <cfRule type="containsText" dxfId="301" priority="64" operator="containsText" text="Existing Value Required">
      <formula>NOT(ISERROR(SEARCH("Existing Value Required",M18)))</formula>
    </cfRule>
  </conditionalFormatting>
  <conditionalFormatting sqref="M19">
    <cfRule type="containsText" dxfId="300" priority="61" operator="containsText" text="Existing Value Not Required">
      <formula>NOT(ISERROR(SEARCH("Existing Value Not Required",M19)))</formula>
    </cfRule>
    <cfRule type="containsText" dxfId="299" priority="62" operator="containsText" text="Existing Value Required">
      <formula>NOT(ISERROR(SEARCH("Existing Value Required",M19)))</formula>
    </cfRule>
  </conditionalFormatting>
  <conditionalFormatting sqref="M20">
    <cfRule type="containsText" dxfId="298" priority="59" operator="containsText" text="Existing Value Not Required">
      <formula>NOT(ISERROR(SEARCH("Existing Value Not Required",M20)))</formula>
    </cfRule>
    <cfRule type="containsText" dxfId="297" priority="60" operator="containsText" text="Existing Value Required">
      <formula>NOT(ISERROR(SEARCH("Existing Value Required",M20)))</formula>
    </cfRule>
  </conditionalFormatting>
  <conditionalFormatting sqref="M27">
    <cfRule type="containsText" dxfId="296" priority="57" operator="containsText" text="Existing Value Not Required">
      <formula>NOT(ISERROR(SEARCH("Existing Value Not Required",M27)))</formula>
    </cfRule>
    <cfRule type="containsText" dxfId="295" priority="58" operator="containsText" text="Existing Value Required">
      <formula>NOT(ISERROR(SEARCH("Existing Value Required",M27)))</formula>
    </cfRule>
  </conditionalFormatting>
  <conditionalFormatting sqref="M26">
    <cfRule type="containsText" dxfId="294" priority="55" operator="containsText" text="Existing Value Not Required">
      <formula>NOT(ISERROR(SEARCH("Existing Value Not Required",M26)))</formula>
    </cfRule>
    <cfRule type="containsText" dxfId="293" priority="56" operator="containsText" text="Existing Value Required">
      <formula>NOT(ISERROR(SEARCH("Existing Value Required",M26)))</formula>
    </cfRule>
  </conditionalFormatting>
  <conditionalFormatting sqref="M25">
    <cfRule type="containsText" dxfId="292" priority="53" operator="containsText" text="Existing Value Not Required">
      <formula>NOT(ISERROR(SEARCH("Existing Value Not Required",M25)))</formula>
    </cfRule>
    <cfRule type="containsText" dxfId="291" priority="54" operator="containsText" text="Existing Value Required">
      <formula>NOT(ISERROR(SEARCH("Existing Value Required",M25)))</formula>
    </cfRule>
  </conditionalFormatting>
  <conditionalFormatting sqref="M24">
    <cfRule type="containsText" dxfId="290" priority="51" operator="containsText" text="Existing Value Not Required">
      <formula>NOT(ISERROR(SEARCH("Existing Value Not Required",M24)))</formula>
    </cfRule>
    <cfRule type="containsText" dxfId="289" priority="52" operator="containsText" text="Existing Value Required">
      <formula>NOT(ISERROR(SEARCH("Existing Value Required",M24)))</formula>
    </cfRule>
  </conditionalFormatting>
  <conditionalFormatting sqref="M23">
    <cfRule type="containsText" dxfId="288" priority="49" operator="containsText" text="Existing Value Not Required">
      <formula>NOT(ISERROR(SEARCH("Existing Value Not Required",M23)))</formula>
    </cfRule>
    <cfRule type="containsText" dxfId="287" priority="50" operator="containsText" text="Existing Value Required">
      <formula>NOT(ISERROR(SEARCH("Existing Value Required",M23)))</formula>
    </cfRule>
  </conditionalFormatting>
  <conditionalFormatting sqref="M22">
    <cfRule type="containsText" dxfId="286" priority="47" operator="containsText" text="Existing Value Not Required">
      <formula>NOT(ISERROR(SEARCH("Existing Value Not Required",M22)))</formula>
    </cfRule>
    <cfRule type="containsText" dxfId="285" priority="48" operator="containsText" text="Existing Value Required">
      <formula>NOT(ISERROR(SEARCH("Existing Value Required",M22)))</formula>
    </cfRule>
  </conditionalFormatting>
  <conditionalFormatting sqref="M21">
    <cfRule type="containsText" dxfId="284" priority="45" operator="containsText" text="Existing Value Not Required">
      <formula>NOT(ISERROR(SEARCH("Existing Value Not Required",M21)))</formula>
    </cfRule>
    <cfRule type="containsText" dxfId="283" priority="46" operator="containsText" text="Existing Value Required">
      <formula>NOT(ISERROR(SEARCH("Existing Value Required",M21)))</formula>
    </cfRule>
  </conditionalFormatting>
  <conditionalFormatting sqref="M20">
    <cfRule type="containsText" dxfId="282" priority="43" operator="containsText" text="Existing Value Not Required">
      <formula>NOT(ISERROR(SEARCH("Existing Value Not Required",M20)))</formula>
    </cfRule>
    <cfRule type="containsText" dxfId="281" priority="44" operator="containsText" text="Existing Value Required">
      <formula>NOT(ISERROR(SEARCH("Existing Value Required",M20)))</formula>
    </cfRule>
  </conditionalFormatting>
  <conditionalFormatting sqref="M17">
    <cfRule type="containsText" dxfId="280" priority="41" operator="containsText" text="Existing Value Not Required">
      <formula>NOT(ISERROR(SEARCH("Existing Value Not Required",M17)))</formula>
    </cfRule>
    <cfRule type="containsText" dxfId="279" priority="42" operator="containsText" text="Existing Value Required">
      <formula>NOT(ISERROR(SEARCH("Existing Value Required",M17)))</formula>
    </cfRule>
  </conditionalFormatting>
  <conditionalFormatting sqref="M18">
    <cfRule type="containsText" dxfId="278" priority="39" operator="containsText" text="Existing Value Not Required">
      <formula>NOT(ISERROR(SEARCH("Existing Value Not Required",M18)))</formula>
    </cfRule>
    <cfRule type="containsText" dxfId="277" priority="40" operator="containsText" text="Existing Value Required">
      <formula>NOT(ISERROR(SEARCH("Existing Value Required",M18)))</formula>
    </cfRule>
  </conditionalFormatting>
  <conditionalFormatting sqref="M19">
    <cfRule type="containsText" dxfId="276" priority="37" operator="containsText" text="Existing Value Not Required">
      <formula>NOT(ISERROR(SEARCH("Existing Value Not Required",M19)))</formula>
    </cfRule>
    <cfRule type="containsText" dxfId="275" priority="38" operator="containsText" text="Existing Value Required">
      <formula>NOT(ISERROR(SEARCH("Existing Value Required",M19)))</formula>
    </cfRule>
  </conditionalFormatting>
  <conditionalFormatting sqref="M20">
    <cfRule type="containsText" dxfId="274" priority="35" operator="containsText" text="Existing Value Not Required">
      <formula>NOT(ISERROR(SEARCH("Existing Value Not Required",M20)))</formula>
    </cfRule>
    <cfRule type="containsText" dxfId="273" priority="36" operator="containsText" text="Existing Value Required">
      <formula>NOT(ISERROR(SEARCH("Existing Value Required",M20)))</formula>
    </cfRule>
  </conditionalFormatting>
  <conditionalFormatting sqref="M21">
    <cfRule type="containsText" dxfId="272" priority="33" operator="containsText" text="Existing Value Not Required">
      <formula>NOT(ISERROR(SEARCH("Existing Value Not Required",M21)))</formula>
    </cfRule>
    <cfRule type="containsText" dxfId="271" priority="34" operator="containsText" text="Existing Value Required">
      <formula>NOT(ISERROR(SEARCH("Existing Value Required",M21)))</formula>
    </cfRule>
  </conditionalFormatting>
  <conditionalFormatting sqref="M22">
    <cfRule type="containsText" dxfId="270" priority="31" operator="containsText" text="Existing Value Not Required">
      <formula>NOT(ISERROR(SEARCH("Existing Value Not Required",M22)))</formula>
    </cfRule>
    <cfRule type="containsText" dxfId="269" priority="32" operator="containsText" text="Existing Value Required">
      <formula>NOT(ISERROR(SEARCH("Existing Value Required",M22)))</formula>
    </cfRule>
  </conditionalFormatting>
  <conditionalFormatting sqref="M23">
    <cfRule type="containsText" dxfId="268" priority="29" operator="containsText" text="Existing Value Not Required">
      <formula>NOT(ISERROR(SEARCH("Existing Value Not Required",M23)))</formula>
    </cfRule>
    <cfRule type="containsText" dxfId="267" priority="30" operator="containsText" text="Existing Value Required">
      <formula>NOT(ISERROR(SEARCH("Existing Value Required",M23)))</formula>
    </cfRule>
  </conditionalFormatting>
  <conditionalFormatting sqref="M24">
    <cfRule type="containsText" dxfId="266" priority="27" operator="containsText" text="Existing Value Not Required">
      <formula>NOT(ISERROR(SEARCH("Existing Value Not Required",M24)))</formula>
    </cfRule>
    <cfRule type="containsText" dxfId="265" priority="28" operator="containsText" text="Existing Value Required">
      <formula>NOT(ISERROR(SEARCH("Existing Value Required",M24)))</formula>
    </cfRule>
  </conditionalFormatting>
  <conditionalFormatting sqref="M25">
    <cfRule type="containsText" dxfId="264" priority="25" operator="containsText" text="Existing Value Not Required">
      <formula>NOT(ISERROR(SEARCH("Existing Value Not Required",M25)))</formula>
    </cfRule>
    <cfRule type="containsText" dxfId="263" priority="26" operator="containsText" text="Existing Value Required">
      <formula>NOT(ISERROR(SEARCH("Existing Value Required",M25)))</formula>
    </cfRule>
  </conditionalFormatting>
  <conditionalFormatting sqref="M26">
    <cfRule type="containsText" dxfId="262" priority="23" operator="containsText" text="Existing Value Not Required">
      <formula>NOT(ISERROR(SEARCH("Existing Value Not Required",M26)))</formula>
    </cfRule>
    <cfRule type="containsText" dxfId="261" priority="24" operator="containsText" text="Existing Value Required">
      <formula>NOT(ISERROR(SEARCH("Existing Value Required",M26)))</formula>
    </cfRule>
  </conditionalFormatting>
  <conditionalFormatting sqref="M27">
    <cfRule type="containsText" dxfId="260" priority="21" operator="containsText" text="Existing Value Not Required">
      <formula>NOT(ISERROR(SEARCH("Existing Value Not Required",M27)))</formula>
    </cfRule>
    <cfRule type="containsText" dxfId="259" priority="22" operator="containsText" text="Existing Value Required">
      <formula>NOT(ISERROR(SEARCH("Existing Value Required",M27)))</formula>
    </cfRule>
  </conditionalFormatting>
  <conditionalFormatting sqref="M3">
    <cfRule type="containsText" dxfId="258" priority="19" operator="containsText" text="Error">
      <formula>NOT(ISERROR(SEARCH("Error",M3)))</formula>
    </cfRule>
    <cfRule type="containsText" dxfId="257" priority="20" operator="containsText" text="Check">
      <formula>NOT(ISERROR(SEARCH("Check",M3)))</formula>
    </cfRule>
  </conditionalFormatting>
  <conditionalFormatting sqref="M4">
    <cfRule type="cellIs" dxfId="256" priority="1" operator="equal">
      <formula>0</formula>
    </cfRule>
    <cfRule type="containsText" dxfId="255" priority="2" operator="containsText" text="Error">
      <formula>NOT(ISERROR(SEARCH("Error",M4)))</formula>
    </cfRule>
    <cfRule type="containsText" dxfId="254" priority="3" operator="containsText" text="Check">
      <formula>NOT(ISERROR(SEARCH("Check",M4)))</formula>
    </cfRule>
    <cfRule type="cellIs" dxfId="253" priority="4" operator="lessThan">
      <formula>0</formula>
    </cfRule>
  </conditionalFormatting>
  <conditionalFormatting sqref="M5">
    <cfRule type="containsText" dxfId="252" priority="13" operator="containsText" text="No">
      <formula>NOT(ISERROR(SEARCH("No",M5)))</formula>
    </cfRule>
    <cfRule type="containsText" dxfId="251" priority="14" operator="containsText" text="Yes">
      <formula>NOT(ISERROR(SEARCH("Yes",M5)))</formula>
    </cfRule>
  </conditionalFormatting>
  <conditionalFormatting sqref="I12:I259">
    <cfRule type="containsText" dxfId="250" priority="12" operator="containsText" text="Not possible">
      <formula>NOT(ISERROR(SEARCH("Not possible",I12)))</formula>
    </cfRule>
  </conditionalFormatting>
  <conditionalFormatting sqref="Z12:Z259">
    <cfRule type="containsText" dxfId="249" priority="10" operator="containsText" text="Existing Value Not Required">
      <formula>NOT(ISERROR(SEARCH("Existing Value Not Required",Z12)))</formula>
    </cfRule>
    <cfRule type="containsText" dxfId="248" priority="11" operator="containsText" text="Existing Value Required">
      <formula>NOT(ISERROR(SEARCH("Existing Value Required",Z12)))</formula>
    </cfRule>
  </conditionalFormatting>
  <conditionalFormatting sqref="Z13:Z259">
    <cfRule type="containsText" dxfId="247" priority="8" operator="containsText" text="Existing Value Not Required">
      <formula>NOT(ISERROR(SEARCH("Existing Value Not Required",Z13)))</formula>
    </cfRule>
    <cfRule type="containsText" dxfId="246" priority="9" operator="containsText" text="Existing Value Required">
      <formula>NOT(ISERROR(SEARCH("Existing Value Required",Z13)))</formula>
    </cfRule>
  </conditionalFormatting>
  <conditionalFormatting sqref="Z12:Z259">
    <cfRule type="containsText" dxfId="245" priority="7" operator="containsText" text="Error">
      <formula>NOT(ISERROR(SEARCH("Error",Z12)))</formula>
    </cfRule>
  </conditionalFormatting>
  <conditionalFormatting sqref="Z12:Z259">
    <cfRule type="containsText" dxfId="244" priority="5" operator="containsText" text="30+">
      <formula>NOT(ISERROR(SEARCH("30+",Z12)))</formula>
    </cfRule>
    <cfRule type="containsText" dxfId="243" priority="6" operator="containsText" text="Check">
      <formula>NOT(ISERROR(SEARCH("Check",Z12)))</formula>
    </cfRule>
  </conditionalFormatting>
  <dataValidations count="1">
    <dataValidation type="list" allowBlank="1" showInputMessage="1" showErrorMessage="1" sqref="H12:H259">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193CDB16-95C6-403F-B2FD-D15A53D5A91A}">
            <xm:f>Start!$F$22</xm:f>
            <x14:dxf>
              <font>
                <color rgb="FF383745"/>
              </font>
              <fill>
                <patternFill>
                  <bgColor rgb="FFFFC000"/>
                </patternFill>
              </fill>
            </x14:dxf>
          </x14:cfRule>
          <x14:cfRule type="cellIs" priority="442"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P12:Q259</xm:sqref>
        </x14:dataValidation>
        <x14:dataValidation type="list" allowBlank="1" showInputMessage="1" showErrorMessage="1">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row r="2" spans="2:43" ht="19.899999999999999" customHeight="1" thickBot="1">
      <c r="B2" s="1597" t="str">
        <f>CONCATENATE("Project Name:", " ", Start!F12, "     ", "Map Reference:", " ", Start!K66)</f>
        <v xml:space="preserve">Project Name: Barnsley West Commerical     Map Reference: </v>
      </c>
      <c r="C2" s="1598"/>
      <c r="N2" s="1592" t="s">
        <v>381</v>
      </c>
      <c r="O2" s="1593"/>
      <c r="X2" s="1460" t="str">
        <f>IF(OR(COUNTIF($X$12:X257,"*30+*")&gt;0,COUNTIF($AB$12:AB257,"*30+*")&gt;0),"Note; Habitat selected has a time to target condition greater than 30 years. Non standard agreement may be required. ⚠","")</f>
        <v/>
      </c>
      <c r="Y2" s="1460"/>
      <c r="Z2" s="1460"/>
      <c r="AA2" s="1460"/>
      <c r="AB2" s="1460"/>
      <c r="AC2" s="1460"/>
    </row>
    <row r="3" spans="2:43" ht="19.149999999999999" customHeight="1" thickBot="1">
      <c r="B3" s="1554" t="str">
        <f ca="1">MID(CELL("filename",A1),FIND("]",CELL("filename",A1))+1,256)</f>
        <v>E-3 Off-Site Hedge Enhancement</v>
      </c>
      <c r="C3" s="1556"/>
      <c r="H3" s="509"/>
      <c r="I3" s="509"/>
      <c r="N3" s="535" t="s">
        <v>264</v>
      </c>
      <c r="O3" s="512">
        <f ca="1">'Headline Results'!H48</f>
        <v>11.168566810968827</v>
      </c>
      <c r="X3" s="1460"/>
      <c r="Y3" s="1460"/>
      <c r="Z3" s="1460"/>
      <c r="AA3" s="1460"/>
      <c r="AB3" s="1460"/>
      <c r="AC3" s="1460"/>
    </row>
    <row r="4" spans="2:43" ht="15.75" customHeight="1" thickBot="1">
      <c r="B4" s="1554"/>
      <c r="C4" s="1556"/>
      <c r="H4" s="509"/>
      <c r="I4" s="509"/>
      <c r="N4" s="506" t="s">
        <v>266</v>
      </c>
      <c r="O4" s="513">
        <f ca="1">'Headline Results'!H52</f>
        <v>0.52906447945497059</v>
      </c>
      <c r="X4" s="1460"/>
      <c r="Y4" s="1460"/>
      <c r="Z4" s="1460"/>
      <c r="AA4" s="1460"/>
      <c r="AB4" s="1460"/>
      <c r="AC4" s="1460"/>
    </row>
    <row r="5" spans="2:43" ht="15.75" customHeight="1" thickBot="1">
      <c r="H5" s="509"/>
      <c r="I5" s="509"/>
      <c r="N5" s="536" t="s">
        <v>268</v>
      </c>
      <c r="O5" s="504" t="str" cm="1">
        <f t="array" aca="1" ref="O5" ca="1">IF(OR('Trading Summary Hedgerows'!G5:H8="No ▲"), "No - check trading summary ▲", "Yes ✓")</f>
        <v>No - check trading summary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39" t="s">
        <v>403</v>
      </c>
      <c r="N8" s="1540"/>
      <c r="O8" s="1540"/>
      <c r="P8" s="1540"/>
      <c r="Q8" s="1540"/>
      <c r="R8" s="1540"/>
      <c r="S8" s="1540"/>
      <c r="T8" s="1540"/>
      <c r="U8" s="1540"/>
      <c r="V8" s="1540"/>
      <c r="W8" s="1540"/>
      <c r="X8" s="1540"/>
      <c r="Y8" s="1540"/>
      <c r="Z8" s="1540"/>
      <c r="AA8" s="1540"/>
      <c r="AB8" s="1540"/>
      <c r="AC8" s="1540"/>
      <c r="AD8" s="1540"/>
      <c r="AE8" s="1540"/>
      <c r="AF8" s="1540"/>
      <c r="AG8" s="1540"/>
      <c r="AH8" s="1540"/>
      <c r="AI8" s="1541"/>
    </row>
    <row r="9" spans="2:43" ht="15.75" thickBot="1">
      <c r="C9" s="101"/>
      <c r="D9" s="101"/>
      <c r="E9" s="101"/>
      <c r="F9" s="101"/>
      <c r="G9" s="101"/>
      <c r="H9" s="101"/>
      <c r="I9" s="101"/>
      <c r="J9" s="101"/>
      <c r="K9" s="101"/>
      <c r="L9" s="101"/>
      <c r="M9" s="1594" t="s">
        <v>335</v>
      </c>
      <c r="N9" s="1595"/>
      <c r="O9" s="1595"/>
      <c r="P9" s="1595"/>
      <c r="Q9" s="1595"/>
      <c r="R9" s="1595"/>
      <c r="S9" s="1595"/>
      <c r="T9" s="1595"/>
      <c r="U9" s="1595"/>
      <c r="V9" s="1595"/>
      <c r="W9" s="1595"/>
      <c r="X9" s="1595"/>
      <c r="Y9" s="1595"/>
      <c r="Z9" s="1595"/>
      <c r="AA9" s="1595"/>
      <c r="AB9" s="1595"/>
      <c r="AC9" s="1595"/>
      <c r="AD9" s="1595"/>
      <c r="AE9" s="1595"/>
      <c r="AF9" s="1595"/>
      <c r="AG9" s="1595"/>
      <c r="AH9" s="1595"/>
      <c r="AI9" s="1596"/>
    </row>
    <row r="10" spans="2:43" s="33" customFormat="1" ht="30" customHeight="1" thickBot="1">
      <c r="C10" s="1529" t="s">
        <v>333</v>
      </c>
      <c r="D10" s="1599"/>
      <c r="E10" s="1599"/>
      <c r="F10" s="1599"/>
      <c r="G10" s="1599"/>
      <c r="H10" s="1599"/>
      <c r="I10" s="1599"/>
      <c r="J10" s="1599"/>
      <c r="K10" s="1599"/>
      <c r="L10" s="1530"/>
      <c r="M10" s="1529" t="s">
        <v>404</v>
      </c>
      <c r="N10" s="1312" t="s">
        <v>335</v>
      </c>
      <c r="O10" s="1310"/>
      <c r="P10" s="1531" t="s">
        <v>34</v>
      </c>
      <c r="Q10" s="1312" t="s">
        <v>270</v>
      </c>
      <c r="R10" s="1310"/>
      <c r="S10" s="1312" t="s">
        <v>271</v>
      </c>
      <c r="T10" s="1310"/>
      <c r="U10" s="1570" t="s">
        <v>272</v>
      </c>
      <c r="V10" s="1571"/>
      <c r="W10" s="1572"/>
      <c r="X10" s="1570" t="s">
        <v>315</v>
      </c>
      <c r="Y10" s="1571"/>
      <c r="Z10" s="1571"/>
      <c r="AA10" s="1571"/>
      <c r="AB10" s="1571"/>
      <c r="AC10" s="1572"/>
      <c r="AD10" s="1549" t="s">
        <v>338</v>
      </c>
      <c r="AE10" s="1549"/>
      <c r="AF10" s="1549"/>
      <c r="AG10" s="1549"/>
      <c r="AH10" s="749" t="s">
        <v>359</v>
      </c>
      <c r="AI10" s="1534" t="s">
        <v>359</v>
      </c>
      <c r="AJ10" s="1534" t="s">
        <v>402</v>
      </c>
      <c r="AK10" s="1534" t="s">
        <v>391</v>
      </c>
      <c r="AL10" s="1570" t="s">
        <v>277</v>
      </c>
      <c r="AM10" s="1572"/>
    </row>
    <row r="11" spans="2:43" ht="62.25" customHeight="1" thickBot="1">
      <c r="B11" s="140" t="s">
        <v>340</v>
      </c>
      <c r="C11" s="145" t="s">
        <v>341</v>
      </c>
      <c r="D11" s="145" t="s">
        <v>34</v>
      </c>
      <c r="E11" s="145" t="s">
        <v>343</v>
      </c>
      <c r="F11" s="145" t="s">
        <v>344</v>
      </c>
      <c r="G11" s="145" t="s">
        <v>345</v>
      </c>
      <c r="H11" s="145" t="s">
        <v>346</v>
      </c>
      <c r="I11" s="145" t="s">
        <v>347</v>
      </c>
      <c r="J11" s="145" t="s">
        <v>348</v>
      </c>
      <c r="K11" s="145" t="s">
        <v>349</v>
      </c>
      <c r="L11" s="144" t="s">
        <v>273</v>
      </c>
      <c r="M11" s="1529"/>
      <c r="N11" s="126" t="s">
        <v>396</v>
      </c>
      <c r="O11" s="861" t="s">
        <v>397</v>
      </c>
      <c r="P11" s="1531"/>
      <c r="Q11" s="126" t="s">
        <v>270</v>
      </c>
      <c r="R11" s="861" t="s">
        <v>287</v>
      </c>
      <c r="S11" s="126" t="s">
        <v>271</v>
      </c>
      <c r="T11" s="861" t="s">
        <v>287</v>
      </c>
      <c r="U11" s="126" t="s">
        <v>272</v>
      </c>
      <c r="V11" s="874" t="s">
        <v>272</v>
      </c>
      <c r="W11" s="861" t="s">
        <v>318</v>
      </c>
      <c r="X11" s="132" t="s">
        <v>393</v>
      </c>
      <c r="Y11" s="811" t="s">
        <v>378</v>
      </c>
      <c r="Z11" s="811" t="s">
        <v>355</v>
      </c>
      <c r="AA11" s="811" t="s">
        <v>322</v>
      </c>
      <c r="AB11" s="811" t="s">
        <v>323</v>
      </c>
      <c r="AC11" s="752" t="s">
        <v>398</v>
      </c>
      <c r="AD11" s="132" t="s">
        <v>399</v>
      </c>
      <c r="AE11" s="811" t="s">
        <v>1682</v>
      </c>
      <c r="AF11" s="811" t="s">
        <v>400</v>
      </c>
      <c r="AG11" s="752" t="s">
        <v>328</v>
      </c>
      <c r="AH11" s="126" t="s">
        <v>362</v>
      </c>
      <c r="AI11" s="1591"/>
      <c r="AJ11" s="1567"/>
      <c r="AK11" s="1567"/>
      <c r="AL11" s="126" t="s">
        <v>296</v>
      </c>
      <c r="AM11" s="861" t="s">
        <v>297</v>
      </c>
      <c r="AN11" s="43" t="s">
        <v>298</v>
      </c>
      <c r="AO11" s="43" t="s">
        <v>364</v>
      </c>
      <c r="AQ11" s="101" t="s">
        <v>281</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svXCI2HKKF5ecWYQb2FLhf1zswTexshr2n/bUX9VsFa2hRPtfM/DP5ZqCBBZLDwbSqpMPJ41L52iP4DB0J+mGA==" saltValue="AH7lVpTU36qhGyCHgSrHV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240" priority="249" operator="equal">
      <formula>"Same distinctiveness band or better"</formula>
    </cfRule>
    <cfRule type="cellIs" dxfId="239" priority="250" operator="equal">
      <formula>"Like for like or better"</formula>
    </cfRule>
    <cfRule type="cellIs" dxfId="238" priority="251" operator="equal">
      <formula>"Like for Like"</formula>
    </cfRule>
  </conditionalFormatting>
  <conditionalFormatting sqref="V12:AG12 V13:W43 N12:R12 Q13:R37 Q38:S257 N13:P257 U44:W257 T12:T257 X13:AG257 AI12:AJ257">
    <cfRule type="containsText" dxfId="237" priority="244" operator="containsText" text="30+">
      <formula>NOT(ISERROR(SEARCH("30+",N12)))</formula>
    </cfRule>
    <cfRule type="beginsWith" dxfId="236" priority="245" operator="beginsWith" text="No">
      <formula>LEFT(N12,LEN("No"))="No"</formula>
    </cfRule>
    <cfRule type="containsText" dxfId="235" priority="246" operator="containsText" text="Spatial">
      <formula>NOT(ISERROR(SEARCH("Spatial",N12)))</formula>
    </cfRule>
    <cfRule type="containsText" dxfId="234" priority="247" operator="containsText" text="Check">
      <formula>NOT(ISERROR(SEARCH("Check",N12)))</formula>
    </cfRule>
    <cfRule type="containsText" dxfId="233" priority="248" operator="containsText" text="Error">
      <formula>NOT(ISERROR(SEARCH("Error",N12)))</formula>
    </cfRule>
  </conditionalFormatting>
  <conditionalFormatting sqref="X2">
    <cfRule type="containsText" dxfId="232" priority="243" operator="containsText" text="Note">
      <formula>NOT(ISERROR(SEARCH("Note",X2)))</formula>
    </cfRule>
  </conditionalFormatting>
  <conditionalFormatting sqref="U12:U27">
    <cfRule type="containsText" dxfId="231" priority="242" operator="containsText" text="Error">
      <formula>NOT(ISERROR(SEARCH("Error",U12)))</formula>
    </cfRule>
  </conditionalFormatting>
  <conditionalFormatting sqref="AH12:AH257">
    <cfRule type="containsText" dxfId="230" priority="240" operator="containsText" text="Existing Value Not Required">
      <formula>NOT(ISERROR(SEARCH("Existing Value Not Required",AH12)))</formula>
    </cfRule>
    <cfRule type="containsText" dxfId="229" priority="241" operator="containsText" text="Existing Value Required">
      <formula>NOT(ISERROR(SEARCH("Existing Value Required",AH12)))</formula>
    </cfRule>
  </conditionalFormatting>
  <conditionalFormatting sqref="AH12:AH257">
    <cfRule type="containsText" dxfId="228" priority="237" operator="containsText" text="Error">
      <formula>NOT(ISERROR(SEARCH("Error",AH12)))</formula>
    </cfRule>
  </conditionalFormatting>
  <conditionalFormatting sqref="U28:U43">
    <cfRule type="containsText" dxfId="227" priority="19" operator="containsText" text="Error">
      <formula>NOT(ISERROR(SEARCH("Error",U28)))</formula>
    </cfRule>
  </conditionalFormatting>
  <conditionalFormatting sqref="O3">
    <cfRule type="containsText" dxfId="226" priority="17" operator="containsText" text="Error">
      <formula>NOT(ISERROR(SEARCH("Error",O3)))</formula>
    </cfRule>
    <cfRule type="containsText" dxfId="225" priority="18" operator="containsText" text="Check">
      <formula>NOT(ISERROR(SEARCH("Check",O3)))</formula>
    </cfRule>
  </conditionalFormatting>
  <conditionalFormatting sqref="O4">
    <cfRule type="cellIs" dxfId="224" priority="1" operator="equal">
      <formula>0</formula>
    </cfRule>
    <cfRule type="containsText" dxfId="223" priority="2" operator="containsText" text="Error">
      <formula>NOT(ISERROR(SEARCH("Error",O4)))</formula>
    </cfRule>
    <cfRule type="containsText" dxfId="222" priority="3" operator="containsText" text="Check">
      <formula>NOT(ISERROR(SEARCH("Check",O4)))</formula>
    </cfRule>
    <cfRule type="cellIs" dxfId="221" priority="13" operator="greaterThanOrEqual">
      <formula>0.1</formula>
    </cfRule>
    <cfRule type="cellIs" dxfId="220" priority="14" operator="lessThan">
      <formula>0</formula>
    </cfRule>
  </conditionalFormatting>
  <conditionalFormatting sqref="O5">
    <cfRule type="containsText" dxfId="219" priority="11" operator="containsText" text="No">
      <formula>NOT(ISERROR(SEARCH("No",O5)))</formula>
    </cfRule>
    <cfRule type="containsText" dxfId="218" priority="12" operator="containsText" text="Yes">
      <formula>NOT(ISERROR(SEARCH("Yes",O5)))</formula>
    </cfRule>
  </conditionalFormatting>
  <conditionalFormatting sqref="T12:T257">
    <cfRule type="containsText" dxfId="217" priority="10" operator="containsText" text="Not possible">
      <formula>NOT(ISERROR(SEARCH("Not possible",T12)))</formula>
    </cfRule>
  </conditionalFormatting>
  <conditionalFormatting sqref="AK12:AK257">
    <cfRule type="containsText" dxfId="216" priority="5" operator="containsText" text="30+">
      <formula>NOT(ISERROR(SEARCH("30+",AK12)))</formula>
    </cfRule>
    <cfRule type="beginsWith" dxfId="215" priority="6" operator="beginsWith" text="No">
      <formula>LEFT(AK12,LEN("No"))="No"</formula>
    </cfRule>
    <cfRule type="containsText" dxfId="214" priority="7" operator="containsText" text="Spatial">
      <formula>NOT(ISERROR(SEARCH("Spatial",AK12)))</formula>
    </cfRule>
    <cfRule type="containsText" dxfId="213" priority="8" operator="containsText" text="Check">
      <formula>NOT(ISERROR(SEARCH("Check",AK12)))</formula>
    </cfRule>
    <cfRule type="containsText" dxfId="212" priority="9" operator="containsText" text="Error">
      <formula>NOT(ISERROR(SEARCH("Error",AK12)))</formula>
    </cfRule>
  </conditionalFormatting>
  <dataValidations count="1">
    <dataValidation type="list" allowBlank="1" showInputMessage="1" showErrorMessage="1" sqref="S12:S257">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3"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multipliers'!$A$4:$A$36</xm:f>
          </x14:formula1>
          <xm:sqref>Y12:Z257</xm:sqref>
        </x14:dataValidation>
        <x14:dataValidation type="list" allowBlank="1" showInputMessage="1" showErrorMessage="1">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CC"/>
    <pageSetUpPr fitToPage="1"/>
  </sheetPr>
  <dimension ref="B1:AR272"/>
  <sheetViews>
    <sheetView showGridLines="0" tabSelected="1" zoomScale="80" zoomScaleNormal="80" workbookViewId="0">
      <selection activeCell="O6" sqref="O6"/>
    </sheetView>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597" t="str">
        <f>CONCATENATE("Project Name:", " ", Start!F12, "     ", "Map Reference:", " ", Start!F55)</f>
        <v xml:space="preserve">Project Name: Barnsley West Commerical     Map Reference: </v>
      </c>
      <c r="C2" s="1600"/>
      <c r="D2" s="1598"/>
      <c r="F2" s="1592" t="s">
        <v>405</v>
      </c>
      <c r="G2" s="1604"/>
      <c r="H2" s="1604"/>
      <c r="I2" s="1604"/>
      <c r="J2" s="1593"/>
      <c r="L2" s="1515" t="str" cm="1">
        <f t="array" ref="L2">IF(OR(H10:H257 = "Fairly Good", H10:H257 = "Fairly Poor"),"A 'Fairly' Category has been used - check evidence to ensure this is appropriate ⚠", "")</f>
        <v>A 'Fairly' Category has been used - check evidence to ensure this is appropriate ⚠</v>
      </c>
      <c r="M2" s="1515"/>
      <c r="N2" s="1515"/>
      <c r="O2" s="1515"/>
      <c r="P2" s="1515"/>
      <c r="Q2" s="1515"/>
      <c r="R2" s="1515"/>
    </row>
    <row r="3" spans="2:44" ht="15" customHeight="1">
      <c r="B3" s="1601" t="str">
        <f ca="1">MID(CELL("filename",A1),FIND("]",CELL("filename",A1))+1,256)</f>
        <v>C-1 On-Site WaterC' Baseline</v>
      </c>
      <c r="C3" s="1602"/>
      <c r="D3" s="1603"/>
      <c r="F3" s="1502" t="s">
        <v>264</v>
      </c>
      <c r="G3" s="1503"/>
      <c r="H3" s="1503"/>
      <c r="I3" s="1498">
        <f>'Headline Results'!H49</f>
        <v>-3.5599743759686246</v>
      </c>
      <c r="J3" s="1499"/>
      <c r="L3" s="1515"/>
      <c r="M3" s="1515"/>
      <c r="N3" s="1515"/>
      <c r="O3" s="1515"/>
      <c r="P3" s="1515"/>
      <c r="Q3" s="1515"/>
      <c r="R3" s="1515"/>
    </row>
    <row r="4" spans="2:44" ht="19.899999999999999" customHeight="1" thickBot="1">
      <c r="B4" s="1512"/>
      <c r="C4" s="1513"/>
      <c r="D4" s="1514"/>
      <c r="F4" s="1580" t="s">
        <v>266</v>
      </c>
      <c r="G4" s="1581"/>
      <c r="H4" s="1581"/>
      <c r="I4" s="1574">
        <f>'Headline Results'!H53</f>
        <v>-0.71458886078454809</v>
      </c>
      <c r="J4" s="1575"/>
      <c r="L4" s="1515"/>
      <c r="M4" s="1515"/>
      <c r="N4" s="1515"/>
      <c r="O4" s="1515"/>
      <c r="P4" s="1515"/>
      <c r="Q4" s="1515"/>
      <c r="R4" s="1515"/>
    </row>
    <row r="5" spans="2:44" ht="19.149999999999999" customHeight="1" thickBot="1">
      <c r="B5" s="30"/>
      <c r="C5" s="30"/>
      <c r="F5" s="1579" t="s">
        <v>268</v>
      </c>
      <c r="G5" s="1576"/>
      <c r="H5" s="1576"/>
      <c r="I5" s="1576" t="str" cm="1">
        <f t="array" ref="I5">IF(OR('Trading Summary WaterC''s'!G5:H8="No ▲"), "No - check trading summary ▲", "Yes ✓")</f>
        <v>No - check trading summary ▲</v>
      </c>
      <c r="J5" s="1577"/>
      <c r="T5" s="1605" t="str">
        <f>IF(SUM(AH10:AH257)&gt;0,"Check Lengths ⚠","")</f>
        <v/>
      </c>
      <c r="U5" s="1605"/>
      <c r="V5" s="1605"/>
      <c r="W5" s="1605"/>
      <c r="X5" s="1605"/>
      <c r="Y5" s="1605"/>
      <c r="Z5" s="669"/>
    </row>
    <row r="6" spans="2:44" ht="15.75" customHeight="1">
      <c r="B6" s="30"/>
      <c r="C6" s="30"/>
      <c r="T6" s="1605"/>
      <c r="U6" s="1605"/>
      <c r="V6" s="1605"/>
      <c r="W6" s="1605"/>
      <c r="X6" s="1605"/>
      <c r="Y6" s="1605"/>
      <c r="Z6" s="669"/>
    </row>
    <row r="7" spans="2:44" ht="46.15" customHeight="1" thickBot="1"/>
    <row r="8" spans="2:44" ht="29.25" thickBot="1">
      <c r="C8" s="1533" t="s">
        <v>406</v>
      </c>
      <c r="D8" s="1533"/>
      <c r="E8" s="1533"/>
      <c r="F8" s="1549" t="s">
        <v>270</v>
      </c>
      <c r="G8" s="1549"/>
      <c r="H8" s="1549" t="s">
        <v>358</v>
      </c>
      <c r="I8" s="1549"/>
      <c r="J8" s="1533" t="s">
        <v>272</v>
      </c>
      <c r="K8" s="1533"/>
      <c r="L8" s="1533"/>
      <c r="M8" s="1549" t="s">
        <v>407</v>
      </c>
      <c r="N8" s="1549"/>
      <c r="O8" s="1549" t="s">
        <v>408</v>
      </c>
      <c r="P8" s="1549"/>
      <c r="Q8" s="1531" t="s">
        <v>273</v>
      </c>
      <c r="R8" s="134" t="s">
        <v>274</v>
      </c>
      <c r="S8" s="103"/>
      <c r="T8" s="1533" t="s">
        <v>275</v>
      </c>
      <c r="U8" s="1533"/>
      <c r="V8" s="1533"/>
      <c r="W8" s="1533"/>
      <c r="X8" s="1533"/>
      <c r="Y8" s="1533"/>
      <c r="Z8" s="1534" t="s">
        <v>276</v>
      </c>
      <c r="AA8" s="1545" t="s">
        <v>277</v>
      </c>
      <c r="AB8" s="1545"/>
      <c r="AD8" s="37" t="s">
        <v>267</v>
      </c>
      <c r="AE8" s="37" t="s">
        <v>267</v>
      </c>
    </row>
    <row r="9" spans="2:44" ht="52.5" customHeight="1" thickBot="1">
      <c r="C9" s="132" t="s">
        <v>340</v>
      </c>
      <c r="D9" s="811" t="s">
        <v>193</v>
      </c>
      <c r="E9" s="752" t="s">
        <v>34</v>
      </c>
      <c r="F9" s="132" t="s">
        <v>270</v>
      </c>
      <c r="G9" s="752" t="s">
        <v>287</v>
      </c>
      <c r="H9" s="132" t="s">
        <v>271</v>
      </c>
      <c r="I9" s="752" t="s">
        <v>287</v>
      </c>
      <c r="J9" s="132" t="s">
        <v>272</v>
      </c>
      <c r="K9" s="811" t="s">
        <v>272</v>
      </c>
      <c r="L9" s="752" t="s">
        <v>409</v>
      </c>
      <c r="M9" s="132" t="s">
        <v>410</v>
      </c>
      <c r="N9" s="752" t="s">
        <v>411</v>
      </c>
      <c r="O9" s="132" t="s">
        <v>412</v>
      </c>
      <c r="P9" s="752" t="s">
        <v>411</v>
      </c>
      <c r="Q9" s="1531"/>
      <c r="R9" s="750" t="s">
        <v>413</v>
      </c>
      <c r="S9" s="107"/>
      <c r="T9" s="132" t="s">
        <v>385</v>
      </c>
      <c r="U9" s="811" t="s">
        <v>386</v>
      </c>
      <c r="V9" s="811" t="s">
        <v>387</v>
      </c>
      <c r="W9" s="811" t="s">
        <v>388</v>
      </c>
      <c r="X9" s="811" t="s">
        <v>414</v>
      </c>
      <c r="Y9" s="752" t="s">
        <v>415</v>
      </c>
      <c r="Z9" s="1567"/>
      <c r="AA9" s="719" t="s">
        <v>416</v>
      </c>
      <c r="AB9" s="719" t="s">
        <v>297</v>
      </c>
      <c r="AC9" s="48" t="s">
        <v>298</v>
      </c>
      <c r="AD9" s="50" t="s">
        <v>299</v>
      </c>
      <c r="AE9" s="50" t="s">
        <v>300</v>
      </c>
      <c r="AH9" s="33" t="s">
        <v>417</v>
      </c>
      <c r="AI9" s="124" t="s">
        <v>301</v>
      </c>
      <c r="AJ9" s="124" t="s">
        <v>302</v>
      </c>
      <c r="AL9" s="124" t="s">
        <v>304</v>
      </c>
      <c r="AN9" s="124" t="s">
        <v>301</v>
      </c>
      <c r="AO9" s="124" t="s">
        <v>302</v>
      </c>
      <c r="AQ9" s="101" t="s">
        <v>281</v>
      </c>
      <c r="AR9" s="101" t="s">
        <v>418</v>
      </c>
    </row>
    <row r="10" spans="2:44" ht="45">
      <c r="C10" s="291">
        <v>1</v>
      </c>
      <c r="D10" s="337" t="s">
        <v>198</v>
      </c>
      <c r="E10" s="53">
        <v>0.19123124999999999</v>
      </c>
      <c r="F10" s="362" t="str">
        <f>IF(D10="","",VLOOKUP(D10,'G-7 WaterC'' Data'!$B$2:$G$8,2,FALSE))</f>
        <v>Medium</v>
      </c>
      <c r="G10" s="363">
        <f>IFERROR(VLOOKUP(F10,'G-7 WaterC'' Data'!$C$4:$D$8,2,FALSE),"")</f>
        <v>4</v>
      </c>
      <c r="H10" s="54" t="s">
        <v>329</v>
      </c>
      <c r="I10" s="363">
        <f>IFERROR(INDEX('G-7 WaterC'' Data'!$H$4:$L$8,MATCH(D10,'G-7 WaterC'' Data'!$B$4:$B$8,0),MATCH(H10,'G-7 WaterC'' Data'!$H$3:$L$3,0)),"")</f>
        <v>1</v>
      </c>
      <c r="J10" s="320" t="s">
        <v>1033</v>
      </c>
      <c r="K10" s="362" t="str">
        <f>IF(J10="","",IF(VLOOKUP(J10,'G-7 WaterC'' Data'!$AK$4:$AM$6,2,FALSE)=0,"Spatial Data Missing ⚠",VLOOKUP(J10,'G-7 WaterC'' Data'!$AK$4:$AM$6,2,FALSE)))</f>
        <v xml:space="preserve">Medium strategic significance </v>
      </c>
      <c r="L10" s="368">
        <f>IF(J10="","",IF(VLOOKUP(J10,'G-7 WaterC'' Data'!$AK$4:$AM$9,3,FALSE)=0,"Spatial Data Missing ⚠",VLOOKUP(J10,'G-7 WaterC'' Data'!$AK$4:$AM$6,3,FALSE)))</f>
        <v>1.1000000000000001</v>
      </c>
      <c r="M10" s="54" t="s">
        <v>1126</v>
      </c>
      <c r="N10" s="363">
        <f>IF(M10="","",IF(VLOOKUP(M10,'G-7 WaterC'' Data'!$AA$4:$AB$7,2,FALSE)=0,"Spatial Data Missing ⚠",VLOOKUP(M10,'G-7 WaterC'' Data'!$AA$4:$AB$7,2,FALSE)))</f>
        <v>1</v>
      </c>
      <c r="O10" s="60" t="s">
        <v>1153</v>
      </c>
      <c r="P10" s="363">
        <f>IF(O10="","",IF(VLOOKUP(O10,'G-7 WaterC'' Data'!$AD$4:$AE$14,2,FALSE)=0,"Spatial Data Missing ⚠",VLOOKUP(O10,'G-7 WaterC'' Data'!$AD$4:$AE$14,2,FALSE)))</f>
        <v>1</v>
      </c>
      <c r="Q10" s="369" t="str">
        <f>IF(D10="","",VLOOKUP(D10,'G-7 WaterC'' Data'!$B$2:$G$8,6,FALSE))</f>
        <v>Same habitat required =</v>
      </c>
      <c r="R10" s="376">
        <f>IFERROR(IF(D10="","",IF(AND(Q10='G-1 All Habitats'!$X$3,U10&gt;0),V10+W10,IF(AND(Q10='G-1 All Habitats'!$X$3,T10&gt;0),V10+W10,IF(AND(Q10='G-1 All Habitats'!$X$3,AD10&gt;0),"Any Loss Unacceptable ⚠",IF(AND(Q10='G-1 All Habitats'!$X$3,AE10&gt;0),"Any Loss Unacceptable ⚠", E10*G10*I10*L10*N10*P10 ))))),"Check Data ▲")</f>
        <v>0.84141750000000004</v>
      </c>
      <c r="S10" s="32"/>
      <c r="T10" s="791">
        <v>0</v>
      </c>
      <c r="U10" s="801">
        <v>0</v>
      </c>
      <c r="V10" s="802">
        <f>IFERROR(IF(T10&gt;E10,"Error in Lengths ▲",T10*G10*I10*L10*N10*P10),"")</f>
        <v>0</v>
      </c>
      <c r="W10" s="802">
        <f>IFERROR(IF(D10="","",U10*G10*I10*L10*N10*P10),"")</f>
        <v>0</v>
      </c>
      <c r="X10" s="802">
        <f>IFERROR(IF(D10="","", IF(AND(F10="V.High",Z10="Yes"), "Unacceptable Loss ⚠", IF(E10&gt;(T10+U10),E10-T10-U10,0))),"")</f>
        <v>0.19123124999999999</v>
      </c>
      <c r="Y10" s="875">
        <f>IFERROR(IF(E10="","",IF((V10+W10)&gt;R10,0, IF(AND(Z10="Yes", D10="Priority habitat"), "Alternative compensation agreed ✓", IF(AND(D10="Priority habitat", U10+T10&lt;&gt;E10),"Any loss unacceptable ▲", R10-V10-W10)))),"Check Data ⚠")</f>
        <v>0.84141750000000004</v>
      </c>
      <c r="Z10" s="876"/>
      <c r="AA10" s="703" t="s">
        <v>1722</v>
      </c>
      <c r="AB10" s="137"/>
      <c r="AC10" s="137"/>
      <c r="AD10" s="57" t="str">
        <f>IF(Q10="","",IF(Q10='G-1 All Habitats'!$X$3,E10-T10-U10,"None"))</f>
        <v>None</v>
      </c>
      <c r="AE10" s="58" t="str">
        <f>IF(Q10="","", IF(Q10='G-1 All Habitats'!$X$3, AD10*G10*I10*L10*N10*P10,"None"))</f>
        <v>None</v>
      </c>
      <c r="AH10" s="30">
        <f>IFERROR(IF(T10+U10&gt;E10,1,0),"")</f>
        <v>0</v>
      </c>
      <c r="AI10" s="124" t="b">
        <f>IF(D10="","",IF(T10&gt;0,TRUE,FALSE))</f>
        <v>0</v>
      </c>
      <c r="AJ10" s="124" t="b">
        <f>IF(D10="","",IF(U10&gt;0,TRUE,FALSE))</f>
        <v>0</v>
      </c>
      <c r="AL10" s="124">
        <v>1</v>
      </c>
      <c r="AN10" s="124">
        <f t="array" ref="AN10">IFERROR(INDEX($AL$10:$AL$258, MATCH(0, IF(TRUE=$AI$10:$AI$258, COUNTIF($AN9:$AN$9, $AL$10:$AL$258), ""), 0)),"")</f>
        <v>3</v>
      </c>
      <c r="AO10" s="124" t="str">
        <f t="array" ref="AO10">IFERROR(INDEX($AL$10:$AL$258, MATCH(0, IF(TRUE=$AJ$10:$AJ$258, COUNTIF($AO9:$AO$9, $AL$10:$AL$258), ""), 0)),"")</f>
        <v/>
      </c>
      <c r="AQ10" s="30" t="str">
        <f>IFERROR(INDEX('G-7 WaterC'' Data'!$AZ$3:$AZ$7,MATCH(D10,'G-7 WaterC'' Data'!$AY$3:$AY$7,0)),"")</f>
        <v>Rivercond1</v>
      </c>
      <c r="AR10" s="30" t="str">
        <f>IFERROR(INDEX('G-7 WaterC'' Data'!AZ10:AZ14,MATCH(D10,'G-7 WaterC'' Data'!$AY$10:$AY$14,0)),"")</f>
        <v/>
      </c>
    </row>
    <row r="11" spans="2:44" ht="45">
      <c r="C11" s="110">
        <v>2</v>
      </c>
      <c r="D11" s="337" t="s">
        <v>198</v>
      </c>
      <c r="E11" s="53">
        <v>0.21469751100000001</v>
      </c>
      <c r="F11" s="362" t="str">
        <f>IF(D11="","",VLOOKUP(D11,'G-7 WaterC'' Data'!$B$2:$G$8,2,FALSE))</f>
        <v>Medium</v>
      </c>
      <c r="G11" s="363">
        <f>IFERROR(VLOOKUP(F11,'G-7 WaterC'' Data'!$C$4:$D$8,2,FALSE),"")</f>
        <v>4</v>
      </c>
      <c r="H11" s="54" t="s">
        <v>329</v>
      </c>
      <c r="I11" s="363">
        <f>IFERROR(INDEX('G-7 WaterC'' Data'!$H$4:$L$8,MATCH(D11,'G-7 WaterC'' Data'!$B$4:$B$8,0),MATCH(H11,'G-7 WaterC'' Data'!$H$3:$L$3,0)),"")</f>
        <v>1</v>
      </c>
      <c r="J11" s="320" t="s">
        <v>1033</v>
      </c>
      <c r="K11" s="398" t="str">
        <f>IF(J11="","",IF(VLOOKUP(J11,'G-7 WaterC'' Data'!$AK$4:$AM$6,2,FALSE)=0,"Spatial Data Missing ⚠",VLOOKUP(J11,'G-7 WaterC'' Data'!$AK$4:$AM$6,2,FALSE)))</f>
        <v xml:space="preserve">Medium strategic significance </v>
      </c>
      <c r="L11" s="368">
        <f>IF(J11="","",IF(VLOOKUP(J11,'G-7 WaterC'' Data'!$AK$4:$AM$9,3,FALSE)=0,"Spatial Data Missing ⚠",VLOOKUP(J11,'G-7 WaterC'' Data'!$AK$4:$AM$6,3,FALSE)))</f>
        <v>1.1000000000000001</v>
      </c>
      <c r="M11" s="54" t="s">
        <v>1126</v>
      </c>
      <c r="N11" s="363">
        <f>IF(M11="","",IF(VLOOKUP(M11,'G-7 WaterC'' Data'!$AA$4:$AB$7,2,FALSE)=0,"Spatial Data Missing ⚠",VLOOKUP(M11,'G-7 WaterC'' Data'!$AA$4:$AB$7,2,FALSE)))</f>
        <v>1</v>
      </c>
      <c r="O11" s="60" t="s">
        <v>1153</v>
      </c>
      <c r="P11" s="363">
        <f>IF(O11="","",IF(VLOOKUP(O11,'G-7 WaterC'' Data'!$AD$4:$AE$14,2,FALSE)=0,"Spatial Data Missing ⚠",VLOOKUP(O11,'G-7 WaterC'' Data'!$AD$4:$AE$14,2,FALSE)))</f>
        <v>1</v>
      </c>
      <c r="Q11" s="369" t="str">
        <f>IF(D11="","",VLOOKUP(D11,'G-7 WaterC'' Data'!$B$2:$G$8,6,FALSE))</f>
        <v>Same habitat required =</v>
      </c>
      <c r="R11" s="376">
        <f>IFERROR(IF(D11="","",IF(AND(Q11='G-1 All Habitats'!$X$3,U11&gt;0),V11+W11,IF(AND(Q11='G-1 All Habitats'!$X$3,T11&gt;0),V11+W11,IF(AND(Q11='G-1 All Habitats'!$X$3,AD11&gt;0),"Any Loss Unacceptable ⚠",IF(AND(Q11='G-1 All Habitats'!$X$3,AE11&gt;0),"Any Loss Unacceptable ⚠", E11*G11*I11*L11*N11*P11 ))))),"Check Data ▲")</f>
        <v>0.9446690484000001</v>
      </c>
      <c r="S11" s="32"/>
      <c r="T11" s="54">
        <v>0</v>
      </c>
      <c r="U11" s="125">
        <v>0</v>
      </c>
      <c r="V11" s="374">
        <f t="shared" ref="V11:V74" si="0">IFERROR(IF(T11&gt;E11,"Error in Lengths ▲",T11*G11*I11*L11*N11*P11),"")</f>
        <v>0</v>
      </c>
      <c r="W11" s="374">
        <f t="shared" ref="W11:W74" si="1">IFERROR(IF(D11="","",U11*G11*I11*L11*N11*P11),"")</f>
        <v>0</v>
      </c>
      <c r="X11" s="374">
        <f t="shared" ref="X11:X74" si="2">IFERROR(IF(D11="","", IF(AND(F11="V.High",Z11="Yes"), "Unacceptable Loss ⚠", IF(E11&gt;(T11+U11),E11-T11-U11,0))),"")</f>
        <v>0.21469751100000001</v>
      </c>
      <c r="Y11" s="670">
        <f t="shared" ref="Y11:Y74" si="3">IFERROR(IF(E11="","",IF((V11+W11)&gt;R11,0, IF(AND(Z11="Yes", D11="Priority habitat"), "Alternative compensation agreed ✓", IF(AND(D11="Priority habitat", U11+T11&lt;&gt;E11),"Any loss unacceptable ▲", R11-V11-W11)))),"Check Data ⚠")</f>
        <v>0.9446690484000001</v>
      </c>
      <c r="Z11" s="706"/>
      <c r="AA11" s="704" t="s">
        <v>1723</v>
      </c>
      <c r="AB11" s="120"/>
      <c r="AC11" s="120"/>
      <c r="AD11" s="57" t="str">
        <f>IF(Q11="","",IF(Q11='G-1 All Habitats'!$X$3,E11-T11-U11,"None"))</f>
        <v>None</v>
      </c>
      <c r="AE11" s="58" t="str">
        <f>IF(Q11="","", IF(Q11='G-1 All Habitats'!$X$3, AD11*G11*I11*L11*N11*P11,"None"))</f>
        <v>None</v>
      </c>
      <c r="AH11" s="30">
        <f t="shared" ref="AH11:AH74" si="4">IFERROR(IF(T11+U11&gt;E11,1,0),"")</f>
        <v>0</v>
      </c>
      <c r="AI11" s="124" t="b">
        <f t="shared" ref="AI11:AI74" si="5">IF(D11="","",IF(T11&gt;0,TRUE,FALSE))</f>
        <v>0</v>
      </c>
      <c r="AJ11" s="124" t="b">
        <f t="shared" ref="AJ11:AJ74" si="6">IF(D11="","",IF(U11&gt;0,TRUE,FALSE))</f>
        <v>0</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Rivercond1</v>
      </c>
      <c r="AR11" s="30" t="str">
        <f>IFERROR(INDEX('G-7 WaterC'' Data'!AZ11:AZ15,MATCH(D11,'G-7 WaterC'' Data'!$AY$10:$AY$14,0)),"")</f>
        <v/>
      </c>
    </row>
    <row r="12" spans="2:44" ht="30">
      <c r="C12" s="110">
        <v>3</v>
      </c>
      <c r="D12" s="337" t="s">
        <v>197</v>
      </c>
      <c r="E12" s="53">
        <v>0.18526163800000001</v>
      </c>
      <c r="F12" s="362" t="str">
        <f>IF(D12="","",VLOOKUP(D12,'G-7 WaterC'' Data'!$B$2:$G$8,2,FALSE))</f>
        <v>High</v>
      </c>
      <c r="G12" s="363">
        <f>IFERROR(VLOOKUP(F12,'G-7 WaterC'' Data'!$C$4:$D$8,2,FALSE),"")</f>
        <v>6</v>
      </c>
      <c r="H12" s="54" t="s">
        <v>473</v>
      </c>
      <c r="I12" s="363">
        <f>IFERROR(INDEX('G-7 WaterC'' Data'!$H$4:$L$8,MATCH(D12,'G-7 WaterC'' Data'!$B$4:$B$8,0),MATCH(H12,'G-7 WaterC'' Data'!$H$3:$L$3,0)),"")</f>
        <v>2.5</v>
      </c>
      <c r="J12" s="320" t="s">
        <v>1029</v>
      </c>
      <c r="K12" s="398" t="str">
        <f>IF(J12="","",IF(VLOOKUP(J12,'G-7 WaterC'' Data'!$AK$4:$AM$6,2,FALSE)=0,"Spatial Data Missing ⚠",VLOOKUP(J12,'G-7 WaterC'' Data'!$AK$4:$AM$6,2,FALSE)))</f>
        <v xml:space="preserve">High strategic significance </v>
      </c>
      <c r="L12" s="368">
        <f>IF(J12="","",IF(VLOOKUP(J12,'G-7 WaterC'' Data'!$AK$4:$AM$9,3,FALSE)=0,"Spatial Data Missing ⚠",VLOOKUP(J12,'G-7 WaterC'' Data'!$AK$4:$AM$6,3,FALSE)))</f>
        <v>1.1499999999999999</v>
      </c>
      <c r="M12" s="54" t="s">
        <v>1126</v>
      </c>
      <c r="N12" s="363">
        <f>IF(M12="","",IF(VLOOKUP(M12,'G-7 WaterC'' Data'!$AA$4:$AB$7,2,FALSE)=0,"Spatial Data Missing ⚠",VLOOKUP(M12,'G-7 WaterC'' Data'!$AA$4:$AB$7,2,FALSE)))</f>
        <v>1</v>
      </c>
      <c r="O12" s="60" t="s">
        <v>1153</v>
      </c>
      <c r="P12" s="363">
        <f>IF(O12="","",IF(VLOOKUP(O12,'G-7 WaterC'' Data'!$AD$4:$AE$14,2,FALSE)=0,"Spatial Data Missing ⚠",VLOOKUP(O12,'G-7 WaterC'' Data'!$AD$4:$AE$14,2,FALSE)))</f>
        <v>1</v>
      </c>
      <c r="Q12" s="369" t="str">
        <f>IF(D12="","",VLOOKUP(D12,'G-7 WaterC'' Data'!$B$2:$G$8,6,FALSE))</f>
        <v>Same habitat required =</v>
      </c>
      <c r="R12" s="376">
        <f>IFERROR(IF(D12="","",IF(AND(Q12='G-1 All Habitats'!$X$3,U12&gt;0),V12+W12,IF(AND(Q12='G-1 All Habitats'!$X$3,T12&gt;0),V12+W12,IF(AND(Q12='G-1 All Habitats'!$X$3,AD12&gt;0),"Any Loss Unacceptable ⚠",IF(AND(Q12='G-1 All Habitats'!$X$3,AE12&gt;0),"Any Loss Unacceptable ⚠", E12*G12*I12*L12*N12*P12 ))))),"Check Data ▲")</f>
        <v>3.1957632554999997</v>
      </c>
      <c r="S12" s="32"/>
      <c r="T12" s="54">
        <v>8.2427561039500011E-2</v>
      </c>
      <c r="U12" s="125">
        <v>0</v>
      </c>
      <c r="V12" s="374">
        <f t="shared" si="0"/>
        <v>1.421875427931375</v>
      </c>
      <c r="W12" s="374">
        <f t="shared" si="1"/>
        <v>0</v>
      </c>
      <c r="X12" s="374">
        <f t="shared" si="2"/>
        <v>0.1028340769605</v>
      </c>
      <c r="Y12" s="670">
        <f t="shared" si="3"/>
        <v>1.7738878275686247</v>
      </c>
      <c r="Z12" s="706"/>
      <c r="AA12" s="704" t="s">
        <v>1724</v>
      </c>
      <c r="AB12" s="120"/>
      <c r="AC12" s="120"/>
      <c r="AD12" s="57" t="str">
        <f>IF(Q12="","",IF(Q12='G-1 All Habitats'!$X$3,E12-T12-U12,"None"))</f>
        <v>None</v>
      </c>
      <c r="AE12" s="58" t="str">
        <f>IF(Q12="","", IF(Q12='G-1 All Habitats'!$X$3, AD12*G12*I12*L12*N12*P12,"None"))</f>
        <v>None</v>
      </c>
      <c r="AH12" s="30">
        <f t="shared" si="4"/>
        <v>0</v>
      </c>
      <c r="AI12" s="124" t="b">
        <f t="shared" si="5"/>
        <v>1</v>
      </c>
      <c r="AJ12" s="124" t="b">
        <f t="shared" si="6"/>
        <v>0</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Rivercond1</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75" thickBot="1">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hidden="1">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hidden="1">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hidden="1">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hidden="1">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hidden="1">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hidden="1">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hidden="1">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hidden="1">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hidden="1">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hidden="1">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hidden="1">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hidden="1">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hidden="1">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hidden="1">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hidden="1">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hidden="1">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hidden="1">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hidden="1">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hidden="1">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hidden="1">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hidden="1">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hidden="1">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hidden="1">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hidden="1">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hidden="1">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hidden="1">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hidden="1">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hidden="1">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hidden="1">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hidden="1">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hidden="1">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hidden="1">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hidden="1">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hidden="1">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hidden="1">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hidden="1">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hidden="1">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hidden="1">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hidden="1">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hidden="1">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hidden="1">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hidden="1">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hidden="1">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hidden="1">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hidden="1">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hidden="1">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hidden="1">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hidden="1">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hidden="1">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hidden="1">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hidden="1">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hidden="1">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hidden="1">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hidden="1">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hidden="1">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hidden="1">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hidden="1">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hidden="1">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hidden="1">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hidden="1">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hidden="1">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hidden="1">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hidden="1">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hidden="1">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hidden="1">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hidden="1">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hidden="1">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hidden="1">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hidden="1">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hidden="1">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hidden="1">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hidden="1">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hidden="1">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hidden="1">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hidden="1">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hidden="1">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hidden="1">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hidden="1">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hidden="1">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hidden="1">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hidden="1">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hidden="1">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hidden="1">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hidden="1">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hidden="1">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hidden="1">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hidden="1">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hidden="1">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hidden="1">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hidden="1">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hidden="1">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hidden="1">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hidden="1">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hidden="1">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hidden="1">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hidden="1">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hidden="1">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hidden="1">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hidden="1">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hidden="1">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hidden="1">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hidden="1">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hidden="1">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hidden="1">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hidden="1">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hidden="1">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hidden="1">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hidden="1">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hidden="1">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hidden="1">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hidden="1">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hidden="1">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hidden="1">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hidden="1">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hidden="1">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hidden="1">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hidden="1">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hidden="1">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hidden="1">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hidden="1">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hidden="1">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hidden="1">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hidden="1">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hidden="1">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hidden="1">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hidden="1">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hidden="1">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hidden="1">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hidden="1">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hidden="1">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hidden="1">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hidden="1">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hidden="1">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hidden="1">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hidden="1">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hidden="1">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hidden="1">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hidden="1">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hidden="1">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hidden="1">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hidden="1">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hidden="1">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hidden="1">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hidden="1">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hidden="1">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hidden="1">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hidden="1">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hidden="1">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hidden="1">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hidden="1">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hidden="1">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hidden="1">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hidden="1">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hidden="1">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hidden="1">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hidden="1">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hidden="1">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hidden="1">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hidden="1">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hidden="1">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hidden="1">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hidden="1">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hidden="1">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hidden="1">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hidden="1">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hidden="1">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hidden="1">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hidden="1">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hidden="1">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hidden="1">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hidden="1">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hidden="1">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hidden="1">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hidden="1">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hidden="1">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hidden="1">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hidden="1">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hidden="1">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hidden="1">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hidden="1">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hidden="1">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hidden="1">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hidden="1">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hidden="1">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hidden="1">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hidden="1">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hidden="1">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hidden="1">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hidden="1">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hidden="1">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hidden="1">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hidden="1">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hidden="1">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hidden="1">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hidden="1">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hidden="1">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hidden="1">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hidden="1">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hidden="1">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hidden="1">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hidden="1">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hidden="1">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hidden="1">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hidden="1">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hidden="1">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hidden="1">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hidden="1">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hidden="1">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hidden="1">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hidden="1">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hidden="1">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hidden="1">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hidden="1">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hidden="1">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hidden="1">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hidden="1">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hidden="1">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hidden="1">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hidden="1">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hidden="1">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hidden="1">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hidden="1">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hidden="1">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hidden="1">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hidden="1">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hidden="1">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hidden="1">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hidden="1">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hidden="1">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hidden="1">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hidden="1">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hidden="1">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hidden="1">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hidden="1">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hidden="1">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hidden="1">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hidden="1">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hidden="1">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hidden="1">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hidden="1"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0.59119039900000003</v>
      </c>
      <c r="F258" s="34"/>
      <c r="G258" s="34"/>
      <c r="H258" s="34"/>
      <c r="I258" s="34"/>
      <c r="J258" s="34"/>
      <c r="K258" s="34"/>
      <c r="L258" s="34"/>
      <c r="M258" s="34"/>
      <c r="N258" s="34"/>
      <c r="O258" s="34"/>
      <c r="P258" s="1526"/>
      <c r="Q258" s="1606"/>
      <c r="R258" s="421">
        <f>IF('Detailed Results'!K164&gt;0,"Error ▲",SUM(R10:R257))</f>
        <v>4.9818498038999994</v>
      </c>
      <c r="S258" s="133"/>
      <c r="T258" s="609">
        <f>IF('Detailed Results'!K164&gt;0,"Error ▲",SUM(T10:T257))</f>
        <v>8.2427561039500011E-2</v>
      </c>
      <c r="U258" s="610">
        <f>IF('Detailed Results'!K164&gt;0,"Error ▲",SUM(U10:U257))</f>
        <v>0</v>
      </c>
      <c r="V258" s="610" cm="1">
        <f t="array" ref="V258">IF(OR(V10:V257="Error in Lengths ▲", V10:V257="Error", 'Detailed Results'!K164&gt;0), "Error ▲",SUM(V10:V257))</f>
        <v>1.421875427931375</v>
      </c>
      <c r="W258" s="610" cm="1">
        <f t="array" ref="W258">IF(OR(V10:V257="Error in Lengths ▲",W10:W257="Error", 'Detailed Results'!K164&gt;0),"Error ▲",SUM(W10:W257))</f>
        <v>0</v>
      </c>
      <c r="X258" s="610">
        <f>IF('Detailed Results'!K164&gt;0,"Error ▲", SUM(X10:X257))</f>
        <v>0.50876283796049993</v>
      </c>
      <c r="Y258" s="610">
        <f>IFERROR(IF(E258="","",IF('Detailed Results'!K164&gt;0,"Error ▲", IF((V258+W258)&gt;R258,0,R258-V258-W258))),"Check Data ⚠")</f>
        <v>3.5599743759686246</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Fws605MP7hilVtOnRcprZH6b7dGyVV8kd6bffY1/lHGLcXHXkp1rgytHnj92sT5aHwJ7JZTnlwEw1SVRwXJgfA==" saltValue="9gpYG6w8CXMYjY1UtT4Mq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Q10:Q257">
    <cfRule type="containsText" dxfId="210" priority="25" operator="containsText" text="Bespoke">
      <formula>NOT(ISERROR(SEARCH("Bespoke",Q10)))</formula>
    </cfRule>
    <cfRule type="containsText" dxfId="209" priority="64" operator="containsText" text="Restore">
      <formula>NOT(ISERROR(SEARCH("Restore",Q10)))</formula>
    </cfRule>
  </conditionalFormatting>
  <conditionalFormatting sqref="K10:L257">
    <cfRule type="containsText" dxfId="208" priority="59" operator="containsText" text="Spatial">
      <formula>NOT(ISERROR(SEARCH("Spatial",K10)))</formula>
    </cfRule>
  </conditionalFormatting>
  <conditionalFormatting sqref="P10:P257">
    <cfRule type="containsText" dxfId="207" priority="58" operator="containsText" text="Spatial">
      <formula>NOT(ISERROR(SEARCH("Spatial",P10)))</formula>
    </cfRule>
  </conditionalFormatting>
  <conditionalFormatting sqref="X10:X257">
    <cfRule type="containsText" dxfId="206" priority="57" operator="containsText" text="Error">
      <formula>NOT(ISERROR(SEARCH("Error",X10)))</formula>
    </cfRule>
  </conditionalFormatting>
  <conditionalFormatting sqref="Y10:Z257">
    <cfRule type="containsText" dxfId="205" priority="55" operator="containsText" text="Check">
      <formula>NOT(ISERROR(SEARCH("Check",Y10)))</formula>
    </cfRule>
    <cfRule type="containsText" dxfId="204" priority="56" operator="containsText" text="Error">
      <formula>NOT(ISERROR(SEARCH("Error",Y10)))</formula>
    </cfRule>
  </conditionalFormatting>
  <conditionalFormatting sqref="T5:Z6">
    <cfRule type="containsText" dxfId="203" priority="46" operator="containsText" text="Check">
      <formula>NOT(ISERROR(SEARCH("Check",T5)))</formula>
    </cfRule>
  </conditionalFormatting>
  <conditionalFormatting sqref="I4">
    <cfRule type="containsText" dxfId="202" priority="31" operator="containsText" text="Error">
      <formula>NOT(ISERROR(SEARCH("Error",I4)))</formula>
    </cfRule>
    <cfRule type="containsText" dxfId="201" priority="32" operator="containsText" text="Check">
      <formula>NOT(ISERROR(SEARCH("Check",I4)))</formula>
    </cfRule>
  </conditionalFormatting>
  <conditionalFormatting sqref="I3">
    <cfRule type="containsText" dxfId="200" priority="44" operator="containsText" text="Error">
      <formula>NOT(ISERROR(SEARCH("Error",I3)))</formula>
    </cfRule>
    <cfRule type="containsText" dxfId="199" priority="45" operator="containsText" text="Check">
      <formula>NOT(ISERROR(SEARCH("Check",I3)))</formula>
    </cfRule>
  </conditionalFormatting>
  <conditionalFormatting sqref="L2:R4">
    <cfRule type="containsText" dxfId="198" priority="39" operator="containsText" text="Check">
      <formula>NOT(ISERROR(SEARCH("Check",L2)))</formula>
    </cfRule>
  </conditionalFormatting>
  <conditionalFormatting sqref="I5">
    <cfRule type="containsText" dxfId="197" priority="37" operator="containsText" text="No">
      <formula>NOT(ISERROR(SEARCH("No",I5)))</formula>
    </cfRule>
    <cfRule type="containsText" dxfId="196" priority="38" operator="containsText" text="Yes">
      <formula>NOT(ISERROR(SEARCH("Yes",I5)))</formula>
    </cfRule>
  </conditionalFormatting>
  <conditionalFormatting sqref="I10:I257">
    <cfRule type="containsText" dxfId="195" priority="36" operator="containsText" text="Not possible">
      <formula>NOT(ISERROR(SEARCH("Not possible",I10)))</formula>
    </cfRule>
  </conditionalFormatting>
  <conditionalFormatting sqref="V258:W258">
    <cfRule type="containsText" dxfId="194" priority="35" operator="containsText" text="Error">
      <formula>NOT(ISERROR(SEARCH("Error",V258)))</formula>
    </cfRule>
  </conditionalFormatting>
  <conditionalFormatting sqref="V10:V257">
    <cfRule type="containsText" dxfId="193" priority="34" operator="containsText" text="Error">
      <formula>NOT(ISERROR(SEARCH("Error",V10)))</formula>
    </cfRule>
  </conditionalFormatting>
  <conditionalFormatting sqref="I4:J4">
    <cfRule type="cellIs" dxfId="192" priority="30" operator="equal">
      <formula>0</formula>
    </cfRule>
    <cfRule type="cellIs" dxfId="191" priority="33" operator="lessThan">
      <formula>0</formula>
    </cfRule>
    <cfRule type="cellIs" dxfId="190" priority="41" operator="greaterThanOrEqual">
      <formula>0.1</formula>
    </cfRule>
  </conditionalFormatting>
  <conditionalFormatting sqref="Z1:Z1048576">
    <cfRule type="containsText" dxfId="189" priority="28" operator="containsText" text="Yes">
      <formula>NOT(ISERROR(SEARCH("Yes",Z1)))</formula>
    </cfRule>
    <cfRule type="containsText" dxfId="188" priority="29" operator="containsText" text="No">
      <formula>NOT(ISERROR(SEARCH("No",Z1)))</formula>
    </cfRule>
  </conditionalFormatting>
  <conditionalFormatting sqref="Y10:Y257">
    <cfRule type="containsText" dxfId="187" priority="26" operator="containsText" text="▲">
      <formula>NOT(ISERROR(SEARCH("▲",Y10)))</formula>
    </cfRule>
    <cfRule type="containsText" dxfId="186" priority="27" operator="containsText" text="✓">
      <formula>NOT(ISERROR(SEARCH("✓",Y10)))</formula>
    </cfRule>
  </conditionalFormatting>
  <conditionalFormatting sqref="R10:R257">
    <cfRule type="containsText" dxfId="185" priority="24" operator="containsText" text="⚠">
      <formula>NOT(ISERROR(SEARCH("⚠",R10)))</formula>
    </cfRule>
  </conditionalFormatting>
  <conditionalFormatting sqref="X10:X257">
    <cfRule type="containsText" dxfId="184" priority="23" operator="containsText" text="⚠">
      <formula>NOT(ISERROR(SEARCH("⚠",X10)))</formula>
    </cfRule>
  </conditionalFormatting>
  <conditionalFormatting sqref="T258:Y258">
    <cfRule type="containsText" dxfId="183" priority="22" operator="containsText" text="▲">
      <formula>NOT(ISERROR(SEARCH("▲",T258)))</formula>
    </cfRule>
  </conditionalFormatting>
  <conditionalFormatting sqref="R258">
    <cfRule type="containsText" dxfId="182" priority="21" operator="containsText" text="▲">
      <formula>NOT(ISERROR(SEARCH("▲",R258)))</formula>
    </cfRule>
  </conditionalFormatting>
  <conditionalFormatting sqref="E258">
    <cfRule type="containsText" dxfId="181" priority="20" operator="containsText" text="▲">
      <formula>NOT(ISERROR(SEARCH("▲",E258)))</formula>
    </cfRule>
  </conditionalFormatting>
  <conditionalFormatting sqref="AD10:AD257">
    <cfRule type="cellIs" dxfId="180" priority="16" operator="equal">
      <formula>""</formula>
    </cfRule>
    <cfRule type="cellIs" dxfId="179" priority="17" operator="equal">
      <formula>"None"</formula>
    </cfRule>
    <cfRule type="cellIs" dxfId="178" priority="19" operator="greaterThan">
      <formula>0</formula>
    </cfRule>
  </conditionalFormatting>
  <conditionalFormatting sqref="AE11">
    <cfRule type="cellIs" dxfId="177" priority="14" operator="equal">
      <formula>"None"</formula>
    </cfRule>
    <cfRule type="cellIs" dxfId="176" priority="15" operator="equal">
      <formula>""</formula>
    </cfRule>
    <cfRule type="cellIs" dxfId="175" priority="18" operator="greaterThan">
      <formula>0</formula>
    </cfRule>
  </conditionalFormatting>
  <conditionalFormatting sqref="AD10:AD257">
    <cfRule type="cellIs" dxfId="174" priority="10" operator="equal">
      <formula>""</formula>
    </cfRule>
    <cfRule type="cellIs" dxfId="173" priority="11" operator="equal">
      <formula>"None"</formula>
    </cfRule>
    <cfRule type="cellIs" dxfId="172" priority="13" operator="greaterThan">
      <formula>0</formula>
    </cfRule>
  </conditionalFormatting>
  <conditionalFormatting sqref="AE10:AE257">
    <cfRule type="cellIs" dxfId="171" priority="8" operator="equal">
      <formula>"None"</formula>
    </cfRule>
    <cfRule type="cellIs" dxfId="170" priority="9" operator="equal">
      <formula>""</formula>
    </cfRule>
    <cfRule type="cellIs" dxfId="169" priority="12" operator="greaterThan">
      <formula>0</formula>
    </cfRule>
  </conditionalFormatting>
  <conditionalFormatting sqref="AD10:AD257">
    <cfRule type="cellIs" dxfId="168" priority="4" operator="equal">
      <formula>""</formula>
    </cfRule>
    <cfRule type="cellIs" dxfId="167" priority="5" operator="equal">
      <formula>"None"</formula>
    </cfRule>
    <cfRule type="cellIs" dxfId="166" priority="7" operator="greaterThan">
      <formula>0</formula>
    </cfRule>
  </conditionalFormatting>
  <conditionalFormatting sqref="AE12:AE257">
    <cfRule type="cellIs" dxfId="165" priority="2" operator="equal">
      <formula>"None"</formula>
    </cfRule>
    <cfRule type="cellIs" dxfId="164" priority="3" operator="equal">
      <formula>""</formula>
    </cfRule>
    <cfRule type="cellIs" dxfId="163" priority="6" operator="greaterThan">
      <formula>0</formula>
    </cfRule>
  </conditionalFormatting>
  <conditionalFormatting sqref="AD10:AD257">
    <cfRule type="cellIs" dxfId="162" priority="1" operator="equal">
      <formula>0</formula>
    </cfRule>
  </conditionalFormatting>
  <dataValidations count="4">
    <dataValidation type="list" allowBlank="1" showInputMessage="1" showErrorMessage="1" sqref="H10:H14">
      <formula1>INDIRECT(AQ10)</formula1>
    </dataValidation>
    <dataValidation type="list" allowBlank="1" showInputMessage="1" showErrorMessage="1" sqref="M10:M257">
      <formula1>IF(D10="Culvert",riparianencroachment2,riparianencroachment1)</formula1>
    </dataValidation>
    <dataValidation type="list" allowBlank="1" showInputMessage="1" showErrorMessage="1" sqref="Z10:Z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8" scale="36"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69"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Data'!$H$3:$L$3</xm:f>
          </x14:formula1>
          <xm:sqref>H15:H257</xm:sqref>
        </x14:dataValidation>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33CC"/>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75" hidden="1" thickBot="1"/>
    <row r="2" spans="2:34" ht="24.6" customHeight="1" thickBot="1">
      <c r="B2" s="1597" t="str">
        <f>CONCATENATE("Project Name:", " ", Start!F12, "     ", "Map Reference:", " ", Start!K55)</f>
        <v xml:space="preserve">Project Name: Barnsley West Commerical     Map Reference: </v>
      </c>
      <c r="C2" s="1600"/>
      <c r="D2" s="1600"/>
      <c r="E2" s="1598"/>
      <c r="J2" s="309"/>
      <c r="K2" s="309"/>
      <c r="V2" s="1460" t="str">
        <f>IF(OR(COUNTIF(L$12:$L260,"*30+*")&gt;0,COUNTIF(P$12:$P260,"*30+*")&gt;0),"Note; Habitat selected has a time to target condition greater than 30 years. Non standard agreement may be required. ⚠","")</f>
        <v/>
      </c>
      <c r="W2" s="1460"/>
      <c r="X2" s="1460"/>
      <c r="Y2" s="1460"/>
      <c r="Z2" s="1460"/>
      <c r="AA2" s="1460"/>
    </row>
    <row r="3" spans="2:34" ht="15.6" customHeight="1" thickBot="1">
      <c r="B3" s="1607" t="str">
        <f ca="1">MID(CELL("filename",A1),FIND("]",CELL("filename",A1))+1,256)</f>
        <v>C-2 On-Site WaterC' Creation</v>
      </c>
      <c r="C3" s="1608"/>
      <c r="D3" s="1608"/>
      <c r="E3" s="1609"/>
      <c r="I3" s="1401" t="s">
        <v>405</v>
      </c>
      <c r="J3" s="1402"/>
      <c r="K3" s="1402"/>
      <c r="L3" s="1402"/>
      <c r="M3" s="1402"/>
      <c r="N3" s="1402"/>
      <c r="O3" s="1403"/>
      <c r="Q3" s="312"/>
      <c r="R3" s="312"/>
      <c r="S3" s="312"/>
      <c r="V3" s="1460"/>
      <c r="W3" s="1460"/>
      <c r="X3" s="1460"/>
      <c r="Y3" s="1460"/>
      <c r="Z3" s="1460"/>
      <c r="AA3" s="1460"/>
    </row>
    <row r="4" spans="2:34" ht="15" customHeight="1" thickBot="1">
      <c r="B4" s="1607"/>
      <c r="C4" s="1608"/>
      <c r="D4" s="1608"/>
      <c r="E4" s="1609"/>
      <c r="I4" s="1502" t="s">
        <v>264</v>
      </c>
      <c r="J4" s="1503"/>
      <c r="K4" s="1503"/>
      <c r="L4" s="1503"/>
      <c r="M4" s="1498">
        <f>'Headline Results'!H49</f>
        <v>-3.5599743759686246</v>
      </c>
      <c r="N4" s="1498"/>
      <c r="O4" s="1499"/>
      <c r="Q4" s="312"/>
      <c r="R4" s="312"/>
      <c r="S4" s="312"/>
      <c r="V4" s="1460"/>
      <c r="W4" s="1460"/>
      <c r="X4" s="1460"/>
      <c r="Y4" s="1460"/>
      <c r="Z4" s="1460"/>
      <c r="AA4" s="1460"/>
    </row>
    <row r="5" spans="2:34" ht="26.45" customHeight="1">
      <c r="I5" s="1580" t="s">
        <v>266</v>
      </c>
      <c r="J5" s="1581"/>
      <c r="K5" s="1581"/>
      <c r="L5" s="1581"/>
      <c r="M5" s="1574">
        <f>'Headline Results'!H53</f>
        <v>-0.71458886078454809</v>
      </c>
      <c r="N5" s="1574"/>
      <c r="O5" s="157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c r="I6" s="1579" t="s">
        <v>268</v>
      </c>
      <c r="J6" s="1576"/>
      <c r="K6" s="1576"/>
      <c r="L6" s="1576"/>
      <c r="M6" s="1576" t="str" cm="1">
        <f t="array" ref="M6">IF(OR('Trading Summary WaterC''s'!G5:H8="No ▲"), "No - check trading summary ▲", "Yes ✓")</f>
        <v>No - check trading summary ▲</v>
      </c>
      <c r="N6" s="1576"/>
      <c r="O6" s="1577"/>
      <c r="P6" s="312"/>
      <c r="Q6" s="312"/>
      <c r="R6" s="312"/>
      <c r="S6" s="312"/>
      <c r="V6" s="1610"/>
      <c r="W6" s="1610"/>
      <c r="X6" s="1610"/>
      <c r="Y6" s="1610"/>
      <c r="Z6" s="1610"/>
    </row>
    <row r="7" spans="2:34" ht="6" customHeight="1">
      <c r="L7" s="312"/>
      <c r="M7" s="312"/>
      <c r="N7" s="312"/>
      <c r="O7" s="312"/>
      <c r="P7" s="312"/>
    </row>
    <row r="8" spans="2:34" ht="6" customHeight="1"/>
    <row r="9" spans="2:34" ht="15.75" customHeight="1" thickBot="1"/>
    <row r="10" spans="2:34" s="33" customFormat="1" ht="29.25" customHeight="1" thickBot="1">
      <c r="B10" s="200"/>
      <c r="C10" s="1549" t="s">
        <v>390</v>
      </c>
      <c r="D10" s="1549"/>
      <c r="E10" s="1549" t="s">
        <v>270</v>
      </c>
      <c r="F10" s="1549"/>
      <c r="G10" s="1549" t="s">
        <v>358</v>
      </c>
      <c r="H10" s="1549"/>
      <c r="I10" s="1549" t="s">
        <v>272</v>
      </c>
      <c r="J10" s="1549"/>
      <c r="K10" s="1549"/>
      <c r="L10" s="1570" t="s">
        <v>315</v>
      </c>
      <c r="M10" s="1571"/>
      <c r="N10" s="1571"/>
      <c r="O10" s="1571"/>
      <c r="P10" s="1571"/>
      <c r="Q10" s="1572"/>
      <c r="R10" s="1570" t="s">
        <v>316</v>
      </c>
      <c r="S10" s="1571"/>
      <c r="T10" s="1571"/>
      <c r="U10" s="1572"/>
      <c r="V10" s="1549" t="s">
        <v>407</v>
      </c>
      <c r="W10" s="1549"/>
      <c r="X10" s="1549" t="s">
        <v>408</v>
      </c>
      <c r="Y10" s="1549"/>
      <c r="Z10" s="1531" t="s">
        <v>419</v>
      </c>
      <c r="AA10" s="1312" t="s">
        <v>277</v>
      </c>
      <c r="AB10" s="1310"/>
    </row>
    <row r="11" spans="2:34" s="33" customFormat="1" ht="62.1" customHeight="1" thickBot="1">
      <c r="B11" s="719" t="s">
        <v>340</v>
      </c>
      <c r="C11" s="132" t="s">
        <v>193</v>
      </c>
      <c r="D11" s="752" t="s">
        <v>34</v>
      </c>
      <c r="E11" s="132" t="s">
        <v>270</v>
      </c>
      <c r="F11" s="752" t="s">
        <v>287</v>
      </c>
      <c r="G11" s="132" t="s">
        <v>271</v>
      </c>
      <c r="H11" s="752" t="s">
        <v>287</v>
      </c>
      <c r="I11" s="132" t="s">
        <v>272</v>
      </c>
      <c r="J11" s="811" t="s">
        <v>272</v>
      </c>
      <c r="K11" s="752" t="s">
        <v>318</v>
      </c>
      <c r="L11" s="132" t="s">
        <v>393</v>
      </c>
      <c r="M11" s="811" t="s">
        <v>320</v>
      </c>
      <c r="N11" s="811" t="s">
        <v>321</v>
      </c>
      <c r="O11" s="811" t="s">
        <v>322</v>
      </c>
      <c r="P11" s="811" t="s">
        <v>323</v>
      </c>
      <c r="Q11" s="752" t="s">
        <v>398</v>
      </c>
      <c r="R11" s="132" t="s">
        <v>325</v>
      </c>
      <c r="S11" s="811" t="s">
        <v>420</v>
      </c>
      <c r="T11" s="811" t="s">
        <v>327</v>
      </c>
      <c r="U11" s="752" t="s">
        <v>328</v>
      </c>
      <c r="V11" s="126" t="s">
        <v>410</v>
      </c>
      <c r="W11" s="861" t="s">
        <v>411</v>
      </c>
      <c r="X11" s="126" t="s">
        <v>412</v>
      </c>
      <c r="Y11" s="861" t="s">
        <v>411</v>
      </c>
      <c r="Z11" s="1531"/>
      <c r="AA11" s="126" t="s">
        <v>296</v>
      </c>
      <c r="AB11" s="861" t="s">
        <v>297</v>
      </c>
      <c r="AC11" s="48" t="s">
        <v>298</v>
      </c>
      <c r="AH11" s="210" t="s">
        <v>281</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6"/>
      <c r="Y260" s="1526"/>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QsRI5dCqT/Gr4qCQZQRg7KmyHzI5aIBZ/cEVu7nAJFzoSnwOvmKL8qAq14v/Vgyrzsr3zyJEx+0+uONRrg2XBA==" saltValue="5owJjot9bSQb+S79ytW9Q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Z12:Z259">
    <cfRule type="containsText" dxfId="160" priority="28" operator="containsText" text="Existing Value Not Required">
      <formula>NOT(ISERROR(SEARCH("Existing Value Not Required",Z12)))</formula>
    </cfRule>
    <cfRule type="containsText" dxfId="159" priority="29" operator="containsText" text="Existing Value Required">
      <formula>NOT(ISERROR(SEARCH("Existing Value Required",Z12)))</formula>
    </cfRule>
  </conditionalFormatting>
  <conditionalFormatting sqref="J12:K259">
    <cfRule type="containsText" dxfId="158" priority="27" operator="containsText" text="Spatial">
      <formula>NOT(ISERROR(SEARCH("Spatial",J12)))</formula>
    </cfRule>
  </conditionalFormatting>
  <conditionalFormatting sqref="O12:Q259">
    <cfRule type="cellIs" dxfId="157" priority="15" operator="equal">
      <formula>"30+ ⚠"</formula>
    </cfRule>
    <cfRule type="containsText" dxfId="156" priority="25" operator="containsText" text="Check">
      <formula>NOT(ISERROR(SEARCH("Check",O12)))</formula>
    </cfRule>
    <cfRule type="containsText" dxfId="155" priority="26" operator="containsText" text="Error">
      <formula>NOT(ISERROR(SEARCH("Error",O12)))</formula>
    </cfRule>
  </conditionalFormatting>
  <conditionalFormatting sqref="S12:Z259">
    <cfRule type="containsText" dxfId="154" priority="21" operator="containsText" text="Error">
      <formula>NOT(ISERROR(SEARCH("Error",S12)))</formula>
    </cfRule>
    <cfRule type="containsText" dxfId="153" priority="22" operator="containsText" text="Check">
      <formula>NOT(ISERROR(SEARCH("Check",S12)))</formula>
    </cfRule>
  </conditionalFormatting>
  <conditionalFormatting sqref="S12:S259">
    <cfRule type="beginsWith" dxfId="152" priority="20" operator="beginsWith" text="No - Low Difficulty">
      <formula>LEFT(S12,LEN("No - Low Difficulty"))="No - Low Difficulty"</formula>
    </cfRule>
  </conditionalFormatting>
  <conditionalFormatting sqref="W12:W259">
    <cfRule type="containsText" dxfId="151" priority="19" operator="containsText" text="Spatial">
      <formula>NOT(ISERROR(SEARCH("Spatial",W12)))</formula>
    </cfRule>
  </conditionalFormatting>
  <conditionalFormatting sqref="Y12:Y259">
    <cfRule type="containsText" dxfId="150" priority="18" operator="containsText" text="Missing">
      <formula>NOT(ISERROR(SEARCH("Missing",Y12)))</formula>
    </cfRule>
  </conditionalFormatting>
  <conditionalFormatting sqref="H12:H259">
    <cfRule type="beginsWith" dxfId="149" priority="17" operator="beginsWith" text="Not Possible">
      <formula>LEFT(H12,LEN("Not Possible"))="Not Possible"</formula>
    </cfRule>
  </conditionalFormatting>
  <conditionalFormatting sqref="L7:P7 V2">
    <cfRule type="containsText" dxfId="148" priority="16" operator="containsText" text="Note">
      <formula>NOT(ISERROR(SEARCH("Note",L2)))</formula>
    </cfRule>
  </conditionalFormatting>
  <conditionalFormatting sqref="M4">
    <cfRule type="containsText" dxfId="147" priority="13" operator="containsText" text="Error">
      <formula>NOT(ISERROR(SEARCH("Error",M4)))</formula>
    </cfRule>
    <cfRule type="containsText" dxfId="146" priority="14" operator="containsText" text="Check">
      <formula>NOT(ISERROR(SEARCH("Check",M4)))</formula>
    </cfRule>
  </conditionalFormatting>
  <conditionalFormatting sqref="M5">
    <cfRule type="containsText" dxfId="145" priority="2" operator="containsText" text="Error">
      <formula>NOT(ISERROR(SEARCH("Error",M5)))</formula>
    </cfRule>
    <cfRule type="containsText" dxfId="144" priority="3" operator="containsText" text="Check">
      <formula>NOT(ISERROR(SEARCH("Check",M5)))</formula>
    </cfRule>
  </conditionalFormatting>
  <conditionalFormatting sqref="V2 V5">
    <cfRule type="containsText" dxfId="143" priority="8" operator="containsText" text="Error">
      <formula>NOT(ISERROR(SEARCH("Error",V2)))</formula>
    </cfRule>
  </conditionalFormatting>
  <conditionalFormatting sqref="V5:Z6">
    <cfRule type="containsText" dxfId="142" priority="7" operator="containsText" text="Check">
      <formula>NOT(ISERROR(SEARCH("Check",V5)))</formula>
    </cfRule>
  </conditionalFormatting>
  <conditionalFormatting sqref="M6">
    <cfRule type="containsText" dxfId="141" priority="5" operator="containsText" text="No">
      <formula>NOT(ISERROR(SEARCH("No",M6)))</formula>
    </cfRule>
    <cfRule type="containsText" dxfId="140" priority="6" operator="containsText" text="Yes">
      <formula>NOT(ISERROR(SEARCH("Yes",M6)))</formula>
    </cfRule>
  </conditionalFormatting>
  <conditionalFormatting sqref="M5:O5">
    <cfRule type="cellIs" dxfId="139" priority="1" operator="equal">
      <formula>0</formula>
    </cfRule>
    <cfRule type="cellIs" dxfId="138" priority="4" operator="lessThan">
      <formula>0</formula>
    </cfRule>
  </conditionalFormatting>
  <dataValidations count="3">
    <dataValidation type="list" allowBlank="1" showInputMessage="1" showErrorMessage="1" sqref="G12:G259">
      <formula1>INDIRECT(AH12)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5" operator="lessThan" id="{84BACA77-6ED3-4402-B70B-8E87E52B228F}">
            <xm:f>Start!$F$22</xm:f>
            <x14:dxf>
              <font>
                <color rgb="FF383745"/>
              </font>
              <fill>
                <patternFill>
                  <bgColor rgb="FFFFC000"/>
                </patternFill>
              </fill>
            </x14:dxf>
          </x14:cfRule>
          <x14:cfRule type="cellIs" priority="446"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row r="2" spans="2:48" ht="27" customHeight="1" thickBot="1">
      <c r="B2" s="1551" t="str">
        <f>CONCATENATE("Project Name:", " ", Start!F12, "     ", "Map Reference:", " ", Start!K55)</f>
        <v xml:space="preserve">Project Name: Barnsley West Commerical     Map Reference: </v>
      </c>
      <c r="C2" s="1552"/>
      <c r="D2" s="1552"/>
      <c r="E2" s="1553"/>
      <c r="O2" s="1592" t="s">
        <v>405</v>
      </c>
      <c r="P2" s="1593"/>
      <c r="Q2" s="510"/>
      <c r="R2" s="102"/>
      <c r="S2" s="1515" t="str" cm="1">
        <f t="array" ref="S2">IF(OR(T12:T257 = "Fairly Good", T12:T257 = "Fairly Poor"),"A 'Fairly' Category has been used - check evidence to ensure this is appropriate ⚠", "")</f>
        <v/>
      </c>
      <c r="T2" s="1515"/>
      <c r="U2" s="1515"/>
      <c r="V2" s="1515"/>
      <c r="W2" s="1515"/>
      <c r="X2" s="1515"/>
      <c r="Y2" s="1460" t="str">
        <f>IF(OR(COUNTIF($Y$12:Y259,"*30+*")&gt;0,COUNTIF($AC$12:AC259,"*30+*")&gt;0),"Note; Habitat selected has a time to target condition greater than 30 years. Non standard agreement may be required. ⚠","")</f>
        <v/>
      </c>
      <c r="Z2" s="1460"/>
      <c r="AA2" s="1460"/>
      <c r="AB2" s="1460"/>
      <c r="AC2" s="1460"/>
      <c r="AD2" s="1460"/>
    </row>
    <row r="3" spans="2:48" ht="18" customHeight="1" thickBot="1">
      <c r="B3" s="1607" t="str">
        <f ca="1">MID(CELL("filename",A1),FIND("]",CELL("filename",A1))+1,256)</f>
        <v>C-3 On-Site WaterC' Enhancement</v>
      </c>
      <c r="C3" s="1608"/>
      <c r="D3" s="1608"/>
      <c r="E3" s="1609"/>
      <c r="O3" s="535" t="s">
        <v>264</v>
      </c>
      <c r="P3" s="512">
        <f>'Headline Results'!H49</f>
        <v>-3.5599743759686246</v>
      </c>
      <c r="Q3" s="509"/>
      <c r="S3" s="1515"/>
      <c r="T3" s="1515"/>
      <c r="U3" s="1515"/>
      <c r="V3" s="1515"/>
      <c r="W3" s="1515"/>
      <c r="X3" s="1515"/>
      <c r="Y3" s="1460"/>
      <c r="Z3" s="1460"/>
      <c r="AA3" s="1460"/>
      <c r="AB3" s="1460"/>
      <c r="AC3" s="1460"/>
      <c r="AD3" s="1460"/>
    </row>
    <row r="4" spans="2:48" ht="21" customHeight="1" thickBot="1">
      <c r="B4" s="1607"/>
      <c r="C4" s="1608"/>
      <c r="D4" s="1608"/>
      <c r="E4" s="1609"/>
      <c r="O4" s="506" t="s">
        <v>266</v>
      </c>
      <c r="P4" s="581">
        <f>'Headline Results'!H53</f>
        <v>-0.71458886078454809</v>
      </c>
      <c r="Q4" s="509"/>
      <c r="S4" s="1515"/>
      <c r="T4" s="1515"/>
      <c r="U4" s="1515"/>
      <c r="V4" s="1515"/>
      <c r="W4" s="1515"/>
      <c r="X4" s="1515"/>
      <c r="Y4" s="1460"/>
      <c r="Z4" s="1460"/>
      <c r="AA4" s="1460"/>
      <c r="AB4" s="1460"/>
      <c r="AC4" s="1460"/>
      <c r="AD4" s="1460"/>
    </row>
    <row r="5" spans="2:48" ht="15.6" customHeight="1" thickBot="1">
      <c r="O5" s="536" t="s">
        <v>268</v>
      </c>
      <c r="P5" s="504" t="str" cm="1">
        <f t="array" ref="P5">IF(OR('Trading Summary WaterC''s'!G5:H8="No ▲"), "No - check trading summary ▲", "Yes ✓")</f>
        <v>No - check trading summary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39" t="s">
        <v>312</v>
      </c>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1"/>
      <c r="AM9" s="332"/>
    </row>
    <row r="10" spans="2:48" s="33" customFormat="1" ht="27" customHeight="1" thickBot="1">
      <c r="C10" s="1531" t="s">
        <v>333</v>
      </c>
      <c r="D10" s="1531"/>
      <c r="E10" s="1531"/>
      <c r="F10" s="1531"/>
      <c r="G10" s="1531"/>
      <c r="H10" s="1531"/>
      <c r="I10" s="1531"/>
      <c r="J10" s="1531"/>
      <c r="K10" s="1531"/>
      <c r="L10" s="1531"/>
      <c r="M10" s="1531"/>
      <c r="N10" s="1570" t="s">
        <v>421</v>
      </c>
      <c r="O10" s="1586" t="s">
        <v>335</v>
      </c>
      <c r="P10" s="1586"/>
      <c r="Q10" s="1549" t="s">
        <v>34</v>
      </c>
      <c r="R10" s="1549" t="s">
        <v>422</v>
      </c>
      <c r="S10" s="1549"/>
      <c r="T10" s="1549" t="s">
        <v>423</v>
      </c>
      <c r="U10" s="1549"/>
      <c r="V10" s="1570" t="s">
        <v>272</v>
      </c>
      <c r="W10" s="1571"/>
      <c r="X10" s="1572"/>
      <c r="Y10" s="1570" t="s">
        <v>315</v>
      </c>
      <c r="Z10" s="1571"/>
      <c r="AA10" s="1571"/>
      <c r="AB10" s="1571"/>
      <c r="AC10" s="1571"/>
      <c r="AD10" s="1572"/>
      <c r="AE10" s="1570" t="s">
        <v>316</v>
      </c>
      <c r="AF10" s="1571"/>
      <c r="AG10" s="1571"/>
      <c r="AH10" s="1572"/>
      <c r="AI10" s="1549" t="s">
        <v>407</v>
      </c>
      <c r="AJ10" s="1549"/>
      <c r="AK10" s="1570" t="s">
        <v>408</v>
      </c>
      <c r="AL10" s="1572"/>
      <c r="AM10" s="1549" t="s">
        <v>419</v>
      </c>
      <c r="AN10" s="1312" t="s">
        <v>277</v>
      </c>
      <c r="AO10" s="1310"/>
    </row>
    <row r="11" spans="2:48" ht="62.25" customHeight="1" thickBot="1">
      <c r="B11" s="719" t="s">
        <v>340</v>
      </c>
      <c r="C11" s="140" t="s">
        <v>341</v>
      </c>
      <c r="D11" s="145" t="s">
        <v>34</v>
      </c>
      <c r="E11" s="145" t="s">
        <v>343</v>
      </c>
      <c r="F11" s="145" t="s">
        <v>344</v>
      </c>
      <c r="G11" s="145" t="s">
        <v>345</v>
      </c>
      <c r="H11" s="145" t="s">
        <v>346</v>
      </c>
      <c r="I11" s="145" t="s">
        <v>347</v>
      </c>
      <c r="J11" s="145" t="s">
        <v>272</v>
      </c>
      <c r="K11" s="145" t="s">
        <v>424</v>
      </c>
      <c r="L11" s="145" t="s">
        <v>273</v>
      </c>
      <c r="M11" s="144" t="s">
        <v>425</v>
      </c>
      <c r="N11" s="1611"/>
      <c r="O11" s="126" t="s">
        <v>396</v>
      </c>
      <c r="P11" s="861" t="s">
        <v>397</v>
      </c>
      <c r="Q11" s="1585"/>
      <c r="R11" s="126" t="s">
        <v>270</v>
      </c>
      <c r="S11" s="861" t="s">
        <v>287</v>
      </c>
      <c r="T11" s="126" t="s">
        <v>271</v>
      </c>
      <c r="U11" s="861" t="s">
        <v>287</v>
      </c>
      <c r="V11" s="126" t="s">
        <v>272</v>
      </c>
      <c r="W11" s="874" t="s">
        <v>272</v>
      </c>
      <c r="X11" s="861" t="s">
        <v>318</v>
      </c>
      <c r="Y11" s="126" t="s">
        <v>393</v>
      </c>
      <c r="Z11" s="874" t="s">
        <v>378</v>
      </c>
      <c r="AA11" s="874" t="s">
        <v>355</v>
      </c>
      <c r="AB11" s="874" t="s">
        <v>322</v>
      </c>
      <c r="AC11" s="874" t="s">
        <v>323</v>
      </c>
      <c r="AD11" s="861" t="s">
        <v>398</v>
      </c>
      <c r="AE11" s="126" t="s">
        <v>399</v>
      </c>
      <c r="AF11" s="874" t="s">
        <v>1682</v>
      </c>
      <c r="AG11" s="874" t="s">
        <v>357</v>
      </c>
      <c r="AH11" s="861" t="s">
        <v>328</v>
      </c>
      <c r="AI11" s="126" t="s">
        <v>410</v>
      </c>
      <c r="AJ11" s="861" t="s">
        <v>411</v>
      </c>
      <c r="AK11" s="126" t="s">
        <v>412</v>
      </c>
      <c r="AL11" s="861" t="s">
        <v>411</v>
      </c>
      <c r="AM11" s="1585"/>
      <c r="AN11" s="126" t="s">
        <v>296</v>
      </c>
      <c r="AO11" s="861" t="s">
        <v>297</v>
      </c>
      <c r="AP11" s="48" t="s">
        <v>298</v>
      </c>
      <c r="AV11" s="210" t="s">
        <v>281</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27"/>
      <c r="AL258" s="1527"/>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7SONniOoQ1321mfv86QFoEIqtrHiochFPz0q3w9U9jKPQUfcabr39rKTS+xABrHGZ3P/33s7KQQi1H4tsPwPEw==" saltValue="ScEtz5f3CJDsqXE8mfTkF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35" priority="25" operator="containsText" text="Restore">
      <formula>NOT(ISERROR(SEARCH("Restore",L12)))</formula>
    </cfRule>
  </conditionalFormatting>
  <conditionalFormatting sqref="O12:P257">
    <cfRule type="containsText" dxfId="134" priority="23" operator="containsText" text="Check">
      <formula>NOT(ISERROR(SEARCH("Check",O12)))</formula>
    </cfRule>
    <cfRule type="containsText" dxfId="133" priority="24" operator="containsText" text="Error">
      <formula>NOT(ISERROR(SEARCH("Error",O12)))</formula>
    </cfRule>
  </conditionalFormatting>
  <conditionalFormatting sqref="W12:X257">
    <cfRule type="containsText" dxfId="132" priority="22" operator="containsText" text="Spatial">
      <formula>NOT(ISERROR(SEARCH("Spatial",W12)))</formula>
    </cfRule>
  </conditionalFormatting>
  <conditionalFormatting sqref="Y12:Y257">
    <cfRule type="containsText" dxfId="131" priority="20" operator="containsText" text="Check">
      <formula>NOT(ISERROR(SEARCH("Check",Y12)))</formula>
    </cfRule>
    <cfRule type="containsText" dxfId="130" priority="21" operator="containsText" text="Error">
      <formula>NOT(ISERROR(SEARCH("Error",Y12)))</formula>
    </cfRule>
  </conditionalFormatting>
  <conditionalFormatting sqref="AB12:AM12 AM13:AM258 AB13:AL257">
    <cfRule type="containsText" dxfId="129" priority="18" operator="containsText" text="Check">
      <formula>NOT(ISERROR(SEARCH("Check",AB12)))</formula>
    </cfRule>
    <cfRule type="beginsWith" dxfId="128" priority="19" operator="beginsWith" text="Error">
      <formula>LEFT(AB12,LEN("Error"))="Error"</formula>
    </cfRule>
  </conditionalFormatting>
  <conditionalFormatting sqref="AF12:AF257">
    <cfRule type="beginsWith" dxfId="127" priority="17" operator="beginsWith" text="No - Low Difficulty">
      <formula>LEFT(AF12,LEN("No - Low Difficulty"))="No - Low Difficulty"</formula>
    </cfRule>
  </conditionalFormatting>
  <conditionalFormatting sqref="AJ12:AL257">
    <cfRule type="containsText" dxfId="126" priority="16" operator="containsText" text="Spatial">
      <formula>NOT(ISERROR(SEARCH("Spatial",AJ12)))</formula>
    </cfRule>
  </conditionalFormatting>
  <conditionalFormatting sqref="Y2">
    <cfRule type="containsText" dxfId="125" priority="15" operator="containsText" text="Note">
      <formula>NOT(ISERROR(SEARCH("Note",Y2)))</formula>
    </cfRule>
  </conditionalFormatting>
  <conditionalFormatting sqref="P3">
    <cfRule type="containsText" dxfId="124" priority="13" operator="containsText" text="Error">
      <formula>NOT(ISERROR(SEARCH("Error",P3)))</formula>
    </cfRule>
    <cfRule type="containsText" dxfId="123" priority="14" operator="containsText" text="Check">
      <formula>NOT(ISERROR(SEARCH("Check",P3)))</formula>
    </cfRule>
  </conditionalFormatting>
  <conditionalFormatting sqref="P4">
    <cfRule type="cellIs" dxfId="122" priority="1" operator="equal">
      <formula>0</formula>
    </cfRule>
    <cfRule type="containsText" dxfId="121" priority="2" operator="containsText" text="Check">
      <formula>NOT(ISERROR(SEARCH("Check",P4)))</formula>
    </cfRule>
    <cfRule type="containsText" dxfId="120" priority="3" operator="containsText" text="Error">
      <formula>NOT(ISERROR(SEARCH("Error",P4)))</formula>
    </cfRule>
    <cfRule type="cellIs" dxfId="119" priority="4" operator="lessThan">
      <formula>0</formula>
    </cfRule>
  </conditionalFormatting>
  <conditionalFormatting sqref="S2:X4">
    <cfRule type="containsText" dxfId="118" priority="8" operator="containsText" text="Check">
      <formula>NOT(ISERROR(SEARCH("Check",S2)))</formula>
    </cfRule>
  </conditionalFormatting>
  <conditionalFormatting sqref="P5">
    <cfRule type="containsText" dxfId="117" priority="6" operator="containsText" text="No">
      <formula>NOT(ISERROR(SEARCH("No",P5)))</formula>
    </cfRule>
    <cfRule type="containsText" dxfId="116" priority="7" operator="containsText" text="Yes">
      <formula>NOT(ISERROR(SEARCH("Yes",P5)))</formula>
    </cfRule>
  </conditionalFormatting>
  <conditionalFormatting sqref="U12:U257">
    <cfRule type="containsText" dxfId="115" priority="5" operator="containsText" text="Not possible">
      <formula>NOT(ISERROR(SEARCH("Not possible",U12)))</formula>
    </cfRule>
  </conditionalFormatting>
  <dataValidations count="3">
    <dataValidation type="list" allowBlank="1" showInputMessage="1" showErrorMessage="1" sqref="T12:T257">
      <formula1>INDIRECT(AV12)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7" operator="lessThan" id="{A52B8C1E-E180-4514-9FE9-CBD52145CDDA}">
            <xm:f>Start!$F$22</xm:f>
            <x14:dxf>
              <font>
                <color rgb="FF383745"/>
              </font>
              <fill>
                <patternFill>
                  <bgColor rgb="FFFFC000"/>
                </patternFill>
              </fill>
            </x14:dxf>
          </x14:cfRule>
          <x14:cfRule type="cellIs" priority="448"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85546875" defaultRowHeight="0" customHeight="1" zeroHeight="1"/>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c r="B1" s="30"/>
      <c r="C1" s="30"/>
    </row>
    <row r="2" spans="2:52" ht="19.5" customHeight="1" thickBot="1">
      <c r="B2" s="1597" t="str">
        <f>CONCATENATE("Project Name:", " ", Start!F12, "     ", "Map Reference:", " ", Start!F66)</f>
        <v xml:space="preserve">Project Name: Barnsley West Commerical     Map Reference: </v>
      </c>
      <c r="C2" s="1600"/>
      <c r="D2" s="1600"/>
      <c r="E2" s="1598"/>
      <c r="H2" s="1592" t="s">
        <v>405</v>
      </c>
      <c r="I2" s="1604"/>
      <c r="J2" s="1604"/>
      <c r="K2" s="1604"/>
      <c r="L2" s="1604"/>
      <c r="M2" s="1593"/>
      <c r="O2" s="1612" t="str" cm="1">
        <f t="array" ref="O2">IF(OR(H10:H257 = "Fairly Good", H10:H257 = "Fairly Poor"),"A 'Fairly' Category has been used - check evidence to ensure this is appropriate ⚠", "")</f>
        <v/>
      </c>
      <c r="P2" s="1612"/>
      <c r="Q2" s="1612"/>
      <c r="R2" s="1612"/>
      <c r="S2" s="1612"/>
      <c r="T2" s="1612"/>
      <c r="U2" s="1612"/>
      <c r="V2" s="1612"/>
    </row>
    <row r="3" spans="2:52" ht="15" customHeight="1" thickBot="1">
      <c r="B3" s="1554" t="str">
        <f ca="1">MID(CELL("filename",A1),FIND("]",CELL("filename",A1))+1,256)</f>
        <v>F-1 Off-Site WaterC' Baseline</v>
      </c>
      <c r="C3" s="1555"/>
      <c r="D3" s="1555"/>
      <c r="E3" s="1556"/>
      <c r="H3" s="1502" t="s">
        <v>264</v>
      </c>
      <c r="I3" s="1503"/>
      <c r="J3" s="1503"/>
      <c r="K3" s="1498">
        <f>'Headline Results'!H49</f>
        <v>-3.5599743759686246</v>
      </c>
      <c r="L3" s="1498"/>
      <c r="M3" s="1499"/>
      <c r="O3" s="1612"/>
      <c r="P3" s="1612"/>
      <c r="Q3" s="1612"/>
      <c r="R3" s="1612"/>
      <c r="S3" s="1612"/>
      <c r="T3" s="1612"/>
      <c r="U3" s="1612"/>
      <c r="V3" s="1612"/>
    </row>
    <row r="4" spans="2:52" ht="15" customHeight="1" thickBot="1">
      <c r="B4" s="1554"/>
      <c r="C4" s="1555"/>
      <c r="D4" s="1555"/>
      <c r="E4" s="1556"/>
      <c r="H4" s="1580" t="s">
        <v>266</v>
      </c>
      <c r="I4" s="1581"/>
      <c r="J4" s="1581"/>
      <c r="K4" s="1574">
        <f>'Headline Results'!H53</f>
        <v>-0.71458886078454809</v>
      </c>
      <c r="L4" s="1574"/>
      <c r="M4" s="1575"/>
      <c r="O4" s="1612"/>
      <c r="P4" s="1612"/>
      <c r="Q4" s="1612"/>
      <c r="R4" s="1612"/>
      <c r="S4" s="1612"/>
      <c r="T4" s="1612"/>
      <c r="U4" s="1612"/>
      <c r="V4" s="1612"/>
      <c r="W4" s="1605" t="str">
        <f>IF(SUM(AK10:AK257)&gt;0,"Check Lengths ⚠","")</f>
        <v/>
      </c>
      <c r="X4" s="1605"/>
      <c r="Y4" s="1605"/>
      <c r="Z4" s="1605"/>
      <c r="AA4" s="1605"/>
      <c r="AB4" s="1605"/>
      <c r="AC4" s="669"/>
    </row>
    <row r="5" spans="2:52" ht="27" customHeight="1" thickBot="1">
      <c r="B5" s="30"/>
      <c r="C5" s="30"/>
      <c r="H5" s="1579" t="s">
        <v>268</v>
      </c>
      <c r="I5" s="1576"/>
      <c r="J5" s="1576"/>
      <c r="K5" s="1576" t="str" cm="1">
        <f t="array" ref="K5">IF(OR('Trading Summary WaterC''s'!G5:H8="No ▲"), "No - check trading summary ▲", "Yes ✓")</f>
        <v>No - check trading summary ▲</v>
      </c>
      <c r="L5" s="1576"/>
      <c r="M5" s="1577"/>
      <c r="V5" s="329"/>
      <c r="W5" s="1605"/>
      <c r="X5" s="1605"/>
      <c r="Y5" s="1605"/>
      <c r="Z5" s="1605"/>
      <c r="AA5" s="1605"/>
      <c r="AB5" s="1605"/>
      <c r="AC5" s="669"/>
    </row>
    <row r="6" spans="2:52" ht="40.15" customHeight="1">
      <c r="B6" s="30"/>
      <c r="C6" s="30"/>
      <c r="D6" s="101"/>
    </row>
    <row r="7" spans="2:52" ht="15.75" thickBot="1"/>
    <row r="8" spans="2:52" ht="30.75" customHeight="1" thickBot="1">
      <c r="C8" s="1533" t="s">
        <v>406</v>
      </c>
      <c r="D8" s="1533"/>
      <c r="E8" s="1533"/>
      <c r="F8" s="1549" t="s">
        <v>270</v>
      </c>
      <c r="G8" s="1549"/>
      <c r="H8" s="1549" t="s">
        <v>358</v>
      </c>
      <c r="I8" s="1549"/>
      <c r="J8" s="1533" t="s">
        <v>272</v>
      </c>
      <c r="K8" s="1533"/>
      <c r="L8" s="1533"/>
      <c r="M8" s="1549" t="s">
        <v>407</v>
      </c>
      <c r="N8" s="1549"/>
      <c r="O8" s="1549" t="s">
        <v>408</v>
      </c>
      <c r="P8" s="1549"/>
      <c r="Q8" s="1531" t="s">
        <v>273</v>
      </c>
      <c r="R8" s="134" t="s">
        <v>274</v>
      </c>
      <c r="S8" s="1532" t="s">
        <v>359</v>
      </c>
      <c r="T8" s="1533"/>
      <c r="U8" s="134" t="s">
        <v>274</v>
      </c>
      <c r="V8" s="103"/>
      <c r="W8" s="1533" t="s">
        <v>275</v>
      </c>
      <c r="X8" s="1533"/>
      <c r="Y8" s="1533"/>
      <c r="Z8" s="1533"/>
      <c r="AA8" s="1533"/>
      <c r="AB8" s="1533"/>
      <c r="AC8" s="1534" t="s">
        <v>276</v>
      </c>
      <c r="AD8" s="1533" t="s">
        <v>277</v>
      </c>
      <c r="AE8" s="1533"/>
      <c r="AH8" s="37" t="s">
        <v>267</v>
      </c>
      <c r="AI8" s="37" t="s">
        <v>267</v>
      </c>
    </row>
    <row r="9" spans="2:52" ht="62.1" customHeight="1" thickBot="1">
      <c r="C9" s="132" t="s">
        <v>340</v>
      </c>
      <c r="D9" s="811" t="s">
        <v>193</v>
      </c>
      <c r="E9" s="752" t="s">
        <v>34</v>
      </c>
      <c r="F9" s="132" t="s">
        <v>270</v>
      </c>
      <c r="G9" s="752" t="s">
        <v>287</v>
      </c>
      <c r="H9" s="132" t="s">
        <v>271</v>
      </c>
      <c r="I9" s="752" t="s">
        <v>287</v>
      </c>
      <c r="J9" s="132" t="s">
        <v>272</v>
      </c>
      <c r="K9" s="811" t="s">
        <v>272</v>
      </c>
      <c r="L9" s="752" t="s">
        <v>318</v>
      </c>
      <c r="M9" s="132" t="s">
        <v>410</v>
      </c>
      <c r="N9" s="752" t="s">
        <v>411</v>
      </c>
      <c r="O9" s="132" t="s">
        <v>412</v>
      </c>
      <c r="P9" s="752" t="s">
        <v>411</v>
      </c>
      <c r="Q9" s="1531"/>
      <c r="R9" s="750" t="s">
        <v>426</v>
      </c>
      <c r="S9" s="839" t="s">
        <v>362</v>
      </c>
      <c r="T9" s="866" t="s">
        <v>359</v>
      </c>
      <c r="U9" s="750" t="s">
        <v>413</v>
      </c>
      <c r="V9" s="107"/>
      <c r="W9" s="132" t="s">
        <v>385</v>
      </c>
      <c r="X9" s="811" t="s">
        <v>386</v>
      </c>
      <c r="Y9" s="811" t="s">
        <v>387</v>
      </c>
      <c r="Z9" s="811" t="s">
        <v>388</v>
      </c>
      <c r="AA9" s="811" t="s">
        <v>389</v>
      </c>
      <c r="AB9" s="752" t="s">
        <v>295</v>
      </c>
      <c r="AC9" s="1567"/>
      <c r="AD9" s="132" t="s">
        <v>296</v>
      </c>
      <c r="AE9" s="752" t="s">
        <v>297</v>
      </c>
      <c r="AF9" s="43" t="s">
        <v>298</v>
      </c>
      <c r="AG9" s="43" t="s">
        <v>364</v>
      </c>
      <c r="AH9" s="50" t="s">
        <v>299</v>
      </c>
      <c r="AI9" s="50" t="s">
        <v>300</v>
      </c>
      <c r="AJ9" s="101" t="s">
        <v>281</v>
      </c>
      <c r="AK9" s="33" t="s">
        <v>427</v>
      </c>
      <c r="AL9" s="108" t="s">
        <v>301</v>
      </c>
      <c r="AM9" s="108" t="s">
        <v>302</v>
      </c>
      <c r="AN9" s="109"/>
      <c r="AO9" s="108" t="s">
        <v>304</v>
      </c>
      <c r="AP9" s="109"/>
      <c r="AQ9" s="108" t="s">
        <v>301</v>
      </c>
      <c r="AR9" s="108" t="s">
        <v>302</v>
      </c>
      <c r="AZ9" s="811" t="s">
        <v>387</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27"/>
      <c r="Q258" s="1527"/>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xXjXd2AsPdSKH6dTVr+3BUJfxOcqt9Xen7F15wUblpB6puMUb3sYMtZhmREKa8uSEsaXJRWwBUhC8cYbwdbVVA==" saltValue="U+G+lx19u9bpxj81vfsD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Q10:Q257">
    <cfRule type="containsText" dxfId="112" priority="31" operator="containsText" text="Bespoke">
      <formula>NOT(ISERROR(SEARCH("Bespoke",Q10)))</formula>
    </cfRule>
    <cfRule type="containsText" dxfId="111" priority="79" operator="containsText" text="Restore">
      <formula>NOT(ISERROR(SEARCH("Restore",Q10)))</formula>
    </cfRule>
  </conditionalFormatting>
  <conditionalFormatting sqref="K10:Q257">
    <cfRule type="containsText" dxfId="110" priority="80" operator="containsText" text="Spatial">
      <formula>NOT(ISERROR(SEARCH("Spatial",K10)))</formula>
    </cfRule>
  </conditionalFormatting>
  <conditionalFormatting sqref="AA10:AA257">
    <cfRule type="containsText" dxfId="109" priority="76" operator="containsText" text="Error">
      <formula>NOT(ISERROR(SEARCH("Error",AA10)))</formula>
    </cfRule>
  </conditionalFormatting>
  <conditionalFormatting sqref="AB10:AC258">
    <cfRule type="containsText" dxfId="108" priority="74" operator="containsText" text="Check">
      <formula>NOT(ISERROR(SEARCH("Check",AB10)))</formula>
    </cfRule>
    <cfRule type="containsText" dxfId="107" priority="75" operator="containsText" text="Error">
      <formula>NOT(ISERROR(SEARCH("Error",AB10)))</formula>
    </cfRule>
  </conditionalFormatting>
  <conditionalFormatting sqref="V5 W4">
    <cfRule type="containsText" dxfId="106" priority="73" operator="containsText" text="Check">
      <formula>NOT(ISERROR(SEARCH("Check",V4)))</formula>
    </cfRule>
  </conditionalFormatting>
  <conditionalFormatting sqref="K3">
    <cfRule type="containsText" dxfId="105" priority="71" operator="containsText" text="Error">
      <formula>NOT(ISERROR(SEARCH("Error",K3)))</formula>
    </cfRule>
    <cfRule type="containsText" dxfId="104" priority="72" operator="containsText" text="Check">
      <formula>NOT(ISERROR(SEARCH("Check",K3)))</formula>
    </cfRule>
  </conditionalFormatting>
  <conditionalFormatting sqref="K4">
    <cfRule type="containsText" dxfId="103" priority="37" operator="containsText" text="Error">
      <formula>NOT(ISERROR(SEARCH("Error",K4)))</formula>
    </cfRule>
    <cfRule type="containsText" dxfId="102" priority="38" operator="containsText" text="Check">
      <formula>NOT(ISERROR(SEARCH("Check",K4)))</formula>
    </cfRule>
  </conditionalFormatting>
  <conditionalFormatting sqref="O2:V4">
    <cfRule type="containsText" dxfId="101" priority="66" operator="containsText" text="Check">
      <formula>NOT(ISERROR(SEARCH("Check",O2)))</formula>
    </cfRule>
  </conditionalFormatting>
  <conditionalFormatting sqref="K5">
    <cfRule type="containsText" dxfId="100" priority="64" operator="containsText" text="No">
      <formula>NOT(ISERROR(SEARCH("No",K5)))</formula>
    </cfRule>
    <cfRule type="containsText" dxfId="99" priority="65" operator="containsText" text="Yes">
      <formula>NOT(ISERROR(SEARCH("Yes",K5)))</formula>
    </cfRule>
  </conditionalFormatting>
  <conditionalFormatting sqref="S10:S257">
    <cfRule type="containsText" dxfId="98" priority="62" operator="containsText" text="Existing Value Not Required">
      <formula>NOT(ISERROR(SEARCH("Existing Value Not Required",S10)))</formula>
    </cfRule>
    <cfRule type="containsText" dxfId="97" priority="63" operator="containsText" text="Existing Value Required">
      <formula>NOT(ISERROR(SEARCH("Existing Value Required",S10)))</formula>
    </cfRule>
  </conditionalFormatting>
  <conditionalFormatting sqref="S10:T257">
    <cfRule type="containsText" dxfId="96" priority="58" operator="containsText" text="Check">
      <formula>NOT(ISERROR(SEARCH("Check",S10)))</formula>
    </cfRule>
    <cfRule type="containsText" dxfId="95" priority="59" operator="containsText" text="Error">
      <formula>NOT(ISERROR(SEARCH("Error",S10)))</formula>
    </cfRule>
  </conditionalFormatting>
  <conditionalFormatting sqref="T10:T257">
    <cfRule type="containsText" dxfId="94" priority="57" operator="containsText" text="Spatial">
      <formula>NOT(ISERROR(SEARCH("Spatial",T10)))</formula>
    </cfRule>
  </conditionalFormatting>
  <conditionalFormatting sqref="I10:I257">
    <cfRule type="containsText" dxfId="93" priority="42" operator="containsText" text="Not possible">
      <formula>NOT(ISERROR(SEARCH("Not possible",I10)))</formula>
    </cfRule>
  </conditionalFormatting>
  <conditionalFormatting sqref="Y258:Z258">
    <cfRule type="containsText" dxfId="92" priority="41" operator="containsText" text="Error">
      <formula>NOT(ISERROR(SEARCH("Error",Y258)))</formula>
    </cfRule>
  </conditionalFormatting>
  <conditionalFormatting sqref="Y10:Y257">
    <cfRule type="containsText" dxfId="91" priority="40" operator="containsText" text="Error">
      <formula>NOT(ISERROR(SEARCH("Error",Y10)))</formula>
    </cfRule>
  </conditionalFormatting>
  <conditionalFormatting sqref="K4:M4">
    <cfRule type="cellIs" dxfId="90" priority="36" operator="equal">
      <formula>0</formula>
    </cfRule>
    <cfRule type="cellIs" dxfId="89" priority="39" operator="lessThan">
      <formula>0</formula>
    </cfRule>
  </conditionalFormatting>
  <conditionalFormatting sqref="AC1:AC1048576">
    <cfRule type="containsText" dxfId="88" priority="34" operator="containsText" text="Yes">
      <formula>NOT(ISERROR(SEARCH("Yes",AC1)))</formula>
    </cfRule>
    <cfRule type="containsText" dxfId="87" priority="35" operator="containsText" text="No">
      <formula>NOT(ISERROR(SEARCH("No",AC1)))</formula>
    </cfRule>
  </conditionalFormatting>
  <conditionalFormatting sqref="AB1:AB1048576">
    <cfRule type="containsText" dxfId="86" priority="32" operator="containsText" text="✓">
      <formula>NOT(ISERROR(SEARCH("✓",AB1)))</formula>
    </cfRule>
    <cfRule type="containsText" dxfId="85" priority="33" operator="containsText" text="▲">
      <formula>NOT(ISERROR(SEARCH("▲",AB1)))</formula>
    </cfRule>
  </conditionalFormatting>
  <conditionalFormatting sqref="U10:U257">
    <cfRule type="containsText" dxfId="84" priority="30" operator="containsText" text="⚠">
      <formula>NOT(ISERROR(SEARCH("⚠",U10)))</formula>
    </cfRule>
  </conditionalFormatting>
  <conditionalFormatting sqref="AA10:AA257">
    <cfRule type="containsText" dxfId="83" priority="29" operator="containsText" text="⚠">
      <formula>NOT(ISERROR(SEARCH("⚠",AA10)))</formula>
    </cfRule>
  </conditionalFormatting>
  <conditionalFormatting sqref="W258:AB258">
    <cfRule type="containsText" dxfId="82" priority="26" operator="containsText" text="▲">
      <formula>NOT(ISERROR(SEARCH("▲",W258)))</formula>
    </cfRule>
  </conditionalFormatting>
  <conditionalFormatting sqref="AA258">
    <cfRule type="containsText" dxfId="81" priority="27" operator="containsText" text="▲">
      <formula>NOT(ISERROR(SEARCH("▲",AA258)))</formula>
    </cfRule>
  </conditionalFormatting>
  <conditionalFormatting sqref="U258">
    <cfRule type="containsText" dxfId="80" priority="25" operator="containsText" text="▲">
      <formula>NOT(ISERROR(SEARCH("▲",U258)))</formula>
    </cfRule>
  </conditionalFormatting>
  <conditionalFormatting sqref="E258">
    <cfRule type="containsText" dxfId="79" priority="24" operator="containsText" text="▲">
      <formula>NOT(ISERROR(SEARCH("▲",E258)))</formula>
    </cfRule>
  </conditionalFormatting>
  <conditionalFormatting sqref="AH10:AH257">
    <cfRule type="cellIs" dxfId="78" priority="20" operator="equal">
      <formula>""</formula>
    </cfRule>
    <cfRule type="cellIs" dxfId="77" priority="21" operator="equal">
      <formula>"None"</formula>
    </cfRule>
    <cfRule type="cellIs" dxfId="76" priority="23" operator="greaterThan">
      <formula>0</formula>
    </cfRule>
  </conditionalFormatting>
  <conditionalFormatting sqref="AI11">
    <cfRule type="cellIs" dxfId="75" priority="18" operator="equal">
      <formula>"None"</formula>
    </cfRule>
    <cfRule type="cellIs" dxfId="74" priority="19" operator="equal">
      <formula>""</formula>
    </cfRule>
    <cfRule type="cellIs" dxfId="73" priority="22" operator="greaterThan">
      <formula>0</formula>
    </cfRule>
  </conditionalFormatting>
  <conditionalFormatting sqref="AH10:AH257">
    <cfRule type="cellIs" dxfId="72" priority="14" operator="equal">
      <formula>""</formula>
    </cfRule>
    <cfRule type="cellIs" dxfId="71" priority="15" operator="equal">
      <formula>"None"</formula>
    </cfRule>
    <cfRule type="cellIs" dxfId="70" priority="17" operator="greaterThan">
      <formula>0</formula>
    </cfRule>
  </conditionalFormatting>
  <conditionalFormatting sqref="AI10:AI257">
    <cfRule type="cellIs" dxfId="69" priority="12" operator="equal">
      <formula>"None"</formula>
    </cfRule>
    <cfRule type="cellIs" dxfId="68" priority="13" operator="equal">
      <formula>""</formula>
    </cfRule>
    <cfRule type="cellIs" dxfId="67" priority="16" operator="greaterThan">
      <formula>0</formula>
    </cfRule>
  </conditionalFormatting>
  <conditionalFormatting sqref="AH10:AH257">
    <cfRule type="cellIs" dxfId="66" priority="8" operator="equal">
      <formula>""</formula>
    </cfRule>
    <cfRule type="cellIs" dxfId="65" priority="9" operator="equal">
      <formula>"None"</formula>
    </cfRule>
    <cfRule type="cellIs" dxfId="64" priority="11" operator="greaterThan">
      <formula>0</formula>
    </cfRule>
  </conditionalFormatting>
  <conditionalFormatting sqref="AI12:AI257">
    <cfRule type="cellIs" dxfId="63" priority="6" operator="equal">
      <formula>"None"</formula>
    </cfRule>
    <cfRule type="cellIs" dxfId="62" priority="7" operator="equal">
      <formula>""</formula>
    </cfRule>
    <cfRule type="cellIs" dxfId="61" priority="10" operator="greaterThan">
      <formula>0</formula>
    </cfRule>
  </conditionalFormatting>
  <conditionalFormatting sqref="AH10:AH257">
    <cfRule type="cellIs" dxfId="60" priority="5" operator="equal">
      <formula>0</formula>
    </cfRule>
  </conditionalFormatting>
  <conditionalFormatting sqref="AZ258">
    <cfRule type="containsText" dxfId="59" priority="4" operator="containsText" text="Error">
      <formula>NOT(ISERROR(SEARCH("Error",AZ258)))</formula>
    </cfRule>
  </conditionalFormatting>
  <conditionalFormatting sqref="AZ10:AZ257">
    <cfRule type="containsText" dxfId="58" priority="3" operator="containsText" text="Error">
      <formula>NOT(ISERROR(SEARCH("Error",AZ10)))</formula>
    </cfRule>
  </conditionalFormatting>
  <conditionalFormatting sqref="AZ258">
    <cfRule type="containsText" dxfId="57" priority="1" operator="containsText" text="▲">
      <formula>NOT(ISERROR(SEARCH("▲",AZ258)))</formula>
    </cfRule>
  </conditionalFormatting>
  <dataValidations count="4">
    <dataValidation type="list" allowBlank="1" showInputMessage="1" showErrorMessage="1" sqref="H10:H257">
      <formula1>INDIRECT(AJ10)</formula1>
    </dataValidation>
    <dataValidation type="list" allowBlank="1" showInputMessage="1" showErrorMessage="1" sqref="M10:M257">
      <formula1>IF(D10="Culvert",riparianencroachment2,riparianencroachment1)</formula1>
    </dataValidation>
    <dataValidation type="list" allowBlank="1" showInputMessage="1" showErrorMessage="1" sqref="AC10:AC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0" operator="lessThan" id="{B0CC3A41-3BA3-464F-80F6-EA546015E284}">
            <xm:f>Start!$F$22</xm:f>
            <x14:dxf>
              <font>
                <color rgb="FF383745"/>
              </font>
              <fill>
                <patternFill>
                  <bgColor rgb="FFFFC000"/>
                </patternFill>
              </fill>
            </x14:dxf>
          </x14:cfRule>
          <x14:cfRule type="cellIs" priority="481"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8"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2"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 type="list" allowBlank="1" showInputMessage="1" showErrorMessage="1">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hidden="1"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75" thickBot="1"/>
    <row r="2" spans="2:38" ht="18.600000000000001" customHeight="1" thickBot="1">
      <c r="B2" s="1597" t="str">
        <f>CONCATENATE("Project Name:", " ", Start!F12, "     ", "Map Reference:", " ", Start!K66)</f>
        <v xml:space="preserve">Project Name: Barnsley West Commerical     Map Reference: </v>
      </c>
      <c r="C2" s="1600"/>
      <c r="D2" s="1598"/>
      <c r="F2" s="1592" t="s">
        <v>405</v>
      </c>
      <c r="G2" s="1604"/>
      <c r="H2" s="1604"/>
      <c r="I2" s="1604"/>
      <c r="J2" s="1604"/>
      <c r="K2" s="1604"/>
      <c r="L2" s="1604"/>
      <c r="M2" s="1604"/>
      <c r="N2" s="1604"/>
      <c r="O2" s="1593"/>
      <c r="P2" s="1460" t="str">
        <f>IF(OR(COUNTIF(L$12:$L259,"*30+*")&gt;0,COUNTIF(P$12:$P259,"*30+*")&gt;0),"Note; Habitat selected has a time to target condition greater than 30 years. Non standard agreement may be required.","")</f>
        <v/>
      </c>
      <c r="Q2" s="1460"/>
      <c r="R2" s="1460"/>
      <c r="S2" s="1460"/>
      <c r="T2" s="1460"/>
      <c r="U2" s="1460"/>
      <c r="V2" s="1610" t="str" cm="1">
        <f t="array" ref="V2">IF(OR(G12:G259 = "Fairly Good", G12:G259 = "Fairly Poor"),"A 'Fairly' Category has been used - check evidence to ensure this is appropriate ⚠", "")</f>
        <v/>
      </c>
      <c r="W2" s="1610"/>
      <c r="X2" s="1610"/>
      <c r="Y2" s="1610"/>
      <c r="Z2" s="1610"/>
      <c r="AA2" s="1610"/>
      <c r="AB2" s="1610"/>
      <c r="AC2" s="550"/>
    </row>
    <row r="3" spans="2:38" ht="15.6" customHeight="1" thickBot="1">
      <c r="B3" s="1554" t="str">
        <f ca="1">MID(CELL("filename",A1),FIND("]",CELL("filename",A1))+1,256)</f>
        <v>F-2 Off-Site WaterC' Creation</v>
      </c>
      <c r="C3" s="1555"/>
      <c r="D3" s="1556"/>
      <c r="F3" s="1502" t="s">
        <v>264</v>
      </c>
      <c r="G3" s="1503"/>
      <c r="H3" s="1503"/>
      <c r="I3" s="1503"/>
      <c r="J3" s="1503"/>
      <c r="K3" s="1503"/>
      <c r="L3" s="1498">
        <f>'Headline Results'!H49</f>
        <v>-3.5599743759686246</v>
      </c>
      <c r="M3" s="1498"/>
      <c r="N3" s="1498"/>
      <c r="O3" s="1499"/>
      <c r="P3" s="1460"/>
      <c r="Q3" s="1460"/>
      <c r="R3" s="1460"/>
      <c r="S3" s="1460"/>
      <c r="T3" s="1460"/>
      <c r="U3" s="1460"/>
      <c r="V3" s="1610"/>
      <c r="W3" s="1610"/>
      <c r="X3" s="1610"/>
      <c r="Y3" s="1610"/>
      <c r="Z3" s="1610"/>
      <c r="AA3" s="1610"/>
      <c r="AB3" s="1610"/>
      <c r="AC3" s="550"/>
    </row>
    <row r="4" spans="2:38" ht="16.5" customHeight="1" thickBot="1">
      <c r="B4" s="1554"/>
      <c r="C4" s="1555"/>
      <c r="D4" s="1556"/>
      <c r="F4" s="1580" t="s">
        <v>266</v>
      </c>
      <c r="G4" s="1581"/>
      <c r="H4" s="1581"/>
      <c r="I4" s="1581"/>
      <c r="J4" s="1581"/>
      <c r="K4" s="1581"/>
      <c r="L4" s="1574">
        <f>'Headline Results'!H53</f>
        <v>-0.71458886078454809</v>
      </c>
      <c r="M4" s="1574"/>
      <c r="N4" s="1574"/>
      <c r="O4" s="1575"/>
      <c r="P4" s="1460"/>
      <c r="Q4" s="1460"/>
      <c r="R4" s="1460"/>
      <c r="S4" s="1460"/>
      <c r="T4" s="1460"/>
      <c r="U4" s="1460"/>
      <c r="V4" s="1610"/>
      <c r="W4" s="1610"/>
      <c r="X4" s="1610"/>
      <c r="Y4" s="1610"/>
      <c r="Z4" s="1610"/>
      <c r="AA4" s="1610"/>
      <c r="AB4" s="1610"/>
      <c r="AC4" s="550"/>
    </row>
    <row r="5" spans="2:38" ht="26.45" customHeight="1" thickBot="1">
      <c r="F5" s="1579" t="s">
        <v>268</v>
      </c>
      <c r="G5" s="1576"/>
      <c r="H5" s="1576"/>
      <c r="I5" s="1576"/>
      <c r="J5" s="1576"/>
      <c r="K5" s="1576"/>
      <c r="L5" s="1576" t="str" cm="1">
        <f t="array" ref="L5">IF(OR('Trading Summary WaterC''s'!G5:H8="No ▲"), "No - check trading summary ▲", "Yes ✓")</f>
        <v>No - check trading summary ▲</v>
      </c>
      <c r="M5" s="1576"/>
      <c r="N5" s="1576"/>
      <c r="O5" s="1577"/>
      <c r="P5" s="1460"/>
      <c r="Q5" s="1460"/>
      <c r="R5" s="1460"/>
      <c r="S5" s="1460"/>
      <c r="T5" s="1460"/>
      <c r="U5" s="1460"/>
      <c r="V5" s="1610"/>
      <c r="W5" s="1610"/>
      <c r="X5" s="1610"/>
      <c r="Y5" s="1610"/>
      <c r="Z5" s="1610"/>
      <c r="AA5" s="1610"/>
      <c r="AB5" s="1610"/>
      <c r="AC5" s="550"/>
    </row>
    <row r="6" spans="2:38" ht="23.25" customHeight="1">
      <c r="D6" s="101"/>
      <c r="L6" s="312"/>
      <c r="M6" s="312"/>
      <c r="N6" s="312"/>
      <c r="O6" s="312"/>
      <c r="P6" s="1460"/>
      <c r="Q6" s="1460"/>
      <c r="R6" s="1460"/>
      <c r="S6" s="1460"/>
      <c r="T6" s="1460"/>
      <c r="U6" s="1460"/>
    </row>
    <row r="7" spans="2:38" ht="15"/>
    <row r="8" spans="2:38" ht="15"/>
    <row r="9" spans="2:38" ht="15.75" customHeight="1" thickBot="1"/>
    <row r="10" spans="2:38" s="33" customFormat="1" ht="29.25" customHeight="1" thickBot="1">
      <c r="B10" s="200"/>
      <c r="C10" s="1570" t="s">
        <v>390</v>
      </c>
      <c r="D10" s="1572"/>
      <c r="E10" s="1570" t="s">
        <v>270</v>
      </c>
      <c r="F10" s="1572"/>
      <c r="G10" s="1570" t="s">
        <v>271</v>
      </c>
      <c r="H10" s="1572"/>
      <c r="I10" s="1549" t="s">
        <v>272</v>
      </c>
      <c r="J10" s="1549"/>
      <c r="K10" s="1549"/>
      <c r="L10" s="1549" t="s">
        <v>315</v>
      </c>
      <c r="M10" s="1549"/>
      <c r="N10" s="1549"/>
      <c r="O10" s="1549"/>
      <c r="P10" s="1549"/>
      <c r="Q10" s="1549"/>
      <c r="R10" s="1570" t="s">
        <v>316</v>
      </c>
      <c r="S10" s="1571"/>
      <c r="T10" s="1571"/>
      <c r="U10" s="1572"/>
      <c r="V10" s="1549" t="s">
        <v>407</v>
      </c>
      <c r="W10" s="1549"/>
      <c r="X10" s="1549" t="s">
        <v>408</v>
      </c>
      <c r="Y10" s="1549"/>
      <c r="Z10" s="1549" t="s">
        <v>359</v>
      </c>
      <c r="AA10" s="1549"/>
      <c r="AB10" s="1531" t="s">
        <v>428</v>
      </c>
      <c r="AC10" s="1531" t="s">
        <v>419</v>
      </c>
      <c r="AD10" s="1312" t="s">
        <v>277</v>
      </c>
      <c r="AE10" s="1310"/>
    </row>
    <row r="11" spans="2:38" s="33" customFormat="1" ht="62.45" customHeight="1" thickBot="1">
      <c r="B11" s="719" t="s">
        <v>340</v>
      </c>
      <c r="C11" s="132" t="s">
        <v>193</v>
      </c>
      <c r="D11" s="752" t="s">
        <v>429</v>
      </c>
      <c r="E11" s="132" t="s">
        <v>270</v>
      </c>
      <c r="F11" s="752" t="s">
        <v>287</v>
      </c>
      <c r="G11" s="132" t="s">
        <v>271</v>
      </c>
      <c r="H11" s="752" t="s">
        <v>287</v>
      </c>
      <c r="I11" s="132" t="s">
        <v>272</v>
      </c>
      <c r="J11" s="811" t="s">
        <v>272</v>
      </c>
      <c r="K11" s="752" t="s">
        <v>318</v>
      </c>
      <c r="L11" s="132" t="s">
        <v>393</v>
      </c>
      <c r="M11" s="811" t="s">
        <v>320</v>
      </c>
      <c r="N11" s="811" t="s">
        <v>321</v>
      </c>
      <c r="O11" s="811" t="s">
        <v>322</v>
      </c>
      <c r="P11" s="811" t="s">
        <v>430</v>
      </c>
      <c r="Q11" s="752" t="s">
        <v>431</v>
      </c>
      <c r="R11" s="132" t="s">
        <v>325</v>
      </c>
      <c r="S11" s="811" t="s">
        <v>326</v>
      </c>
      <c r="T11" s="811" t="s">
        <v>327</v>
      </c>
      <c r="U11" s="752" t="s">
        <v>328</v>
      </c>
      <c r="V11" s="132" t="s">
        <v>410</v>
      </c>
      <c r="W11" s="752" t="s">
        <v>411</v>
      </c>
      <c r="X11" s="132" t="s">
        <v>412</v>
      </c>
      <c r="Y11" s="752" t="s">
        <v>411</v>
      </c>
      <c r="Z11" s="132" t="s">
        <v>362</v>
      </c>
      <c r="AA11" s="752" t="s">
        <v>411</v>
      </c>
      <c r="AB11" s="1531"/>
      <c r="AC11" s="1531"/>
      <c r="AD11" s="126" t="s">
        <v>296</v>
      </c>
      <c r="AE11" s="861" t="s">
        <v>297</v>
      </c>
      <c r="AF11" s="682" t="s">
        <v>298</v>
      </c>
      <c r="AG11" s="682" t="s">
        <v>364</v>
      </c>
      <c r="AL11" s="210" t="s">
        <v>281</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3"/>
      <c r="AA260" s="1614"/>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YopD/3JJPIce0PWVlfUNFwMDnjVEpmDgn17Vjk9Wn6VaxEn1dFOtGGuawkVCnx9f1ZF+4+jqAIILdZVNImg+cQ==" saltValue="esX4IOuO4OOYzlve07dpa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52" priority="22" operator="beginsWith" text="Not Possible">
      <formula>LEFT(H12,LEN("Not Possible"))="Not Possible"</formula>
    </cfRule>
  </conditionalFormatting>
  <conditionalFormatting sqref="J12:K259">
    <cfRule type="containsText" dxfId="51" priority="21" operator="containsText" text="Spatial">
      <formula>NOT(ISERROR(SEARCH("Spatial",J12)))</formula>
    </cfRule>
  </conditionalFormatting>
  <conditionalFormatting sqref="O12:AB259">
    <cfRule type="containsText" dxfId="50" priority="19" operator="containsText" text="Check">
      <formula>NOT(ISERROR(SEARCH("Check",O12)))</formula>
    </cfRule>
    <cfRule type="containsText" dxfId="49" priority="20" operator="containsText" text="Error">
      <formula>NOT(ISERROR(SEARCH("Error",O12)))</formula>
    </cfRule>
  </conditionalFormatting>
  <conditionalFormatting sqref="L12:Q259">
    <cfRule type="containsText" dxfId="48" priority="18" operator="containsText" text="30+">
      <formula>NOT(ISERROR(SEARCH("30+",L12)))</formula>
    </cfRule>
  </conditionalFormatting>
  <conditionalFormatting sqref="L6:O6 P2">
    <cfRule type="containsText" dxfId="47" priority="17" operator="containsText" text="Note">
      <formula>NOT(ISERROR(SEARCH("Note",L2)))</formula>
    </cfRule>
  </conditionalFormatting>
  <conditionalFormatting sqref="W12:Y259">
    <cfRule type="containsText" dxfId="46" priority="16" operator="containsText" text="Spatial">
      <formula>NOT(ISERROR(SEARCH("Spatial",W12)))</formula>
    </cfRule>
  </conditionalFormatting>
  <conditionalFormatting sqref="L3">
    <cfRule type="containsText" dxfId="45" priority="14" operator="containsText" text="Error">
      <formula>NOT(ISERROR(SEARCH("Error",L3)))</formula>
    </cfRule>
    <cfRule type="containsText" dxfId="44" priority="15" operator="containsText" text="Check">
      <formula>NOT(ISERROR(SEARCH("Check",L3)))</formula>
    </cfRule>
  </conditionalFormatting>
  <conditionalFormatting sqref="L4">
    <cfRule type="containsText" dxfId="43" priority="2" operator="containsText" text="Error">
      <formula>NOT(ISERROR(SEARCH("Error",L4)))</formula>
    </cfRule>
    <cfRule type="containsText" dxfId="42" priority="3" operator="containsText" text="Check">
      <formula>NOT(ISERROR(SEARCH("Check",L4)))</formula>
    </cfRule>
  </conditionalFormatting>
  <conditionalFormatting sqref="V2:AC5">
    <cfRule type="containsText" dxfId="41" priority="9" operator="containsText" text="Check">
      <formula>NOT(ISERROR(SEARCH("Check",V2)))</formula>
    </cfRule>
  </conditionalFormatting>
  <conditionalFormatting sqref="L5">
    <cfRule type="containsText" dxfId="40" priority="7" operator="containsText" text="No">
      <formula>NOT(ISERROR(SEARCH("No",L5)))</formula>
    </cfRule>
    <cfRule type="containsText" dxfId="39" priority="8" operator="containsText" text="Yes">
      <formula>NOT(ISERROR(SEARCH("Yes",L5)))</formula>
    </cfRule>
  </conditionalFormatting>
  <conditionalFormatting sqref="AC12:AC259">
    <cfRule type="containsText" dxfId="38" priority="5" operator="containsText" text="Check">
      <formula>NOT(ISERROR(SEARCH("Check",AC12)))</formula>
    </cfRule>
    <cfRule type="containsText" dxfId="37" priority="6" operator="containsText" text="Error">
      <formula>NOT(ISERROR(SEARCH("Error",AC12)))</formula>
    </cfRule>
  </conditionalFormatting>
  <conditionalFormatting sqref="L4:O4">
    <cfRule type="cellIs" dxfId="36" priority="1" operator="equal">
      <formula>0</formula>
    </cfRule>
    <cfRule type="cellIs" dxfId="35" priority="4" operator="lessThan">
      <formula>0</formula>
    </cfRule>
  </conditionalFormatting>
  <dataValidations count="3">
    <dataValidation type="list" allowBlank="1" showInputMessage="1" showErrorMessage="1" sqref="G12:G259">
      <formula1>INDIRECT(AL12)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1" operator="lessThan" id="{ACB35EB0-74C0-41D6-8DE8-9B58D5CE6B24}">
            <xm:f>Start!$F$22</xm:f>
            <x14:dxf>
              <font>
                <color rgb="FF383745"/>
              </font>
              <fill>
                <patternFill>
                  <bgColor rgb="FFFFC000"/>
                </patternFill>
              </fill>
            </x14:dxf>
          </x14:cfRule>
          <x14:cfRule type="cellIs" priority="452"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 type="list" allowBlank="1" showInputMessage="1" showErrorMessage="1">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249977111117893"/>
  </sheetPr>
  <dimension ref="A1:Z564"/>
  <sheetViews>
    <sheetView showRowColHeaders="0" zoomScale="80" zoomScaleNormal="8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0"/>
      <c r="H10" s="980"/>
      <c r="I10" s="980"/>
      <c r="J10" s="980"/>
      <c r="K10" s="980"/>
      <c r="L10" s="980"/>
      <c r="M10" s="980"/>
      <c r="N10" s="980"/>
      <c r="O10" s="980"/>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hidden="1"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row r="2" spans="2:51" ht="27" customHeight="1" thickBot="1">
      <c r="B2" s="1597" t="str">
        <f>CONCATENATE("Project Name:", " ", Start!F12, "     ", "Map Reference:", " ", Start!K66)</f>
        <v xml:space="preserve">Project Name: Barnsley West Commerical     Map Reference: </v>
      </c>
      <c r="C2" s="1598"/>
      <c r="R2" s="102"/>
      <c r="Y2" s="1460" t="str">
        <f>IF(OR(COUNTIF($Y$12:Y259,"*30+*")&gt;0,COUNTIF($AC$12:AC259,"*30+*")&gt;0),"Note; Habitat selected has a time to target condition greater than 30 years. Non standard agreement may be required. ⚠","")</f>
        <v/>
      </c>
      <c r="Z2" s="1460"/>
      <c r="AA2" s="1460"/>
      <c r="AB2" s="1460"/>
      <c r="AC2" s="1460"/>
      <c r="AD2" s="1460"/>
    </row>
    <row r="3" spans="2:51" ht="21" customHeight="1" thickBot="1">
      <c r="B3" s="1618" t="str">
        <f ca="1">MID(CELL("filename",A1),FIND("]",CELL("filename",A1))+1,256)</f>
        <v>F-3 Off-Site WaterC Enhancement</v>
      </c>
      <c r="C3" s="1619"/>
      <c r="O3" s="1401" t="s">
        <v>405</v>
      </c>
      <c r="P3" s="1403"/>
      <c r="R3" s="1610" t="str" cm="1">
        <f t="array" ref="R3">IF(OR(T12:T257 = "Fairly Good", T12:T257 = "Fairly Poor"),"A 'Fairly' Category has been used - check evidence to ensure this is appropriate ⚠", "")</f>
        <v/>
      </c>
      <c r="S3" s="1610"/>
      <c r="T3" s="1610"/>
      <c r="U3" s="1610"/>
      <c r="V3" s="1610"/>
      <c r="W3" s="1610"/>
      <c r="X3" s="1610"/>
      <c r="Y3" s="1460"/>
      <c r="Z3" s="1460"/>
      <c r="AA3" s="1460"/>
      <c r="AB3" s="1460"/>
      <c r="AC3" s="1460"/>
      <c r="AD3" s="1460"/>
    </row>
    <row r="4" spans="2:51" ht="21" customHeight="1" thickBot="1">
      <c r="B4" s="1620"/>
      <c r="C4" s="1621"/>
      <c r="O4" s="535" t="s">
        <v>264</v>
      </c>
      <c r="P4" s="512">
        <f>'Headline Results'!H49</f>
        <v>-3.5599743759686246</v>
      </c>
      <c r="R4" s="1610"/>
      <c r="S4" s="1610"/>
      <c r="T4" s="1610"/>
      <c r="U4" s="1610"/>
      <c r="V4" s="1610"/>
      <c r="W4" s="1610"/>
      <c r="X4" s="1610"/>
      <c r="Y4" s="1460"/>
      <c r="Z4" s="1460"/>
      <c r="AA4" s="1460"/>
      <c r="AB4" s="1460"/>
      <c r="AC4" s="1460"/>
      <c r="AD4" s="1460"/>
    </row>
    <row r="5" spans="2:51" ht="15.6" customHeight="1">
      <c r="O5" s="506" t="s">
        <v>266</v>
      </c>
      <c r="P5" s="513">
        <f>'Headline Results'!H53</f>
        <v>-0.71458886078454809</v>
      </c>
      <c r="Q5" s="30" t="s">
        <v>432</v>
      </c>
      <c r="R5" s="1610"/>
      <c r="S5" s="1610"/>
      <c r="T5" s="1610"/>
      <c r="U5" s="1610"/>
      <c r="V5" s="1610"/>
      <c r="W5" s="1610"/>
      <c r="X5" s="1610"/>
      <c r="AH5" s="158"/>
      <c r="AI5" s="158"/>
      <c r="AJ5" s="158"/>
      <c r="AK5" s="158"/>
      <c r="AL5" s="158"/>
      <c r="AM5" s="158"/>
      <c r="AN5" s="158"/>
    </row>
    <row r="6" spans="2:51" ht="15" customHeight="1" thickBot="1">
      <c r="O6" s="536" t="s">
        <v>268</v>
      </c>
      <c r="P6" s="504" t="str" cm="1">
        <f t="array" ref="P6">IF(OR('Trading Summary WaterC''s'!G5:H8="No ▲"), "No - check trading summary ▲", "Yes ✓")</f>
        <v>No - check trading summary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39" t="s">
        <v>312</v>
      </c>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1"/>
      <c r="AO9" s="332"/>
    </row>
    <row r="10" spans="2:51" s="33" customFormat="1" ht="27" customHeight="1" thickBot="1">
      <c r="C10" s="1529" t="s">
        <v>333</v>
      </c>
      <c r="D10" s="1599"/>
      <c r="E10" s="1599"/>
      <c r="F10" s="1599"/>
      <c r="G10" s="1599"/>
      <c r="H10" s="1599"/>
      <c r="I10" s="1599"/>
      <c r="J10" s="1599"/>
      <c r="K10" s="1599"/>
      <c r="L10" s="1599"/>
      <c r="M10" s="1599"/>
      <c r="N10" s="1615" t="s">
        <v>433</v>
      </c>
      <c r="O10" s="1622" t="s">
        <v>335</v>
      </c>
      <c r="P10" s="1623"/>
      <c r="Q10" s="1549" t="s">
        <v>34</v>
      </c>
      <c r="R10" s="1549" t="s">
        <v>422</v>
      </c>
      <c r="S10" s="1549"/>
      <c r="T10" s="1549" t="s">
        <v>423</v>
      </c>
      <c r="U10" s="1549"/>
      <c r="V10" s="1570" t="s">
        <v>272</v>
      </c>
      <c r="W10" s="1571"/>
      <c r="X10" s="1572"/>
      <c r="Y10" s="1570" t="s">
        <v>315</v>
      </c>
      <c r="Z10" s="1571"/>
      <c r="AA10" s="1571"/>
      <c r="AB10" s="1571"/>
      <c r="AC10" s="1571"/>
      <c r="AD10" s="1572"/>
      <c r="AE10" s="1570" t="s">
        <v>316</v>
      </c>
      <c r="AF10" s="1571"/>
      <c r="AG10" s="1571"/>
      <c r="AH10" s="1572"/>
      <c r="AI10" s="1549" t="s">
        <v>407</v>
      </c>
      <c r="AJ10" s="1549"/>
      <c r="AK10" s="1570" t="s">
        <v>408</v>
      </c>
      <c r="AL10" s="1572"/>
      <c r="AM10" s="1549" t="s">
        <v>359</v>
      </c>
      <c r="AN10" s="1570"/>
      <c r="AO10" s="1563" t="s">
        <v>434</v>
      </c>
      <c r="AP10" s="1563" t="s">
        <v>419</v>
      </c>
      <c r="AQ10" s="1312" t="s">
        <v>277</v>
      </c>
      <c r="AR10" s="1310"/>
    </row>
    <row r="11" spans="2:51" ht="60" customHeight="1" thickBot="1">
      <c r="B11" s="719" t="s">
        <v>340</v>
      </c>
      <c r="C11" s="140" t="s">
        <v>341</v>
      </c>
      <c r="D11" s="145" t="s">
        <v>34</v>
      </c>
      <c r="E11" s="145" t="s">
        <v>343</v>
      </c>
      <c r="F11" s="145" t="s">
        <v>344</v>
      </c>
      <c r="G11" s="145" t="s">
        <v>345</v>
      </c>
      <c r="H11" s="145" t="s">
        <v>346</v>
      </c>
      <c r="I11" s="145" t="s">
        <v>347</v>
      </c>
      <c r="J11" s="145" t="s">
        <v>272</v>
      </c>
      <c r="K11" s="145" t="s">
        <v>348</v>
      </c>
      <c r="L11" s="145" t="s">
        <v>273</v>
      </c>
      <c r="M11" s="144" t="s">
        <v>425</v>
      </c>
      <c r="N11" s="1616"/>
      <c r="O11" s="132" t="s">
        <v>396</v>
      </c>
      <c r="P11" s="861" t="s">
        <v>397</v>
      </c>
      <c r="Q11" s="1617"/>
      <c r="R11" s="132" t="s">
        <v>270</v>
      </c>
      <c r="S11" s="752" t="s">
        <v>287</v>
      </c>
      <c r="T11" s="132" t="s">
        <v>271</v>
      </c>
      <c r="U11" s="752" t="s">
        <v>287</v>
      </c>
      <c r="V11" s="132" t="s">
        <v>272</v>
      </c>
      <c r="W11" s="811" t="s">
        <v>272</v>
      </c>
      <c r="X11" s="752" t="s">
        <v>318</v>
      </c>
      <c r="Y11" s="132" t="s">
        <v>393</v>
      </c>
      <c r="Z11" s="811" t="s">
        <v>378</v>
      </c>
      <c r="AA11" s="811" t="s">
        <v>355</v>
      </c>
      <c r="AB11" s="811" t="s">
        <v>322</v>
      </c>
      <c r="AC11" s="811" t="s">
        <v>323</v>
      </c>
      <c r="AD11" s="752" t="s">
        <v>398</v>
      </c>
      <c r="AE11" s="132" t="s">
        <v>399</v>
      </c>
      <c r="AF11" s="811" t="s">
        <v>1682</v>
      </c>
      <c r="AG11" s="811" t="s">
        <v>357</v>
      </c>
      <c r="AH11" s="752" t="s">
        <v>328</v>
      </c>
      <c r="AI11" s="132" t="s">
        <v>410</v>
      </c>
      <c r="AJ11" s="752" t="s">
        <v>411</v>
      </c>
      <c r="AK11" s="132" t="s">
        <v>412</v>
      </c>
      <c r="AL11" s="752" t="s">
        <v>411</v>
      </c>
      <c r="AM11" s="132" t="s">
        <v>362</v>
      </c>
      <c r="AN11" s="887" t="s">
        <v>411</v>
      </c>
      <c r="AO11" s="1564"/>
      <c r="AP11" s="1564"/>
      <c r="AQ11" s="126" t="s">
        <v>296</v>
      </c>
      <c r="AR11" s="861" t="s">
        <v>297</v>
      </c>
      <c r="AS11" s="43" t="s">
        <v>298</v>
      </c>
      <c r="AT11" s="43" t="s">
        <v>364</v>
      </c>
      <c r="AY11" s="210" t="s">
        <v>281</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6"/>
      <c r="AN258" s="1526"/>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X49TTypP0jU38oiDKFFb8HNsRZB8473oiNdQfh/NewbXv0rxoIrIbwtiZPfD8EEhN4MPfoIYJS3rXM143D5umw==" saltValue="UMxinrSf9bE5TyUg8cqDx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2" priority="29" operator="containsText" text="Restore">
      <formula>NOT(ISERROR(SEARCH("Restore",L12)))</formula>
    </cfRule>
  </conditionalFormatting>
  <conditionalFormatting sqref="AO258:AP258 O12:AB257 AE12:AO257">
    <cfRule type="beginsWith" dxfId="31" priority="24" operator="beginsWith" text="No - Low">
      <formula>LEFT(O12,LEN("No - Low"))="No - Low"</formula>
    </cfRule>
    <cfRule type="containsText" dxfId="30" priority="25" operator="containsText" text="30+">
      <formula>NOT(ISERROR(SEARCH("30+",O12)))</formula>
    </cfRule>
    <cfRule type="containsText" dxfId="29" priority="26" operator="containsText" text="Spatial">
      <formula>NOT(ISERROR(SEARCH("Spatial",O12)))</formula>
    </cfRule>
    <cfRule type="containsText" dxfId="28" priority="27" operator="containsText" text="Check">
      <formula>NOT(ISERROR(SEARCH("Check",O12)))</formula>
    </cfRule>
    <cfRule type="containsText" dxfId="27" priority="28" operator="containsText" text="Error">
      <formula>NOT(ISERROR(SEARCH("Error",O12)))</formula>
    </cfRule>
  </conditionalFormatting>
  <conditionalFormatting sqref="AC12:AD257">
    <cfRule type="containsText" dxfId="26" priority="22" operator="containsText" text="Check">
      <formula>NOT(ISERROR(SEARCH("Check",AC12)))</formula>
    </cfRule>
    <cfRule type="beginsWith" dxfId="25" priority="23" operator="beginsWith" text="Error">
      <formula>LEFT(AC12,LEN("Error"))="Error"</formula>
    </cfRule>
  </conditionalFormatting>
  <conditionalFormatting sqref="Y2">
    <cfRule type="containsText" dxfId="24" priority="20" operator="containsText" text="Note">
      <formula>NOT(ISERROR(SEARCH("Note",Y2)))</formula>
    </cfRule>
  </conditionalFormatting>
  <conditionalFormatting sqref="P4">
    <cfRule type="containsText" dxfId="23" priority="18" operator="containsText" text="Error">
      <formula>NOT(ISERROR(SEARCH("Error",P4)))</formula>
    </cfRule>
    <cfRule type="containsText" dxfId="22" priority="19" operator="containsText" text="Check">
      <formula>NOT(ISERROR(SEARCH("Check",P4)))</formula>
    </cfRule>
  </conditionalFormatting>
  <conditionalFormatting sqref="P5">
    <cfRule type="cellIs" dxfId="21" priority="1" operator="equal">
      <formula>0</formula>
    </cfRule>
    <cfRule type="containsText" dxfId="20" priority="2" operator="containsText" text="Error">
      <formula>NOT(ISERROR(SEARCH("Error",P5)))</formula>
    </cfRule>
    <cfRule type="containsText" dxfId="19" priority="3" operator="containsText" text="Check">
      <formula>NOT(ISERROR(SEARCH("Check",P5)))</formula>
    </cfRule>
    <cfRule type="cellIs" dxfId="18" priority="4" operator="lessThan">
      <formula>0</formula>
    </cfRule>
  </conditionalFormatting>
  <conditionalFormatting sqref="R3:X5">
    <cfRule type="containsText" dxfId="17" priority="13" operator="containsText" text="Check">
      <formula>NOT(ISERROR(SEARCH("Check",R3)))</formula>
    </cfRule>
  </conditionalFormatting>
  <conditionalFormatting sqref="P6">
    <cfRule type="containsText" dxfId="16" priority="11" operator="containsText" text="No">
      <formula>NOT(ISERROR(SEARCH("No",P6)))</formula>
    </cfRule>
    <cfRule type="containsText" dxfId="15" priority="12" operator="containsText" text="Yes">
      <formula>NOT(ISERROR(SEARCH("Yes",P6)))</formula>
    </cfRule>
  </conditionalFormatting>
  <conditionalFormatting sqref="U12:U257">
    <cfRule type="containsText" dxfId="14" priority="10" operator="containsText" text="Not possible">
      <formula>NOT(ISERROR(SEARCH("Not possible",U12)))</formula>
    </cfRule>
  </conditionalFormatting>
  <conditionalFormatting sqref="AP12:AP257">
    <cfRule type="beginsWith" dxfId="13" priority="5" operator="beginsWith" text="No - Low">
      <formula>LEFT(AP12,LEN("No - Low"))="No - Low"</formula>
    </cfRule>
    <cfRule type="containsText" dxfId="12" priority="6" operator="containsText" text="30+">
      <formula>NOT(ISERROR(SEARCH("30+",AP12)))</formula>
    </cfRule>
    <cfRule type="containsText" dxfId="11" priority="7" operator="containsText" text="Spatial">
      <formula>NOT(ISERROR(SEARCH("Spatial",AP12)))</formula>
    </cfRule>
    <cfRule type="containsText" dxfId="10" priority="8" operator="containsText" text="Check">
      <formula>NOT(ISERROR(SEARCH("Check",AP12)))</formula>
    </cfRule>
    <cfRule type="containsText" dxfId="9" priority="9" operator="containsText" text="Error">
      <formula>NOT(ISERROR(SEARCH("Error",AP12)))</formula>
    </cfRule>
  </conditionalFormatting>
  <dataValidations count="3">
    <dataValidation type="list" allowBlank="1" showInputMessage="1" showErrorMessage="1" sqref="T12:T257">
      <formula1>INDIRECT(AY12)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3" operator="lessThan" id="{81F228A8-0E99-4272-9DDD-FBE759F32105}">
            <xm:f>Start!$F$22</xm:f>
            <x14:dxf>
              <font>
                <color rgb="FF383745"/>
              </font>
              <fill>
                <patternFill>
                  <bgColor rgb="FFFFC000"/>
                </patternFill>
              </fill>
            </x14:dxf>
          </x14:cfRule>
          <x14:cfRule type="cellIs" priority="454"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 type="list" allowBlank="1" showInputMessage="1" showErrorMessage="1">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XFC162"/>
  <sheetViews>
    <sheetView showGridLines="0" zoomScale="80" zoomScaleNormal="80" workbookViewId="0">
      <pane xSplit="2" ySplit="2" topLeftCell="C63" activePane="bottomRight" state="frozen"/>
      <selection pane="topRight"/>
      <selection pane="bottomLeft"/>
      <selection pane="bottomRight"/>
    </sheetView>
  </sheetViews>
  <sheetFormatPr defaultColWidth="4.140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c r="D1" s="1629" t="s">
        <v>435</v>
      </c>
      <c r="E1" s="1629"/>
      <c r="F1" s="1629"/>
      <c r="G1" s="174"/>
      <c r="H1" s="595"/>
      <c r="I1" s="174"/>
      <c r="J1" s="174"/>
      <c r="V1" s="1624" t="s">
        <v>436</v>
      </c>
      <c r="W1" s="1626"/>
      <c r="X1" s="1625"/>
      <c r="Z1" s="1624" t="s">
        <v>437</v>
      </c>
      <c r="AA1" s="1625"/>
      <c r="AF1" s="1627" t="s">
        <v>438</v>
      </c>
      <c r="AG1" s="1627" t="s">
        <v>439</v>
      </c>
    </row>
    <row r="2" spans="1:35" s="90" customFormat="1" ht="41.45" customHeight="1">
      <c r="A2" s="230"/>
      <c r="B2" s="78" t="s">
        <v>440</v>
      </c>
      <c r="C2" s="175" t="s">
        <v>441</v>
      </c>
      <c r="D2" s="175" t="s">
        <v>442</v>
      </c>
      <c r="E2" s="175" t="s">
        <v>443</v>
      </c>
      <c r="F2" s="175" t="s">
        <v>444</v>
      </c>
      <c r="G2" s="175" t="s">
        <v>445</v>
      </c>
      <c r="H2" s="596" t="s">
        <v>446</v>
      </c>
      <c r="I2" s="175" t="s">
        <v>447</v>
      </c>
      <c r="J2" s="175" t="s">
        <v>448</v>
      </c>
      <c r="K2" s="175" t="s">
        <v>449</v>
      </c>
      <c r="L2" s="175" t="s">
        <v>450</v>
      </c>
      <c r="M2" s="175" t="s">
        <v>451</v>
      </c>
      <c r="N2" s="176" t="s">
        <v>452</v>
      </c>
      <c r="O2" s="176" t="s">
        <v>411</v>
      </c>
      <c r="P2" s="176" t="s">
        <v>453</v>
      </c>
      <c r="Q2" s="176" t="s">
        <v>411</v>
      </c>
      <c r="R2" s="176" t="s">
        <v>454</v>
      </c>
      <c r="S2" s="176" t="s">
        <v>455</v>
      </c>
      <c r="T2" s="30"/>
      <c r="U2" s="30"/>
      <c r="V2" s="78" t="s">
        <v>456</v>
      </c>
      <c r="W2" s="78" t="s">
        <v>457</v>
      </c>
      <c r="X2" s="78" t="s">
        <v>458</v>
      </c>
      <c r="Y2" s="30"/>
      <c r="Z2" s="78" t="s">
        <v>459</v>
      </c>
      <c r="AA2" s="78" t="s">
        <v>460</v>
      </c>
      <c r="AB2" s="30"/>
      <c r="AC2" s="30"/>
      <c r="AD2" s="78" t="s">
        <v>461</v>
      </c>
      <c r="AE2" s="30"/>
      <c r="AF2" s="1628"/>
      <c r="AG2" s="1628"/>
      <c r="AH2" s="30"/>
      <c r="AI2" s="30"/>
    </row>
    <row r="3" spans="1:35" ht="30">
      <c r="A3" s="698" t="s">
        <v>462</v>
      </c>
      <c r="B3" s="91" t="s">
        <v>463</v>
      </c>
      <c r="C3" s="404" t="s">
        <v>464</v>
      </c>
      <c r="D3" s="404" t="s">
        <v>465</v>
      </c>
      <c r="E3" s="404"/>
      <c r="F3" s="382" t="s">
        <v>124</v>
      </c>
      <c r="G3" s="404"/>
      <c r="H3" s="521" t="s">
        <v>466</v>
      </c>
      <c r="I3" s="404"/>
      <c r="J3" s="404" t="s">
        <v>467</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468</v>
      </c>
      <c r="W3" s="404">
        <v>8</v>
      </c>
      <c r="X3" s="467" t="s">
        <v>469</v>
      </c>
      <c r="Z3" s="404" t="s">
        <v>68</v>
      </c>
      <c r="AA3" s="404">
        <v>3</v>
      </c>
      <c r="AD3" s="430" t="s">
        <v>52</v>
      </c>
      <c r="AF3" s="404" t="s">
        <v>124</v>
      </c>
      <c r="AG3" s="404" t="s">
        <v>124</v>
      </c>
    </row>
    <row r="4" spans="1:35" ht="30">
      <c r="A4" s="698" t="s">
        <v>470</v>
      </c>
      <c r="B4" s="91" t="s">
        <v>471</v>
      </c>
      <c r="C4" s="404" t="s">
        <v>472</v>
      </c>
      <c r="D4" s="404" t="s">
        <v>465</v>
      </c>
      <c r="E4" s="404"/>
      <c r="F4" s="382" t="s">
        <v>124</v>
      </c>
      <c r="G4" s="404"/>
      <c r="H4" s="521" t="s">
        <v>466</v>
      </c>
      <c r="I4" s="404"/>
      <c r="J4" s="404" t="s">
        <v>467</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473</v>
      </c>
      <c r="AA4" s="404">
        <v>2.5</v>
      </c>
      <c r="AD4" s="430" t="s">
        <v>54</v>
      </c>
      <c r="AF4" s="404" t="s">
        <v>125</v>
      </c>
      <c r="AG4" s="404" t="s">
        <v>125</v>
      </c>
    </row>
    <row r="5" spans="1:35" ht="42.75">
      <c r="A5" s="698" t="s">
        <v>474</v>
      </c>
      <c r="B5" s="91" t="s">
        <v>475</v>
      </c>
      <c r="C5" s="404" t="s">
        <v>476</v>
      </c>
      <c r="D5" s="404" t="s">
        <v>465</v>
      </c>
      <c r="E5" s="404"/>
      <c r="F5" s="382" t="s">
        <v>124</v>
      </c>
      <c r="G5" s="404"/>
      <c r="H5" s="521" t="s">
        <v>466</v>
      </c>
      <c r="I5" s="404"/>
      <c r="J5" s="404" t="s">
        <v>467</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477</v>
      </c>
    </row>
    <row r="6" spans="1:35" ht="28.5">
      <c r="A6" s="698" t="s">
        <v>478</v>
      </c>
      <c r="B6" s="91" t="s">
        <v>479</v>
      </c>
      <c r="C6" s="404" t="s">
        <v>480</v>
      </c>
      <c r="D6" s="404" t="s">
        <v>465</v>
      </c>
      <c r="E6" s="404" t="s">
        <v>481</v>
      </c>
      <c r="F6" s="382" t="s">
        <v>124</v>
      </c>
      <c r="G6" s="404" t="s">
        <v>482</v>
      </c>
      <c r="H6" s="521" t="s">
        <v>466</v>
      </c>
      <c r="I6" s="404" t="s">
        <v>480</v>
      </c>
      <c r="J6" s="404" t="s">
        <v>467</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483</v>
      </c>
      <c r="AA6" s="404">
        <v>1.5</v>
      </c>
      <c r="AF6" s="404" t="s">
        <v>127</v>
      </c>
      <c r="AG6" s="404" t="s">
        <v>127</v>
      </c>
    </row>
    <row r="7" spans="1:35">
      <c r="A7" s="698" t="s">
        <v>484</v>
      </c>
      <c r="B7" s="91" t="s">
        <v>485</v>
      </c>
      <c r="C7" s="404" t="s">
        <v>486</v>
      </c>
      <c r="D7" s="404" t="s">
        <v>465</v>
      </c>
      <c r="E7" s="404"/>
      <c r="F7" s="382" t="s">
        <v>124</v>
      </c>
      <c r="G7" s="404"/>
      <c r="H7" s="521" t="s">
        <v>466</v>
      </c>
      <c r="I7" s="404" t="s">
        <v>486</v>
      </c>
      <c r="J7" s="404" t="s">
        <v>484</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487</v>
      </c>
      <c r="W7" s="404">
        <v>0</v>
      </c>
      <c r="X7" s="471" t="s">
        <v>488</v>
      </c>
      <c r="Z7" s="404" t="s">
        <v>329</v>
      </c>
      <c r="AA7" s="404">
        <v>1</v>
      </c>
      <c r="AF7" s="404" t="s">
        <v>128</v>
      </c>
      <c r="AG7" s="404" t="s">
        <v>489</v>
      </c>
    </row>
    <row r="8" spans="1:35">
      <c r="A8" s="698" t="s">
        <v>490</v>
      </c>
      <c r="B8" s="91" t="s">
        <v>491</v>
      </c>
      <c r="C8" s="404" t="s">
        <v>492</v>
      </c>
      <c r="D8" s="404" t="s">
        <v>465</v>
      </c>
      <c r="E8" s="404"/>
      <c r="F8" s="382" t="s">
        <v>124</v>
      </c>
      <c r="G8" s="404"/>
      <c r="H8" s="521" t="s">
        <v>466</v>
      </c>
      <c r="I8" s="404"/>
      <c r="J8" s="404" t="s">
        <v>484</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493</v>
      </c>
      <c r="AA8" s="404">
        <v>1</v>
      </c>
      <c r="AF8" s="428" t="s">
        <v>129</v>
      </c>
      <c r="AG8" s="428" t="s">
        <v>129</v>
      </c>
    </row>
    <row r="9" spans="1:35">
      <c r="A9" s="698" t="s">
        <v>494</v>
      </c>
      <c r="B9" s="91" t="s">
        <v>495</v>
      </c>
      <c r="C9" s="404" t="s">
        <v>496</v>
      </c>
      <c r="D9" s="404" t="s">
        <v>465</v>
      </c>
      <c r="E9" s="404"/>
      <c r="F9" s="382" t="s">
        <v>124</v>
      </c>
      <c r="G9" s="404"/>
      <c r="H9" s="521" t="s">
        <v>466</v>
      </c>
      <c r="I9" s="404" t="s">
        <v>496</v>
      </c>
      <c r="J9" s="404" t="s">
        <v>494</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497</v>
      </c>
      <c r="AA9" s="404">
        <v>0</v>
      </c>
      <c r="AF9" s="404" t="s">
        <v>130</v>
      </c>
      <c r="AG9" s="404" t="s">
        <v>130</v>
      </c>
    </row>
    <row r="10" spans="1:35">
      <c r="A10" s="698" t="s">
        <v>498</v>
      </c>
      <c r="B10" s="91" t="s">
        <v>499</v>
      </c>
      <c r="C10" s="404" t="s">
        <v>500</v>
      </c>
      <c r="D10" s="404" t="s">
        <v>465</v>
      </c>
      <c r="E10" s="404"/>
      <c r="F10" s="382" t="s">
        <v>124</v>
      </c>
      <c r="G10" s="404"/>
      <c r="H10" s="521" t="s">
        <v>466</v>
      </c>
      <c r="I10" s="404" t="s">
        <v>500</v>
      </c>
      <c r="J10" s="404" t="s">
        <v>498</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501</v>
      </c>
    </row>
    <row r="11" spans="1:35">
      <c r="A11" s="698" t="s">
        <v>502</v>
      </c>
      <c r="B11" s="91" t="s">
        <v>503</v>
      </c>
      <c r="C11" s="404" t="s">
        <v>504</v>
      </c>
      <c r="D11" s="404" t="s">
        <v>465</v>
      </c>
      <c r="E11" s="404"/>
      <c r="F11" s="382" t="s">
        <v>124</v>
      </c>
      <c r="G11" s="404"/>
      <c r="H11" s="521" t="s">
        <v>466</v>
      </c>
      <c r="I11" s="404" t="s">
        <v>504</v>
      </c>
      <c r="J11" s="404" t="s">
        <v>502</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505</v>
      </c>
    </row>
    <row r="12" spans="1:35" ht="15.75" thickBot="1">
      <c r="A12" s="698" t="s">
        <v>506</v>
      </c>
      <c r="B12" s="178" t="s">
        <v>507</v>
      </c>
      <c r="C12" s="388" t="s">
        <v>508</v>
      </c>
      <c r="D12" s="388" t="s">
        <v>465</v>
      </c>
      <c r="E12" s="388"/>
      <c r="F12" s="371" t="s">
        <v>124</v>
      </c>
      <c r="G12" s="388"/>
      <c r="H12" s="522" t="s">
        <v>466</v>
      </c>
      <c r="I12" s="388" t="s">
        <v>508</v>
      </c>
      <c r="J12" s="388" t="s">
        <v>506</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134</v>
      </c>
      <c r="AG12" s="404" t="s">
        <v>509</v>
      </c>
    </row>
    <row r="13" spans="1:35">
      <c r="A13" s="698" t="s">
        <v>510</v>
      </c>
      <c r="B13" s="179" t="s">
        <v>511</v>
      </c>
      <c r="C13" s="383">
        <v>21</v>
      </c>
      <c r="D13" s="383" t="s">
        <v>465</v>
      </c>
      <c r="E13" s="383"/>
      <c r="F13" s="382" t="s">
        <v>125</v>
      </c>
      <c r="G13" s="383"/>
      <c r="H13" s="523" t="s">
        <v>510</v>
      </c>
      <c r="I13" s="383"/>
      <c r="J13" s="383" t="s">
        <v>510</v>
      </c>
      <c r="K13" s="383" t="s">
        <v>213</v>
      </c>
      <c r="L13" s="383">
        <f t="shared" si="4"/>
        <v>6</v>
      </c>
      <c r="M13" s="519" t="str">
        <f t="shared" si="3"/>
        <v>Same habitat required =</v>
      </c>
      <c r="N13" s="383" t="s">
        <v>216</v>
      </c>
      <c r="O13" s="383">
        <f t="shared" si="1"/>
        <v>1</v>
      </c>
      <c r="P13" s="383" t="s">
        <v>70</v>
      </c>
      <c r="Q13" s="383">
        <f t="shared" si="2"/>
        <v>0.67</v>
      </c>
      <c r="R13" s="370"/>
      <c r="S13" s="383"/>
      <c r="AF13" s="404" t="s">
        <v>133</v>
      </c>
      <c r="AG13" s="404" t="s">
        <v>512</v>
      </c>
    </row>
    <row r="14" spans="1:35">
      <c r="A14" s="698" t="s">
        <v>513</v>
      </c>
      <c r="B14" s="91" t="s">
        <v>514</v>
      </c>
      <c r="C14" s="404" t="s">
        <v>515</v>
      </c>
      <c r="D14" s="404" t="s">
        <v>465</v>
      </c>
      <c r="E14" s="404"/>
      <c r="F14" s="382" t="s">
        <v>125</v>
      </c>
      <c r="G14" s="404"/>
      <c r="H14" s="521" t="s">
        <v>516</v>
      </c>
      <c r="I14" s="404" t="s">
        <v>515</v>
      </c>
      <c r="J14" s="404" t="s">
        <v>513</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517</v>
      </c>
    </row>
    <row r="15" spans="1:35" ht="30">
      <c r="A15" s="698" t="s">
        <v>518</v>
      </c>
      <c r="B15" s="91" t="s">
        <v>519</v>
      </c>
      <c r="C15" s="404" t="s">
        <v>520</v>
      </c>
      <c r="D15" s="404" t="s">
        <v>465</v>
      </c>
      <c r="E15" s="404"/>
      <c r="F15" s="382" t="s">
        <v>125</v>
      </c>
      <c r="G15" s="404"/>
      <c r="H15" s="521" t="s">
        <v>521</v>
      </c>
      <c r="I15" s="404"/>
      <c r="J15" s="404" t="s">
        <v>521</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522</v>
      </c>
    </row>
    <row r="16" spans="1:35">
      <c r="A16" s="698" t="s">
        <v>523</v>
      </c>
      <c r="B16" s="91" t="s">
        <v>524</v>
      </c>
      <c r="C16" s="404" t="s">
        <v>525</v>
      </c>
      <c r="D16" s="404" t="s">
        <v>465</v>
      </c>
      <c r="E16" s="404"/>
      <c r="F16" s="382" t="s">
        <v>125</v>
      </c>
      <c r="G16" s="404" t="s">
        <v>526</v>
      </c>
      <c r="H16" s="521" t="s">
        <v>527</v>
      </c>
      <c r="I16" s="404" t="s">
        <v>525</v>
      </c>
      <c r="J16" s="429" t="s">
        <v>523</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528</v>
      </c>
    </row>
    <row r="17" spans="1:33">
      <c r="A17" s="698" t="s">
        <v>529</v>
      </c>
      <c r="B17" s="91" t="s">
        <v>530</v>
      </c>
      <c r="C17" s="404" t="s">
        <v>531</v>
      </c>
      <c r="D17" s="404" t="s">
        <v>465</v>
      </c>
      <c r="E17" s="404" t="s">
        <v>532</v>
      </c>
      <c r="F17" s="382" t="s">
        <v>125</v>
      </c>
      <c r="G17" s="404" t="s">
        <v>533</v>
      </c>
      <c r="H17" s="521" t="s">
        <v>516</v>
      </c>
      <c r="I17" s="404" t="s">
        <v>531</v>
      </c>
      <c r="J17" s="429" t="s">
        <v>529</v>
      </c>
      <c r="K17" s="404" t="s">
        <v>468</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534</v>
      </c>
    </row>
    <row r="18" spans="1:33">
      <c r="A18" s="698" t="s">
        <v>535</v>
      </c>
      <c r="B18" s="91" t="s">
        <v>536</v>
      </c>
      <c r="C18" s="404" t="s">
        <v>537</v>
      </c>
      <c r="D18" s="404" t="s">
        <v>465</v>
      </c>
      <c r="E18" s="404"/>
      <c r="F18" s="382" t="s">
        <v>125</v>
      </c>
      <c r="G18" s="404" t="s">
        <v>538</v>
      </c>
      <c r="H18" s="521" t="s">
        <v>539</v>
      </c>
      <c r="I18" s="404" t="s">
        <v>537</v>
      </c>
      <c r="J18" s="429" t="s">
        <v>535</v>
      </c>
      <c r="K18" s="404" t="s">
        <v>468</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540</v>
      </c>
      <c r="B19" s="91" t="s">
        <v>541</v>
      </c>
      <c r="C19" s="404" t="s">
        <v>542</v>
      </c>
      <c r="D19" s="404" t="s">
        <v>465</v>
      </c>
      <c r="E19" s="404"/>
      <c r="F19" s="382" t="s">
        <v>125</v>
      </c>
      <c r="G19" s="404" t="s">
        <v>542</v>
      </c>
      <c r="H19" s="521" t="s">
        <v>540</v>
      </c>
      <c r="I19" s="382" t="s">
        <v>543</v>
      </c>
      <c r="J19" s="382" t="s">
        <v>540</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544</v>
      </c>
      <c r="B20" s="91" t="s">
        <v>545</v>
      </c>
      <c r="C20" s="404" t="s">
        <v>546</v>
      </c>
      <c r="D20" s="404" t="s">
        <v>465</v>
      </c>
      <c r="E20" s="404"/>
      <c r="F20" s="382" t="s">
        <v>125</v>
      </c>
      <c r="G20" s="404"/>
      <c r="H20" s="521" t="s">
        <v>516</v>
      </c>
      <c r="I20" s="404" t="s">
        <v>546</v>
      </c>
      <c r="J20" s="404" t="s">
        <v>544</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547</v>
      </c>
      <c r="B21" s="91" t="s">
        <v>548</v>
      </c>
      <c r="C21" s="404" t="s">
        <v>549</v>
      </c>
      <c r="D21" s="404" t="s">
        <v>465</v>
      </c>
      <c r="E21" s="404"/>
      <c r="F21" s="382" t="s">
        <v>125</v>
      </c>
      <c r="G21" s="404"/>
      <c r="H21" s="521" t="s">
        <v>539</v>
      </c>
      <c r="I21" s="404" t="s">
        <v>549</v>
      </c>
      <c r="J21" s="404" t="s">
        <v>547</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550</v>
      </c>
      <c r="B22" s="91" t="s">
        <v>551</v>
      </c>
      <c r="C22" s="404" t="s">
        <v>552</v>
      </c>
      <c r="D22" s="404" t="s">
        <v>465</v>
      </c>
      <c r="E22" s="404"/>
      <c r="F22" s="382" t="s">
        <v>125</v>
      </c>
      <c r="G22" s="404" t="s">
        <v>553</v>
      </c>
      <c r="H22" s="521" t="s">
        <v>554</v>
      </c>
      <c r="I22" s="382"/>
      <c r="J22" s="404" t="s">
        <v>555</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556</v>
      </c>
      <c r="B23" s="91" t="s">
        <v>557</v>
      </c>
      <c r="C23" s="404" t="s">
        <v>558</v>
      </c>
      <c r="D23" s="404" t="s">
        <v>465</v>
      </c>
      <c r="E23" s="404"/>
      <c r="F23" s="382" t="s">
        <v>125</v>
      </c>
      <c r="G23" s="404"/>
      <c r="H23" s="521" t="s">
        <v>516</v>
      </c>
      <c r="I23" s="404" t="s">
        <v>558</v>
      </c>
      <c r="J23" s="429" t="s">
        <v>556</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559</v>
      </c>
      <c r="B24" s="91" t="s">
        <v>560</v>
      </c>
      <c r="C24" s="404" t="s">
        <v>561</v>
      </c>
      <c r="D24" s="404" t="s">
        <v>465</v>
      </c>
      <c r="E24" s="404"/>
      <c r="F24" s="382" t="s">
        <v>125</v>
      </c>
      <c r="G24" s="404"/>
      <c r="H24" s="521" t="s">
        <v>527</v>
      </c>
      <c r="I24" s="404" t="s">
        <v>561</v>
      </c>
      <c r="J24" s="429" t="s">
        <v>559</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562</v>
      </c>
      <c r="B25" s="178" t="s">
        <v>563</v>
      </c>
      <c r="C25" s="388" t="s">
        <v>564</v>
      </c>
      <c r="D25" s="388" t="s">
        <v>465</v>
      </c>
      <c r="E25" s="388"/>
      <c r="F25" s="371" t="s">
        <v>125</v>
      </c>
      <c r="G25" s="388"/>
      <c r="H25" s="522" t="s">
        <v>539</v>
      </c>
      <c r="I25" s="388" t="s">
        <v>564</v>
      </c>
      <c r="J25" s="431" t="s">
        <v>562</v>
      </c>
      <c r="K25" s="388" t="s">
        <v>468</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565</v>
      </c>
      <c r="B26" s="179" t="s">
        <v>566</v>
      </c>
      <c r="C26" s="383" t="s">
        <v>567</v>
      </c>
      <c r="D26" s="383" t="s">
        <v>465</v>
      </c>
      <c r="E26" s="383"/>
      <c r="F26" s="370" t="s">
        <v>126</v>
      </c>
      <c r="G26" s="383" t="s">
        <v>568</v>
      </c>
      <c r="H26" s="523" t="s">
        <v>569</v>
      </c>
      <c r="I26" s="383" t="s">
        <v>567</v>
      </c>
      <c r="J26" s="383" t="s">
        <v>565</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570</v>
      </c>
      <c r="B27" s="91" t="s">
        <v>571</v>
      </c>
      <c r="C27" s="404" t="s">
        <v>572</v>
      </c>
      <c r="D27" s="404" t="s">
        <v>465</v>
      </c>
      <c r="E27" s="404"/>
      <c r="F27" s="382" t="s">
        <v>126</v>
      </c>
      <c r="G27" s="404"/>
      <c r="H27" s="521" t="s">
        <v>569</v>
      </c>
      <c r="I27" s="404" t="s">
        <v>572</v>
      </c>
      <c r="J27" s="404" t="s">
        <v>570</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573</v>
      </c>
      <c r="B28" s="91" t="s">
        <v>574</v>
      </c>
      <c r="C28" s="404" t="s">
        <v>575</v>
      </c>
      <c r="D28" s="404" t="s">
        <v>465</v>
      </c>
      <c r="E28" s="404"/>
      <c r="F28" s="382" t="s">
        <v>126</v>
      </c>
      <c r="G28" s="404"/>
      <c r="H28" s="521" t="s">
        <v>569</v>
      </c>
      <c r="I28" s="404" t="s">
        <v>575</v>
      </c>
      <c r="J28" s="404" t="s">
        <v>573</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576</v>
      </c>
      <c r="B29" s="91" t="s">
        <v>577</v>
      </c>
      <c r="C29" s="404" t="s">
        <v>578</v>
      </c>
      <c r="D29" s="404" t="s">
        <v>465</v>
      </c>
      <c r="E29" s="404"/>
      <c r="F29" s="382" t="s">
        <v>126</v>
      </c>
      <c r="G29" s="404"/>
      <c r="H29" s="521" t="s">
        <v>569</v>
      </c>
      <c r="I29" s="404" t="s">
        <v>578</v>
      </c>
      <c r="J29" s="404" t="s">
        <v>576</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579</v>
      </c>
      <c r="B30" s="91" t="s">
        <v>580</v>
      </c>
      <c r="C30" s="404" t="s">
        <v>581</v>
      </c>
      <c r="D30" s="404" t="s">
        <v>465</v>
      </c>
      <c r="E30" s="404"/>
      <c r="F30" s="382" t="s">
        <v>126</v>
      </c>
      <c r="G30" s="404"/>
      <c r="H30" s="521" t="s">
        <v>569</v>
      </c>
      <c r="I30" s="404" t="s">
        <v>581</v>
      </c>
      <c r="J30" s="404" t="s">
        <v>579</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582</v>
      </c>
      <c r="B31" s="91" t="s">
        <v>583</v>
      </c>
      <c r="C31" s="404" t="s">
        <v>584</v>
      </c>
      <c r="D31" s="404" t="s">
        <v>465</v>
      </c>
      <c r="E31" s="404" t="s">
        <v>585</v>
      </c>
      <c r="F31" s="382" t="s">
        <v>126</v>
      </c>
      <c r="G31" s="404" t="s">
        <v>586</v>
      </c>
      <c r="H31" s="521" t="s">
        <v>587</v>
      </c>
      <c r="I31" s="404" t="s">
        <v>584</v>
      </c>
      <c r="J31" s="429" t="s">
        <v>588</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589</v>
      </c>
      <c r="B32" s="91" t="s">
        <v>590</v>
      </c>
      <c r="C32" s="404" t="s">
        <v>591</v>
      </c>
      <c r="D32" s="404" t="s">
        <v>465</v>
      </c>
      <c r="E32" s="404"/>
      <c r="F32" s="382" t="s">
        <v>126</v>
      </c>
      <c r="G32" s="404"/>
      <c r="H32" s="521" t="s">
        <v>569</v>
      </c>
      <c r="I32" s="404" t="s">
        <v>591</v>
      </c>
      <c r="J32" s="404" t="s">
        <v>589</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592</v>
      </c>
      <c r="S32" s="404"/>
    </row>
    <row r="33" spans="1:19">
      <c r="A33" s="698" t="s">
        <v>593</v>
      </c>
      <c r="B33" s="91" t="s">
        <v>594</v>
      </c>
      <c r="C33" s="404" t="s">
        <v>595</v>
      </c>
      <c r="D33" s="404" t="s">
        <v>465</v>
      </c>
      <c r="E33" s="404"/>
      <c r="F33" s="382" t="s">
        <v>126</v>
      </c>
      <c r="G33" s="404"/>
      <c r="H33" s="521" t="s">
        <v>587</v>
      </c>
      <c r="I33" s="404" t="s">
        <v>595</v>
      </c>
      <c r="J33" s="429" t="s">
        <v>593</v>
      </c>
      <c r="K33" s="404" t="s">
        <v>468</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596</v>
      </c>
      <c r="B34" s="91" t="s">
        <v>597</v>
      </c>
      <c r="C34" s="404" t="s">
        <v>598</v>
      </c>
      <c r="D34" s="404" t="s">
        <v>465</v>
      </c>
      <c r="E34" s="404"/>
      <c r="F34" s="382" t="s">
        <v>126</v>
      </c>
      <c r="G34" s="404"/>
      <c r="H34" s="521" t="s">
        <v>569</v>
      </c>
      <c r="I34" s="404" t="s">
        <v>598</v>
      </c>
      <c r="J34" s="404" t="s">
        <v>596</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599</v>
      </c>
      <c r="B35" s="91" t="s">
        <v>600</v>
      </c>
      <c r="C35" s="404" t="s">
        <v>601</v>
      </c>
      <c r="D35" s="404" t="s">
        <v>465</v>
      </c>
      <c r="E35" s="404"/>
      <c r="F35" s="382" t="s">
        <v>126</v>
      </c>
      <c r="G35" s="404"/>
      <c r="H35" s="521" t="s">
        <v>569</v>
      </c>
      <c r="I35" s="404" t="s">
        <v>602</v>
      </c>
      <c r="J35" s="404" t="s">
        <v>603</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604</v>
      </c>
      <c r="B36" s="91" t="s">
        <v>605</v>
      </c>
      <c r="C36" s="404" t="s">
        <v>606</v>
      </c>
      <c r="D36" s="404" t="s">
        <v>465</v>
      </c>
      <c r="E36" s="404"/>
      <c r="F36" s="382" t="s">
        <v>126</v>
      </c>
      <c r="G36" s="404"/>
      <c r="H36" s="521" t="s">
        <v>569</v>
      </c>
      <c r="I36" s="404" t="s">
        <v>602</v>
      </c>
      <c r="J36" s="404" t="s">
        <v>607</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608</v>
      </c>
      <c r="B37" s="558" t="s">
        <v>609</v>
      </c>
      <c r="C37" s="559" t="s">
        <v>610</v>
      </c>
      <c r="D37" s="559" t="s">
        <v>465</v>
      </c>
      <c r="E37" s="559"/>
      <c r="F37" s="395" t="s">
        <v>126</v>
      </c>
      <c r="G37" s="559"/>
      <c r="H37" s="560" t="s">
        <v>569</v>
      </c>
      <c r="I37" s="559" t="s">
        <v>610</v>
      </c>
      <c r="J37" s="559" t="s">
        <v>608</v>
      </c>
      <c r="K37" s="559" t="s">
        <v>70</v>
      </c>
      <c r="L37" s="559">
        <v>4</v>
      </c>
      <c r="M37" s="561" t="s">
        <v>215</v>
      </c>
      <c r="N37" s="559" t="s">
        <v>70</v>
      </c>
      <c r="O37" s="559">
        <v>0.67</v>
      </c>
      <c r="P37" s="559" t="s">
        <v>216</v>
      </c>
      <c r="Q37" s="559">
        <v>1</v>
      </c>
      <c r="R37" s="395"/>
      <c r="S37" s="559"/>
    </row>
    <row r="38" spans="1:19" ht="15.75" thickBot="1">
      <c r="A38" s="698" t="s">
        <v>611</v>
      </c>
      <c r="B38" s="178" t="s">
        <v>612</v>
      </c>
      <c r="C38" s="388" t="s">
        <v>613</v>
      </c>
      <c r="D38" s="388" t="s">
        <v>465</v>
      </c>
      <c r="E38" s="388"/>
      <c r="F38" s="371" t="s">
        <v>126</v>
      </c>
      <c r="G38" s="388"/>
      <c r="H38" s="522" t="s">
        <v>587</v>
      </c>
      <c r="I38" s="388" t="s">
        <v>613</v>
      </c>
      <c r="J38" s="431" t="s">
        <v>614</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615</v>
      </c>
      <c r="B39" s="179" t="s">
        <v>616</v>
      </c>
      <c r="C39" s="383" t="s">
        <v>617</v>
      </c>
      <c r="D39" s="383" t="s">
        <v>618</v>
      </c>
      <c r="E39" s="383"/>
      <c r="F39" s="370" t="s">
        <v>127</v>
      </c>
      <c r="G39" s="383"/>
      <c r="H39" s="523" t="s">
        <v>619</v>
      </c>
      <c r="I39" s="383" t="s">
        <v>617</v>
      </c>
      <c r="J39" s="432" t="s">
        <v>615</v>
      </c>
      <c r="K39" s="383" t="s">
        <v>468</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620</v>
      </c>
      <c r="B40" s="91" t="s">
        <v>621</v>
      </c>
      <c r="C40" s="404">
        <v>362</v>
      </c>
      <c r="D40" s="404" t="s">
        <v>465</v>
      </c>
      <c r="E40" s="404"/>
      <c r="F40" s="370" t="s">
        <v>127</v>
      </c>
      <c r="G40" s="404"/>
      <c r="H40" s="521" t="s">
        <v>622</v>
      </c>
      <c r="I40" s="404"/>
      <c r="J40" s="404" t="s">
        <v>620</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623</v>
      </c>
      <c r="B41" s="91" t="s">
        <v>624</v>
      </c>
      <c r="C41" s="404" t="s">
        <v>625</v>
      </c>
      <c r="D41" s="404" t="s">
        <v>618</v>
      </c>
      <c r="E41" s="404"/>
      <c r="F41" s="382" t="s">
        <v>127</v>
      </c>
      <c r="G41" s="404"/>
      <c r="H41" s="521" t="s">
        <v>619</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626</v>
      </c>
      <c r="B42" s="91" t="s">
        <v>627</v>
      </c>
      <c r="C42" s="404" t="s">
        <v>628</v>
      </c>
      <c r="D42" s="404" t="s">
        <v>618</v>
      </c>
      <c r="E42" s="404"/>
      <c r="F42" s="382" t="s">
        <v>127</v>
      </c>
      <c r="G42" s="404"/>
      <c r="H42" s="521" t="s">
        <v>619</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629</v>
      </c>
      <c r="B43" s="91" t="s">
        <v>630</v>
      </c>
      <c r="C43" s="404" t="s">
        <v>631</v>
      </c>
      <c r="D43" s="404" t="s">
        <v>618</v>
      </c>
      <c r="E43" s="404"/>
      <c r="F43" s="382" t="s">
        <v>127</v>
      </c>
      <c r="G43" s="404"/>
      <c r="H43" s="521" t="s">
        <v>619</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632</v>
      </c>
      <c r="B44" s="91" t="s">
        <v>633</v>
      </c>
      <c r="C44" s="404" t="s">
        <v>634</v>
      </c>
      <c r="D44" s="404" t="s">
        <v>618</v>
      </c>
      <c r="E44" s="404"/>
      <c r="F44" s="382" t="s">
        <v>127</v>
      </c>
      <c r="G44" s="404"/>
      <c r="H44" s="521" t="s">
        <v>619</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635</v>
      </c>
      <c r="B45" s="91" t="s">
        <v>636</v>
      </c>
      <c r="C45" s="404" t="s">
        <v>637</v>
      </c>
      <c r="D45" s="404" t="s">
        <v>618</v>
      </c>
      <c r="E45" s="404"/>
      <c r="F45" s="382" t="s">
        <v>127</v>
      </c>
      <c r="G45" s="404"/>
      <c r="H45" s="521" t="s">
        <v>619</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638</v>
      </c>
      <c r="B46" s="91" t="s">
        <v>639</v>
      </c>
      <c r="C46" s="404" t="s">
        <v>640</v>
      </c>
      <c r="D46" s="404" t="s">
        <v>618</v>
      </c>
      <c r="E46" s="404"/>
      <c r="F46" s="382" t="s">
        <v>127</v>
      </c>
      <c r="G46" s="404"/>
      <c r="H46" s="521" t="s">
        <v>619</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641</v>
      </c>
      <c r="B47" s="91" t="s">
        <v>642</v>
      </c>
      <c r="C47" s="404" t="s">
        <v>643</v>
      </c>
      <c r="D47" s="404" t="s">
        <v>618</v>
      </c>
      <c r="E47" s="404"/>
      <c r="F47" s="382" t="s">
        <v>127</v>
      </c>
      <c r="G47" s="404"/>
      <c r="H47" s="521" t="s">
        <v>619</v>
      </c>
      <c r="I47" s="404" t="s">
        <v>644</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645</v>
      </c>
      <c r="B48" s="91" t="s">
        <v>646</v>
      </c>
      <c r="C48" s="404">
        <v>108</v>
      </c>
      <c r="D48" s="404" t="s">
        <v>618</v>
      </c>
      <c r="E48" s="404"/>
      <c r="F48" s="382" t="s">
        <v>127</v>
      </c>
      <c r="G48" s="404"/>
      <c r="H48" s="521" t="s">
        <v>619</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647</v>
      </c>
      <c r="B49" s="178" t="s">
        <v>648</v>
      </c>
      <c r="C49" s="404" t="s">
        <v>649</v>
      </c>
      <c r="D49" s="388" t="s">
        <v>618</v>
      </c>
      <c r="E49" s="388"/>
      <c r="F49" s="371" t="s">
        <v>127</v>
      </c>
      <c r="G49" s="388"/>
      <c r="H49" s="522" t="s">
        <v>619</v>
      </c>
      <c r="I49" s="388" t="s">
        <v>650</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651</v>
      </c>
      <c r="B50" s="179" t="s">
        <v>652</v>
      </c>
      <c r="C50" s="383" t="s">
        <v>653</v>
      </c>
      <c r="D50" s="383" t="s">
        <v>618</v>
      </c>
      <c r="E50" s="383"/>
      <c r="F50" s="370" t="s">
        <v>128</v>
      </c>
      <c r="G50" s="383"/>
      <c r="H50" s="523" t="s">
        <v>654</v>
      </c>
      <c r="I50" s="383"/>
      <c r="J50" s="432" t="s">
        <v>651</v>
      </c>
      <c r="K50" s="383" t="s">
        <v>468</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655</v>
      </c>
      <c r="B51" s="91" t="s">
        <v>656</v>
      </c>
      <c r="C51" s="404" t="s">
        <v>657</v>
      </c>
      <c r="D51" s="404" t="s">
        <v>618</v>
      </c>
      <c r="E51" s="404"/>
      <c r="F51" s="382" t="s">
        <v>128</v>
      </c>
      <c r="G51" s="404"/>
      <c r="H51" s="521" t="s">
        <v>658</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659</v>
      </c>
      <c r="B52" s="91" t="s">
        <v>660</v>
      </c>
      <c r="C52" s="404" t="s">
        <v>661</v>
      </c>
      <c r="D52" s="404" t="s">
        <v>465</v>
      </c>
      <c r="E52" s="404"/>
      <c r="F52" s="382" t="s">
        <v>128</v>
      </c>
      <c r="G52" s="404"/>
      <c r="H52" s="521" t="s">
        <v>658</v>
      </c>
      <c r="I52" s="404" t="s">
        <v>653</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662</v>
      </c>
      <c r="B53" s="91" t="s">
        <v>663</v>
      </c>
      <c r="C53" s="404">
        <v>17</v>
      </c>
      <c r="D53" s="404" t="s">
        <v>465</v>
      </c>
      <c r="E53" s="404"/>
      <c r="F53" s="382" t="s">
        <v>128</v>
      </c>
      <c r="G53" s="404"/>
      <c r="H53" s="521"/>
      <c r="I53" s="404"/>
      <c r="J53" s="404" t="s">
        <v>664</v>
      </c>
      <c r="K53" s="404" t="s">
        <v>216</v>
      </c>
      <c r="L53" s="404">
        <f t="shared" si="8"/>
        <v>2</v>
      </c>
      <c r="M53" s="517" t="str">
        <f t="shared" si="3"/>
        <v>Same distinctiveness or better habitat required ≥</v>
      </c>
      <c r="N53" s="404" t="s">
        <v>216</v>
      </c>
      <c r="O53" s="404">
        <f t="shared" si="5"/>
        <v>1</v>
      </c>
      <c r="P53" s="404" t="s">
        <v>70</v>
      </c>
      <c r="Q53" s="404">
        <f t="shared" si="6"/>
        <v>0.67</v>
      </c>
      <c r="R53" s="382" t="s">
        <v>665</v>
      </c>
      <c r="S53" s="404"/>
    </row>
    <row r="54" spans="1:19">
      <c r="A54" s="698" t="s">
        <v>666</v>
      </c>
      <c r="B54" s="91" t="s">
        <v>667</v>
      </c>
      <c r="C54" s="404">
        <v>16</v>
      </c>
      <c r="D54" s="404" t="s">
        <v>465</v>
      </c>
      <c r="E54" s="404"/>
      <c r="F54" s="382" t="s">
        <v>128</v>
      </c>
      <c r="G54" s="404"/>
      <c r="H54" s="521"/>
      <c r="I54" s="404"/>
      <c r="J54" s="404" t="s">
        <v>664</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668</v>
      </c>
      <c r="B55" s="91" t="s">
        <v>669</v>
      </c>
      <c r="C55" s="404" t="s">
        <v>670</v>
      </c>
      <c r="D55" s="404" t="s">
        <v>465</v>
      </c>
      <c r="E55" s="404" t="s">
        <v>671</v>
      </c>
      <c r="F55" s="382" t="s">
        <v>128</v>
      </c>
      <c r="G55" s="404" t="s">
        <v>672</v>
      </c>
      <c r="H55" s="521" t="s">
        <v>654</v>
      </c>
      <c r="I55" s="404" t="s">
        <v>670</v>
      </c>
      <c r="J55" s="429" t="s">
        <v>668</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673</v>
      </c>
      <c r="B56" s="91" t="s">
        <v>674</v>
      </c>
      <c r="C56" s="404" t="s">
        <v>675</v>
      </c>
      <c r="D56" s="404" t="s">
        <v>465</v>
      </c>
      <c r="E56" s="404"/>
      <c r="F56" s="382" t="s">
        <v>128</v>
      </c>
      <c r="G56" s="404"/>
      <c r="H56" s="521" t="s">
        <v>654</v>
      </c>
      <c r="I56" s="404" t="s">
        <v>675</v>
      </c>
      <c r="J56" s="429" t="s">
        <v>673</v>
      </c>
      <c r="K56" s="404" t="s">
        <v>468</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676</v>
      </c>
      <c r="B57" s="91" t="s">
        <v>677</v>
      </c>
      <c r="C57" s="404" t="s">
        <v>678</v>
      </c>
      <c r="D57" s="404" t="s">
        <v>465</v>
      </c>
      <c r="E57" s="404"/>
      <c r="F57" s="382" t="s">
        <v>128</v>
      </c>
      <c r="G57" s="404" t="s">
        <v>679</v>
      </c>
      <c r="H57" s="521" t="s">
        <v>680</v>
      </c>
      <c r="I57" s="404" t="s">
        <v>678</v>
      </c>
      <c r="J57" s="429" t="s">
        <v>676</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681</v>
      </c>
      <c r="B58" s="178" t="s">
        <v>682</v>
      </c>
      <c r="C58" s="388" t="s">
        <v>683</v>
      </c>
      <c r="D58" s="388" t="s">
        <v>465</v>
      </c>
      <c r="E58" s="388"/>
      <c r="F58" s="371" t="s">
        <v>128</v>
      </c>
      <c r="G58" s="388"/>
      <c r="H58" s="522" t="s">
        <v>654</v>
      </c>
      <c r="I58" s="388" t="s">
        <v>683</v>
      </c>
      <c r="J58" s="388" t="s">
        <v>681</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684</v>
      </c>
      <c r="B59" s="179" t="s">
        <v>685</v>
      </c>
      <c r="C59" s="383">
        <v>910</v>
      </c>
      <c r="D59" s="383" t="s">
        <v>465</v>
      </c>
      <c r="E59" s="383"/>
      <c r="F59" s="370" t="s">
        <v>129</v>
      </c>
      <c r="G59" s="383"/>
      <c r="H59" s="523" t="s">
        <v>622</v>
      </c>
      <c r="I59" s="383"/>
      <c r="J59" s="383" t="s">
        <v>684</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686</v>
      </c>
      <c r="B60" s="91" t="s">
        <v>687</v>
      </c>
      <c r="C60" s="404" t="s">
        <v>688</v>
      </c>
      <c r="D60" s="404" t="s">
        <v>465</v>
      </c>
      <c r="E60" s="404"/>
      <c r="F60" s="382" t="s">
        <v>129</v>
      </c>
      <c r="G60" s="404"/>
      <c r="H60" s="521" t="s">
        <v>622</v>
      </c>
      <c r="I60" s="404" t="s">
        <v>688</v>
      </c>
      <c r="J60" s="404" t="s">
        <v>686</v>
      </c>
      <c r="K60" s="404" t="s">
        <v>487</v>
      </c>
      <c r="L60" s="404">
        <f t="shared" si="8"/>
        <v>0</v>
      </c>
      <c r="M60" s="517" t="str">
        <f t="shared" si="3"/>
        <v>Compensation Not Required</v>
      </c>
      <c r="N60" s="404" t="s">
        <v>216</v>
      </c>
      <c r="O60" s="404">
        <f t="shared" si="5"/>
        <v>1</v>
      </c>
      <c r="P60" s="404" t="s">
        <v>216</v>
      </c>
      <c r="Q60" s="404">
        <f t="shared" si="6"/>
        <v>1</v>
      </c>
      <c r="R60" s="382"/>
      <c r="S60" s="404"/>
    </row>
    <row r="61" spans="1:19">
      <c r="A61" s="698" t="s">
        <v>689</v>
      </c>
      <c r="B61" s="91" t="s">
        <v>690</v>
      </c>
      <c r="C61" s="404">
        <v>1191</v>
      </c>
      <c r="D61" s="404" t="s">
        <v>465</v>
      </c>
      <c r="E61" s="404"/>
      <c r="F61" s="382" t="s">
        <v>129</v>
      </c>
      <c r="G61" s="404"/>
      <c r="H61" s="521" t="s">
        <v>622</v>
      </c>
      <c r="I61" s="404"/>
      <c r="J61" s="404" t="s">
        <v>689</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691</v>
      </c>
      <c r="B62" s="91" t="s">
        <v>692</v>
      </c>
      <c r="C62" s="404" t="s">
        <v>693</v>
      </c>
      <c r="D62" s="404" t="s">
        <v>465</v>
      </c>
      <c r="E62" s="404"/>
      <c r="F62" s="382" t="s">
        <v>129</v>
      </c>
      <c r="G62" s="404"/>
      <c r="H62" s="521" t="s">
        <v>622</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694</v>
      </c>
      <c r="B63" s="91" t="s">
        <v>695</v>
      </c>
      <c r="C63" s="404" t="s">
        <v>696</v>
      </c>
      <c r="D63" s="404" t="s">
        <v>465</v>
      </c>
      <c r="E63" s="404"/>
      <c r="F63" s="382" t="s">
        <v>129</v>
      </c>
      <c r="G63" s="404"/>
      <c r="H63" s="521" t="s">
        <v>622</v>
      </c>
      <c r="I63" s="404" t="s">
        <v>696</v>
      </c>
      <c r="J63" s="404" t="s">
        <v>694</v>
      </c>
      <c r="K63" s="404" t="s">
        <v>487</v>
      </c>
      <c r="L63" s="404">
        <f t="shared" si="8"/>
        <v>0</v>
      </c>
      <c r="M63" s="517" t="str">
        <f t="shared" si="3"/>
        <v>Compensation Not Required</v>
      </c>
      <c r="N63" s="404" t="s">
        <v>216</v>
      </c>
      <c r="O63" s="404">
        <f t="shared" si="5"/>
        <v>1</v>
      </c>
      <c r="P63" s="404" t="s">
        <v>216</v>
      </c>
      <c r="Q63" s="404">
        <f t="shared" si="6"/>
        <v>1</v>
      </c>
      <c r="R63" s="382"/>
      <c r="S63" s="404"/>
    </row>
    <row r="64" spans="1:19">
      <c r="A64" s="698" t="s">
        <v>697</v>
      </c>
      <c r="B64" s="91" t="s">
        <v>698</v>
      </c>
      <c r="C64" s="404">
        <v>800</v>
      </c>
      <c r="D64" s="404" t="s">
        <v>465</v>
      </c>
      <c r="E64" s="404"/>
      <c r="F64" s="382" t="s">
        <v>129</v>
      </c>
      <c r="G64" s="404"/>
      <c r="H64" s="521" t="s">
        <v>622</v>
      </c>
      <c r="I64" s="404"/>
      <c r="J64" s="404" t="s">
        <v>697</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699</v>
      </c>
      <c r="B65" s="91" t="s">
        <v>700</v>
      </c>
      <c r="C65" s="404" t="s">
        <v>701</v>
      </c>
      <c r="D65" s="404" t="s">
        <v>465</v>
      </c>
      <c r="E65" s="404"/>
      <c r="F65" s="382" t="s">
        <v>129</v>
      </c>
      <c r="G65" s="404"/>
      <c r="H65" s="521" t="s">
        <v>622</v>
      </c>
      <c r="I65" s="404" t="s">
        <v>701</v>
      </c>
      <c r="J65" s="404" t="s">
        <v>699</v>
      </c>
      <c r="K65" s="404" t="s">
        <v>487</v>
      </c>
      <c r="L65" s="404">
        <f t="shared" si="8"/>
        <v>0</v>
      </c>
      <c r="M65" s="517" t="str">
        <f t="shared" si="3"/>
        <v>Compensation Not Required</v>
      </c>
      <c r="N65" s="404" t="s">
        <v>216</v>
      </c>
      <c r="O65" s="404">
        <f t="shared" si="5"/>
        <v>1</v>
      </c>
      <c r="P65" s="404" t="s">
        <v>70</v>
      </c>
      <c r="Q65" s="404">
        <f t="shared" si="6"/>
        <v>0.67</v>
      </c>
      <c r="R65" s="382"/>
      <c r="S65" s="404"/>
    </row>
    <row r="66" spans="1:36">
      <c r="A66" s="698" t="s">
        <v>702</v>
      </c>
      <c r="B66" s="91" t="s">
        <v>703</v>
      </c>
      <c r="C66" s="404" t="s">
        <v>704</v>
      </c>
      <c r="D66" s="404" t="s">
        <v>465</v>
      </c>
      <c r="E66" s="404"/>
      <c r="F66" s="382" t="s">
        <v>129</v>
      </c>
      <c r="G66" s="404"/>
      <c r="H66" s="521" t="s">
        <v>622</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705</v>
      </c>
      <c r="B67" s="91" t="s">
        <v>706</v>
      </c>
      <c r="C67" s="404">
        <v>1122</v>
      </c>
      <c r="D67" s="404" t="s">
        <v>465</v>
      </c>
      <c r="E67" s="404"/>
      <c r="F67" s="382" t="s">
        <v>129</v>
      </c>
      <c r="G67" s="404"/>
      <c r="H67" s="521" t="s">
        <v>622</v>
      </c>
      <c r="I67" s="404"/>
      <c r="J67" s="404" t="s">
        <v>707</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708</v>
      </c>
      <c r="B68" s="91" t="s">
        <v>709</v>
      </c>
      <c r="C68" s="404">
        <v>1121</v>
      </c>
      <c r="D68" s="404" t="s">
        <v>465</v>
      </c>
      <c r="E68" s="404"/>
      <c r="F68" s="382" t="s">
        <v>129</v>
      </c>
      <c r="G68" s="404"/>
      <c r="H68" s="521" t="s">
        <v>622</v>
      </c>
      <c r="I68" s="404"/>
      <c r="J68" s="404" t="s">
        <v>708</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710</v>
      </c>
      <c r="B69" s="91" t="s">
        <v>711</v>
      </c>
      <c r="C69" s="404">
        <v>1140</v>
      </c>
      <c r="D69" s="404" t="s">
        <v>465</v>
      </c>
      <c r="E69" s="404"/>
      <c r="F69" s="382" t="s">
        <v>129</v>
      </c>
      <c r="G69" s="404"/>
      <c r="H69" s="521" t="s">
        <v>622</v>
      </c>
      <c r="I69" s="404"/>
      <c r="J69" s="404" t="s">
        <v>710</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712</v>
      </c>
      <c r="B70" s="91" t="s">
        <v>713</v>
      </c>
      <c r="C70" s="404" t="s">
        <v>714</v>
      </c>
      <c r="D70" s="404" t="s">
        <v>465</v>
      </c>
      <c r="E70" s="404"/>
      <c r="F70" s="382" t="s">
        <v>129</v>
      </c>
      <c r="G70" s="404"/>
      <c r="H70" s="521" t="s">
        <v>622</v>
      </c>
      <c r="I70" s="404"/>
      <c r="J70" s="404" t="s">
        <v>691</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715</v>
      </c>
      <c r="B71" s="91" t="s">
        <v>716</v>
      </c>
      <c r="C71" s="404">
        <v>1160</v>
      </c>
      <c r="D71" s="404" t="s">
        <v>465</v>
      </c>
      <c r="E71" s="404"/>
      <c r="F71" s="382" t="s">
        <v>129</v>
      </c>
      <c r="G71" s="404"/>
      <c r="H71" s="521" t="s">
        <v>622</v>
      </c>
      <c r="I71" s="404"/>
      <c r="J71" s="404" t="s">
        <v>715</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717</v>
      </c>
      <c r="B72" s="91" t="s">
        <v>718</v>
      </c>
      <c r="C72" s="404" t="s">
        <v>719</v>
      </c>
      <c r="D72" s="404" t="s">
        <v>465</v>
      </c>
      <c r="E72" s="404" t="s">
        <v>720</v>
      </c>
      <c r="F72" s="382" t="s">
        <v>129</v>
      </c>
      <c r="G72" s="404" t="s">
        <v>721</v>
      </c>
      <c r="H72" s="521" t="s">
        <v>622</v>
      </c>
      <c r="I72" s="404" t="s">
        <v>719</v>
      </c>
      <c r="J72" s="429" t="s">
        <v>722</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723</v>
      </c>
      <c r="B73" s="91" t="s">
        <v>724</v>
      </c>
      <c r="C73" s="404">
        <v>1192</v>
      </c>
      <c r="D73" s="404" t="s">
        <v>465</v>
      </c>
      <c r="E73" s="404"/>
      <c r="F73" s="382" t="s">
        <v>129</v>
      </c>
      <c r="G73" s="404"/>
      <c r="H73" s="521" t="s">
        <v>622</v>
      </c>
      <c r="I73" s="404"/>
      <c r="J73" s="404" t="s">
        <v>723</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725</v>
      </c>
      <c r="B74" s="91" t="s">
        <v>726</v>
      </c>
      <c r="C74" s="404">
        <v>1030</v>
      </c>
      <c r="D74" s="404" t="s">
        <v>465</v>
      </c>
      <c r="E74" s="404"/>
      <c r="F74" s="382" t="s">
        <v>129</v>
      </c>
      <c r="G74" s="404"/>
      <c r="H74" s="521" t="s">
        <v>622</v>
      </c>
      <c r="I74" s="404"/>
      <c r="J74" s="404" t="s">
        <v>727</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728</v>
      </c>
      <c r="B75" s="91" t="s">
        <v>729</v>
      </c>
      <c r="C75" s="404">
        <v>1190</v>
      </c>
      <c r="D75" s="404" t="s">
        <v>465</v>
      </c>
      <c r="E75" s="404"/>
      <c r="F75" s="382" t="s">
        <v>129</v>
      </c>
      <c r="G75" s="404"/>
      <c r="H75" s="521" t="s">
        <v>622</v>
      </c>
      <c r="I75" s="404"/>
      <c r="J75" s="404" t="s">
        <v>730</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731</v>
      </c>
      <c r="B76" s="91" t="s">
        <v>732</v>
      </c>
      <c r="C76" s="404">
        <v>232</v>
      </c>
      <c r="D76" s="404" t="s">
        <v>465</v>
      </c>
      <c r="E76" s="404"/>
      <c r="F76" s="382" t="s">
        <v>129</v>
      </c>
      <c r="G76" s="404"/>
      <c r="H76" s="521" t="s">
        <v>622</v>
      </c>
      <c r="I76" s="404"/>
      <c r="J76" s="404" t="s">
        <v>733</v>
      </c>
      <c r="K76" s="404" t="s">
        <v>487</v>
      </c>
      <c r="L76" s="404">
        <f t="shared" si="8"/>
        <v>0</v>
      </c>
      <c r="M76" s="517" t="str">
        <f t="shared" si="11"/>
        <v>Compensation Not Required</v>
      </c>
      <c r="N76" s="404" t="s">
        <v>216</v>
      </c>
      <c r="O76" s="404">
        <f t="shared" si="9"/>
        <v>1</v>
      </c>
      <c r="P76" s="404" t="s">
        <v>216</v>
      </c>
      <c r="Q76" s="404">
        <f t="shared" si="10"/>
        <v>1</v>
      </c>
      <c r="R76" s="382"/>
      <c r="S76" s="404"/>
    </row>
    <row r="77" spans="1:36" ht="30">
      <c r="A77" s="698" t="s">
        <v>734</v>
      </c>
      <c r="B77" s="91" t="s">
        <v>735</v>
      </c>
      <c r="C77" s="404">
        <v>350</v>
      </c>
      <c r="D77" s="404" t="s">
        <v>465</v>
      </c>
      <c r="E77" s="404"/>
      <c r="F77" s="382" t="s">
        <v>129</v>
      </c>
      <c r="G77" s="404"/>
      <c r="H77" s="521" t="s">
        <v>622</v>
      </c>
      <c r="I77" s="404"/>
      <c r="J77" s="404" t="s">
        <v>734</v>
      </c>
      <c r="K77" s="404" t="s">
        <v>216</v>
      </c>
      <c r="L77" s="404">
        <f t="shared" si="8"/>
        <v>2</v>
      </c>
      <c r="M77" s="517" t="str">
        <f t="shared" si="11"/>
        <v>Same distinctiveness or better habitat required ≥</v>
      </c>
      <c r="N77" s="404" t="s">
        <v>216</v>
      </c>
      <c r="O77" s="404">
        <f t="shared" si="9"/>
        <v>1</v>
      </c>
      <c r="P77" s="404" t="s">
        <v>216</v>
      </c>
      <c r="Q77" s="404">
        <f t="shared" si="10"/>
        <v>1</v>
      </c>
      <c r="R77" s="382" t="s">
        <v>736</v>
      </c>
      <c r="S77" s="404"/>
    </row>
    <row r="78" spans="1:36" ht="30">
      <c r="A78" s="698" t="s">
        <v>737</v>
      </c>
      <c r="B78" s="558" t="s">
        <v>738</v>
      </c>
      <c r="C78" s="559" t="s">
        <v>739</v>
      </c>
      <c r="D78" s="559" t="s">
        <v>465</v>
      </c>
      <c r="E78" s="559"/>
      <c r="F78" s="395" t="s">
        <v>129</v>
      </c>
      <c r="G78" s="559"/>
      <c r="H78" s="560" t="s">
        <v>622</v>
      </c>
      <c r="I78" s="559"/>
      <c r="J78" s="559" t="s">
        <v>737</v>
      </c>
      <c r="K78" s="559" t="s">
        <v>216</v>
      </c>
      <c r="L78" s="559">
        <f t="shared" si="8"/>
        <v>2</v>
      </c>
      <c r="M78" s="561" t="str">
        <f t="shared" si="11"/>
        <v>Same distinctiveness or better habitat required ≥</v>
      </c>
      <c r="N78" s="559" t="s">
        <v>216</v>
      </c>
      <c r="O78" s="559">
        <v>1</v>
      </c>
      <c r="P78" s="559" t="s">
        <v>216</v>
      </c>
      <c r="Q78" s="559">
        <v>1</v>
      </c>
      <c r="R78" s="382" t="s">
        <v>736</v>
      </c>
      <c r="S78" s="559"/>
    </row>
    <row r="79" spans="1:36" ht="15.75" thickBot="1">
      <c r="A79" s="699" t="s">
        <v>740</v>
      </c>
      <c r="B79" s="558" t="s">
        <v>741</v>
      </c>
      <c r="C79" s="559">
        <v>231</v>
      </c>
      <c r="D79" s="559" t="s">
        <v>465</v>
      </c>
      <c r="E79" s="559"/>
      <c r="F79" s="395" t="s">
        <v>129</v>
      </c>
      <c r="G79" s="559"/>
      <c r="H79" s="560" t="s">
        <v>622</v>
      </c>
      <c r="I79" s="559"/>
      <c r="J79" s="559" t="s">
        <v>740</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742</v>
      </c>
      <c r="B80" s="590" t="s">
        <v>743</v>
      </c>
      <c r="C80" s="404" t="s">
        <v>744</v>
      </c>
      <c r="D80" s="404" t="s">
        <v>465</v>
      </c>
      <c r="E80" s="404"/>
      <c r="F80" s="382" t="s">
        <v>138</v>
      </c>
      <c r="G80" s="404"/>
      <c r="H80" s="521" t="s">
        <v>622</v>
      </c>
      <c r="I80" s="404"/>
      <c r="J80" s="404" t="s">
        <v>745</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746</v>
      </c>
      <c r="B81" s="181" t="s">
        <v>747</v>
      </c>
      <c r="C81" s="404" t="s">
        <v>748</v>
      </c>
      <c r="D81" s="404" t="s">
        <v>465</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749</v>
      </c>
      <c r="B82" s="179" t="s">
        <v>750</v>
      </c>
      <c r="C82" s="383" t="s">
        <v>751</v>
      </c>
      <c r="D82" s="383" t="s">
        <v>465</v>
      </c>
      <c r="E82" s="383"/>
      <c r="F82" s="370" t="s">
        <v>130</v>
      </c>
      <c r="G82" s="383"/>
      <c r="H82" s="523" t="s">
        <v>752</v>
      </c>
      <c r="I82" s="383" t="s">
        <v>751</v>
      </c>
      <c r="J82" s="432" t="s">
        <v>749</v>
      </c>
      <c r="K82" s="383" t="s">
        <v>468</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753</v>
      </c>
      <c r="B83" s="91" t="s">
        <v>754</v>
      </c>
      <c r="C83" s="404">
        <v>24</v>
      </c>
      <c r="D83" s="404" t="s">
        <v>465</v>
      </c>
      <c r="E83" s="404" t="s">
        <v>755</v>
      </c>
      <c r="F83" s="382" t="s">
        <v>130</v>
      </c>
      <c r="G83" s="404" t="s">
        <v>756</v>
      </c>
      <c r="H83" s="521" t="s">
        <v>752</v>
      </c>
      <c r="I83" s="404"/>
      <c r="J83" s="433" t="s">
        <v>757</v>
      </c>
      <c r="K83" s="404" t="s">
        <v>468</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758</v>
      </c>
      <c r="B84" s="91" t="s">
        <v>759</v>
      </c>
      <c r="C84" s="404" t="s">
        <v>760</v>
      </c>
      <c r="D84" s="404" t="s">
        <v>465</v>
      </c>
      <c r="E84" s="404"/>
      <c r="F84" s="382" t="s">
        <v>130</v>
      </c>
      <c r="G84" s="404" t="s">
        <v>761</v>
      </c>
      <c r="H84" s="521" t="s">
        <v>762</v>
      </c>
      <c r="I84" s="404" t="s">
        <v>760</v>
      </c>
      <c r="J84" s="429" t="s">
        <v>763</v>
      </c>
      <c r="K84" s="404" t="s">
        <v>468</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764</v>
      </c>
      <c r="B85" s="91" t="s">
        <v>765</v>
      </c>
      <c r="C85" s="404" t="s">
        <v>766</v>
      </c>
      <c r="D85" s="404" t="s">
        <v>465</v>
      </c>
      <c r="E85" s="404"/>
      <c r="F85" s="382" t="s">
        <v>130</v>
      </c>
      <c r="G85" s="404"/>
      <c r="H85" s="521" t="s">
        <v>752</v>
      </c>
      <c r="I85" s="404" t="s">
        <v>766</v>
      </c>
      <c r="J85" s="429" t="s">
        <v>764</v>
      </c>
      <c r="K85" s="404" t="s">
        <v>468</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767</v>
      </c>
      <c r="B86" s="91" t="s">
        <v>768</v>
      </c>
      <c r="C86" s="404" t="s">
        <v>769</v>
      </c>
      <c r="D86" s="404" t="s">
        <v>465</v>
      </c>
      <c r="E86" s="404"/>
      <c r="F86" s="382" t="s">
        <v>130</v>
      </c>
      <c r="G86" s="404"/>
      <c r="H86" s="521" t="s">
        <v>762</v>
      </c>
      <c r="I86" s="404" t="s">
        <v>770</v>
      </c>
      <c r="J86" s="404" t="s">
        <v>771</v>
      </c>
      <c r="K86" s="404" t="s">
        <v>468</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772</v>
      </c>
      <c r="B87" s="91" t="s">
        <v>773</v>
      </c>
      <c r="C87" s="404" t="s">
        <v>774</v>
      </c>
      <c r="D87" s="404" t="s">
        <v>465</v>
      </c>
      <c r="E87" s="404"/>
      <c r="F87" s="382" t="s">
        <v>130</v>
      </c>
      <c r="G87" s="404"/>
      <c r="H87" s="521" t="s">
        <v>762</v>
      </c>
      <c r="I87" s="404" t="s">
        <v>774</v>
      </c>
      <c r="J87" s="429" t="s">
        <v>772</v>
      </c>
      <c r="K87" s="404" t="s">
        <v>468</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775</v>
      </c>
      <c r="B88" s="91" t="s">
        <v>776</v>
      </c>
      <c r="C88" s="404" t="s">
        <v>777</v>
      </c>
      <c r="D88" s="404" t="s">
        <v>465</v>
      </c>
      <c r="E88" s="404"/>
      <c r="F88" s="382" t="s">
        <v>130</v>
      </c>
      <c r="G88" s="404"/>
      <c r="H88" s="521" t="s">
        <v>762</v>
      </c>
      <c r="I88" s="404" t="s">
        <v>777</v>
      </c>
      <c r="J88" s="429" t="s">
        <v>775</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778</v>
      </c>
      <c r="B89" s="178" t="s">
        <v>779</v>
      </c>
      <c r="C89" s="388" t="s">
        <v>780</v>
      </c>
      <c r="D89" s="388" t="s">
        <v>465</v>
      </c>
      <c r="E89" s="388"/>
      <c r="F89" s="371" t="s">
        <v>130</v>
      </c>
      <c r="G89" s="388"/>
      <c r="H89" s="522" t="s">
        <v>762</v>
      </c>
      <c r="I89" s="388"/>
      <c r="J89" s="434" t="s">
        <v>779</v>
      </c>
      <c r="K89" s="388" t="s">
        <v>468</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781</v>
      </c>
      <c r="B90" s="179" t="s">
        <v>782</v>
      </c>
      <c r="C90" s="383">
        <v>53</v>
      </c>
      <c r="D90" s="383" t="s">
        <v>465</v>
      </c>
      <c r="E90" s="383"/>
      <c r="F90" s="370" t="s">
        <v>131</v>
      </c>
      <c r="G90" s="383"/>
      <c r="H90" s="523" t="s">
        <v>783</v>
      </c>
      <c r="I90" s="383"/>
      <c r="J90" s="383" t="s">
        <v>781</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784</v>
      </c>
      <c r="B91" s="91" t="s">
        <v>785</v>
      </c>
      <c r="C91" s="404" t="s">
        <v>786</v>
      </c>
      <c r="D91" s="404" t="s">
        <v>465</v>
      </c>
      <c r="E91" s="404"/>
      <c r="F91" s="382" t="s">
        <v>131</v>
      </c>
      <c r="G91" s="404"/>
      <c r="H91" s="521" t="s">
        <v>787</v>
      </c>
      <c r="I91" s="404" t="s">
        <v>786</v>
      </c>
      <c r="J91" s="429" t="s">
        <v>784</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788</v>
      </c>
      <c r="B92" s="91" t="s">
        <v>789</v>
      </c>
      <c r="C92" s="404" t="s">
        <v>790</v>
      </c>
      <c r="D92" s="404" t="s">
        <v>465</v>
      </c>
      <c r="E92" s="404"/>
      <c r="F92" s="382" t="s">
        <v>131</v>
      </c>
      <c r="G92" s="404"/>
      <c r="H92" s="521" t="s">
        <v>787</v>
      </c>
      <c r="I92" s="404" t="s">
        <v>790</v>
      </c>
      <c r="J92" s="429" t="s">
        <v>788</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791</v>
      </c>
      <c r="B93" s="91" t="s">
        <v>792</v>
      </c>
      <c r="C93" s="404" t="s">
        <v>793</v>
      </c>
      <c r="D93" s="404" t="s">
        <v>465</v>
      </c>
      <c r="E93" s="404"/>
      <c r="F93" s="382" t="s">
        <v>131</v>
      </c>
      <c r="G93" s="404" t="s">
        <v>794</v>
      </c>
      <c r="H93" s="521" t="s">
        <v>795</v>
      </c>
      <c r="I93" s="404" t="s">
        <v>793</v>
      </c>
      <c r="J93" s="429" t="s">
        <v>791</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796</v>
      </c>
      <c r="B94" s="91" t="s">
        <v>797</v>
      </c>
      <c r="C94" s="404" t="s">
        <v>798</v>
      </c>
      <c r="D94" s="404" t="s">
        <v>465</v>
      </c>
      <c r="E94" s="404"/>
      <c r="F94" s="382" t="s">
        <v>131</v>
      </c>
      <c r="G94" s="404"/>
      <c r="H94" s="521" t="s">
        <v>795</v>
      </c>
      <c r="I94" s="404" t="s">
        <v>798</v>
      </c>
      <c r="J94" s="404" t="s">
        <v>796</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799</v>
      </c>
      <c r="B95" s="91" t="s">
        <v>800</v>
      </c>
      <c r="C95" s="404" t="s">
        <v>801</v>
      </c>
      <c r="D95" s="404" t="s">
        <v>465</v>
      </c>
      <c r="E95" s="404"/>
      <c r="F95" s="382" t="s">
        <v>131</v>
      </c>
      <c r="G95" s="404"/>
      <c r="H95" s="521" t="s">
        <v>795</v>
      </c>
      <c r="I95" s="404" t="s">
        <v>801</v>
      </c>
      <c r="J95" s="404" t="s">
        <v>802</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803</v>
      </c>
      <c r="B96" s="91" t="s">
        <v>804</v>
      </c>
      <c r="C96" s="404" t="s">
        <v>805</v>
      </c>
      <c r="D96" s="404" t="s">
        <v>465</v>
      </c>
      <c r="E96" s="404"/>
      <c r="F96" s="382" t="s">
        <v>131</v>
      </c>
      <c r="G96" s="404"/>
      <c r="H96" s="521" t="s">
        <v>787</v>
      </c>
      <c r="I96" s="404" t="s">
        <v>805</v>
      </c>
      <c r="J96" s="404" t="s">
        <v>803</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806</v>
      </c>
      <c r="B97" s="91" t="s">
        <v>807</v>
      </c>
      <c r="C97" s="404" t="s">
        <v>808</v>
      </c>
      <c r="D97" s="404" t="s">
        <v>465</v>
      </c>
      <c r="E97" s="404"/>
      <c r="F97" s="382" t="s">
        <v>131</v>
      </c>
      <c r="G97" s="404"/>
      <c r="H97" s="521" t="s">
        <v>787</v>
      </c>
      <c r="I97" s="404" t="s">
        <v>808</v>
      </c>
      <c r="J97" s="404" t="s">
        <v>806</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809</v>
      </c>
      <c r="B98" s="91" t="s">
        <v>810</v>
      </c>
      <c r="C98" s="404" t="s">
        <v>811</v>
      </c>
      <c r="D98" s="404" t="s">
        <v>465</v>
      </c>
      <c r="E98" s="404"/>
      <c r="F98" s="382" t="s">
        <v>131</v>
      </c>
      <c r="G98" s="404"/>
      <c r="H98" s="521" t="s">
        <v>787</v>
      </c>
      <c r="I98" s="404" t="s">
        <v>811</v>
      </c>
      <c r="J98" s="429" t="s">
        <v>809</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812</v>
      </c>
      <c r="B99" s="91" t="s">
        <v>813</v>
      </c>
      <c r="C99" s="404" t="s">
        <v>814</v>
      </c>
      <c r="D99" s="404" t="s">
        <v>465</v>
      </c>
      <c r="E99" s="404"/>
      <c r="F99" s="382" t="s">
        <v>131</v>
      </c>
      <c r="G99" s="404"/>
      <c r="H99" s="521" t="s">
        <v>787</v>
      </c>
      <c r="I99" s="404" t="s">
        <v>814</v>
      </c>
      <c r="J99" s="429" t="s">
        <v>812</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815</v>
      </c>
      <c r="B100" s="91" t="s">
        <v>816</v>
      </c>
      <c r="C100" s="404" t="s">
        <v>817</v>
      </c>
      <c r="D100" s="404" t="s">
        <v>465</v>
      </c>
      <c r="E100" s="404" t="s">
        <v>818</v>
      </c>
      <c r="F100" s="382" t="s">
        <v>131</v>
      </c>
      <c r="G100" s="404" t="s">
        <v>819</v>
      </c>
      <c r="H100" s="521" t="s">
        <v>787</v>
      </c>
      <c r="I100" s="404" t="s">
        <v>817</v>
      </c>
      <c r="J100" s="429" t="s">
        <v>815</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820</v>
      </c>
      <c r="B101" s="91" t="s">
        <v>821</v>
      </c>
      <c r="C101" s="404" t="s">
        <v>822</v>
      </c>
      <c r="D101" s="404" t="s">
        <v>465</v>
      </c>
      <c r="E101" s="404"/>
      <c r="F101" s="382" t="s">
        <v>131</v>
      </c>
      <c r="G101" s="404"/>
      <c r="H101" s="521" t="s">
        <v>787</v>
      </c>
      <c r="I101" s="404" t="s">
        <v>822</v>
      </c>
      <c r="J101" s="429" t="s">
        <v>820</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823</v>
      </c>
      <c r="B102" s="178" t="s">
        <v>824</v>
      </c>
      <c r="C102" s="388">
        <v>20</v>
      </c>
      <c r="D102" s="388" t="s">
        <v>465</v>
      </c>
      <c r="E102" s="388"/>
      <c r="F102" s="371" t="s">
        <v>131</v>
      </c>
      <c r="G102" s="388"/>
      <c r="H102" s="522" t="s">
        <v>783</v>
      </c>
      <c r="I102" s="388"/>
      <c r="J102" s="388" t="s">
        <v>823</v>
      </c>
      <c r="K102" s="388" t="s">
        <v>468</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825</v>
      </c>
      <c r="C103" s="435" t="s">
        <v>826</v>
      </c>
      <c r="D103" s="435" t="s">
        <v>827</v>
      </c>
      <c r="E103" s="435" t="s">
        <v>828</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829</v>
      </c>
      <c r="B104" s="179" t="s">
        <v>830</v>
      </c>
      <c r="C104" s="383" t="s">
        <v>831</v>
      </c>
      <c r="D104" s="383" t="s">
        <v>827</v>
      </c>
      <c r="E104" s="383" t="s">
        <v>832</v>
      </c>
      <c r="F104" s="383" t="s">
        <v>134</v>
      </c>
      <c r="G104" s="383"/>
      <c r="H104" s="519" t="s">
        <v>829</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833</v>
      </c>
      <c r="B105" s="91" t="s">
        <v>834</v>
      </c>
      <c r="C105" s="383" t="s">
        <v>835</v>
      </c>
      <c r="D105" s="404" t="s">
        <v>827</v>
      </c>
      <c r="E105" s="404" t="s">
        <v>832</v>
      </c>
      <c r="F105" s="404" t="s">
        <v>134</v>
      </c>
      <c r="G105" s="404"/>
      <c r="H105" s="517" t="s">
        <v>836</v>
      </c>
      <c r="I105" s="404"/>
      <c r="J105" s="404"/>
      <c r="K105" s="404" t="s">
        <v>468</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837</v>
      </c>
      <c r="B106" s="91" t="s">
        <v>838</v>
      </c>
      <c r="C106" s="404" t="s">
        <v>839</v>
      </c>
      <c r="D106" s="404" t="s">
        <v>827</v>
      </c>
      <c r="E106" s="404" t="s">
        <v>832</v>
      </c>
      <c r="F106" s="404" t="s">
        <v>134</v>
      </c>
      <c r="G106" s="404"/>
      <c r="H106" s="517" t="s">
        <v>837</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840</v>
      </c>
      <c r="B107" s="91" t="s">
        <v>841</v>
      </c>
      <c r="C107" s="404" t="s">
        <v>842</v>
      </c>
      <c r="D107" s="404" t="s">
        <v>827</v>
      </c>
      <c r="E107" s="404" t="s">
        <v>832</v>
      </c>
      <c r="F107" s="404" t="s">
        <v>134</v>
      </c>
      <c r="G107" s="404"/>
      <c r="H107" s="517" t="s">
        <v>843</v>
      </c>
      <c r="I107" s="404"/>
      <c r="J107" s="404"/>
      <c r="K107" s="404" t="s">
        <v>468</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844</v>
      </c>
      <c r="B108" s="91" t="s">
        <v>845</v>
      </c>
      <c r="C108" s="404" t="s">
        <v>846</v>
      </c>
      <c r="D108" s="404" t="s">
        <v>827</v>
      </c>
      <c r="E108" s="404" t="s">
        <v>832</v>
      </c>
      <c r="F108" s="404" t="s">
        <v>134</v>
      </c>
      <c r="G108" s="404"/>
      <c r="H108" s="517" t="s">
        <v>844</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847</v>
      </c>
      <c r="B109" s="91" t="s">
        <v>848</v>
      </c>
      <c r="C109" s="404" t="s">
        <v>849</v>
      </c>
      <c r="D109" s="404" t="s">
        <v>827</v>
      </c>
      <c r="E109" s="404" t="s">
        <v>832</v>
      </c>
      <c r="F109" s="404" t="s">
        <v>134</v>
      </c>
      <c r="G109" s="404"/>
      <c r="H109" s="517" t="s">
        <v>850</v>
      </c>
      <c r="I109" s="404"/>
      <c r="J109" s="404"/>
      <c r="K109" s="404" t="s">
        <v>468</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851</v>
      </c>
      <c r="B110" s="91" t="s">
        <v>852</v>
      </c>
      <c r="C110" s="404" t="s">
        <v>853</v>
      </c>
      <c r="D110" s="404" t="s">
        <v>827</v>
      </c>
      <c r="E110" s="404" t="s">
        <v>832</v>
      </c>
      <c r="F110" s="404" t="s">
        <v>134</v>
      </c>
      <c r="G110" s="404"/>
      <c r="H110" s="517" t="s">
        <v>851</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854</v>
      </c>
      <c r="B111" s="178" t="s">
        <v>855</v>
      </c>
      <c r="C111" s="388" t="s">
        <v>856</v>
      </c>
      <c r="D111" s="388" t="s">
        <v>827</v>
      </c>
      <c r="E111" s="388" t="s">
        <v>832</v>
      </c>
      <c r="F111" s="388" t="s">
        <v>134</v>
      </c>
      <c r="G111" s="388"/>
      <c r="H111" s="518" t="s">
        <v>857</v>
      </c>
      <c r="I111" s="388"/>
      <c r="J111" s="388"/>
      <c r="K111" s="388" t="s">
        <v>468</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858</v>
      </c>
      <c r="B112" s="179" t="s">
        <v>859</v>
      </c>
      <c r="C112" s="383" t="s">
        <v>860</v>
      </c>
      <c r="D112" s="383" t="s">
        <v>827</v>
      </c>
      <c r="E112" s="383" t="s">
        <v>861</v>
      </c>
      <c r="F112" s="383" t="s">
        <v>133</v>
      </c>
      <c r="G112" s="383"/>
      <c r="H112" s="519" t="s">
        <v>862</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863</v>
      </c>
      <c r="B113" s="178" t="s">
        <v>864</v>
      </c>
      <c r="C113" s="388" t="s">
        <v>865</v>
      </c>
      <c r="D113" s="388"/>
      <c r="E113" s="388"/>
      <c r="F113" s="388" t="s">
        <v>133</v>
      </c>
      <c r="G113" s="388"/>
      <c r="H113" s="518" t="s">
        <v>863</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866</v>
      </c>
      <c r="B114" s="179" t="s">
        <v>867</v>
      </c>
      <c r="C114" s="383" t="s">
        <v>868</v>
      </c>
      <c r="D114" s="383" t="s">
        <v>827</v>
      </c>
      <c r="E114" s="383" t="s">
        <v>861</v>
      </c>
      <c r="F114" s="383" t="s">
        <v>132</v>
      </c>
      <c r="G114" s="383"/>
      <c r="H114" s="519" t="s">
        <v>866</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869</v>
      </c>
      <c r="B115" s="91" t="s">
        <v>870</v>
      </c>
      <c r="C115" s="404" t="s">
        <v>871</v>
      </c>
      <c r="D115" s="404" t="s">
        <v>827</v>
      </c>
      <c r="E115" s="404" t="s">
        <v>861</v>
      </c>
      <c r="F115" s="404" t="s">
        <v>132</v>
      </c>
      <c r="G115" s="404"/>
      <c r="H115" s="517" t="s">
        <v>869</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872</v>
      </c>
      <c r="B116" s="91" t="s">
        <v>873</v>
      </c>
      <c r="C116" s="404" t="s">
        <v>874</v>
      </c>
      <c r="D116" s="404" t="s">
        <v>827</v>
      </c>
      <c r="E116" s="404" t="s">
        <v>861</v>
      </c>
      <c r="F116" s="404" t="s">
        <v>132</v>
      </c>
      <c r="G116" s="404"/>
      <c r="H116" s="517" t="s">
        <v>872</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875</v>
      </c>
      <c r="B117" s="91" t="s">
        <v>230</v>
      </c>
      <c r="C117" s="404" t="s">
        <v>876</v>
      </c>
      <c r="D117" s="404" t="s">
        <v>827</v>
      </c>
      <c r="E117" s="404" t="s">
        <v>861</v>
      </c>
      <c r="F117" s="404" t="s">
        <v>132</v>
      </c>
      <c r="G117" s="404"/>
      <c r="H117" s="517" t="s">
        <v>877</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878</v>
      </c>
      <c r="B118" s="91" t="s">
        <v>879</v>
      </c>
      <c r="C118" s="404" t="s">
        <v>880</v>
      </c>
      <c r="D118" s="404" t="s">
        <v>827</v>
      </c>
      <c r="E118" s="404" t="s">
        <v>861</v>
      </c>
      <c r="F118" s="404" t="s">
        <v>132</v>
      </c>
      <c r="G118" s="404"/>
      <c r="H118" s="517" t="s">
        <v>881</v>
      </c>
      <c r="I118" s="404"/>
      <c r="J118" s="404"/>
      <c r="K118" s="404" t="s">
        <v>468</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882</v>
      </c>
      <c r="B119" s="91" t="s">
        <v>883</v>
      </c>
      <c r="C119" s="404" t="s">
        <v>884</v>
      </c>
      <c r="D119" s="404"/>
      <c r="E119" s="404"/>
      <c r="F119" s="404" t="s">
        <v>132</v>
      </c>
      <c r="G119" s="404"/>
      <c r="H119" s="517" t="s">
        <v>885</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886</v>
      </c>
      <c r="B120" s="91" t="s">
        <v>887</v>
      </c>
      <c r="C120" s="404" t="s">
        <v>888</v>
      </c>
      <c r="D120" s="404" t="s">
        <v>827</v>
      </c>
      <c r="E120" s="404" t="s">
        <v>861</v>
      </c>
      <c r="F120" s="404" t="s">
        <v>132</v>
      </c>
      <c r="G120" s="404"/>
      <c r="H120" s="517" t="s">
        <v>886</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889</v>
      </c>
      <c r="B121" s="91" t="s">
        <v>890</v>
      </c>
      <c r="C121" s="404" t="s">
        <v>891</v>
      </c>
      <c r="D121" s="404" t="s">
        <v>827</v>
      </c>
      <c r="E121" s="404" t="s">
        <v>861</v>
      </c>
      <c r="F121" s="404" t="s">
        <v>132</v>
      </c>
      <c r="G121" s="404"/>
      <c r="H121" s="517" t="s">
        <v>889</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892</v>
      </c>
      <c r="B122" s="91" t="s">
        <v>893</v>
      </c>
      <c r="C122" s="404" t="s">
        <v>894</v>
      </c>
      <c r="D122" s="404" t="s">
        <v>827</v>
      </c>
      <c r="E122" s="404" t="s">
        <v>861</v>
      </c>
      <c r="F122" s="404" t="s">
        <v>132</v>
      </c>
      <c r="G122" s="404"/>
      <c r="H122" s="517" t="s">
        <v>892</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895</v>
      </c>
      <c r="B123" s="91" t="s">
        <v>896</v>
      </c>
      <c r="C123" s="404" t="s">
        <v>897</v>
      </c>
      <c r="D123" s="404"/>
      <c r="E123" s="404"/>
      <c r="F123" s="404" t="s">
        <v>132</v>
      </c>
      <c r="G123" s="404"/>
      <c r="H123" s="517" t="s">
        <v>895</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898</v>
      </c>
      <c r="B124" s="91" t="s">
        <v>899</v>
      </c>
      <c r="C124" s="404" t="s">
        <v>900</v>
      </c>
      <c r="D124" s="404"/>
      <c r="E124" s="404"/>
      <c r="F124" s="404" t="s">
        <v>132</v>
      </c>
      <c r="G124" s="404"/>
      <c r="H124" s="517" t="s">
        <v>898</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901</v>
      </c>
      <c r="B125" s="91" t="s">
        <v>902</v>
      </c>
      <c r="C125" s="404" t="s">
        <v>903</v>
      </c>
      <c r="D125" s="404" t="s">
        <v>827</v>
      </c>
      <c r="E125" s="404" t="s">
        <v>861</v>
      </c>
      <c r="F125" s="404" t="s">
        <v>132</v>
      </c>
      <c r="G125" s="404"/>
      <c r="H125" s="517" t="s">
        <v>895</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904</v>
      </c>
      <c r="B126" s="91" t="s">
        <v>905</v>
      </c>
      <c r="C126" s="404" t="s">
        <v>906</v>
      </c>
      <c r="D126" s="404" t="s">
        <v>827</v>
      </c>
      <c r="E126" s="404" t="s">
        <v>861</v>
      </c>
      <c r="F126" s="404" t="s">
        <v>132</v>
      </c>
      <c r="G126" s="404"/>
      <c r="H126" s="517" t="s">
        <v>904</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907</v>
      </c>
      <c r="B127" s="91" t="s">
        <v>908</v>
      </c>
      <c r="C127" s="404" t="s">
        <v>909</v>
      </c>
      <c r="D127" s="404" t="s">
        <v>827</v>
      </c>
      <c r="E127" s="404" t="s">
        <v>861</v>
      </c>
      <c r="F127" s="404" t="s">
        <v>132</v>
      </c>
      <c r="G127" s="404"/>
      <c r="H127" s="517" t="s">
        <v>907</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910</v>
      </c>
      <c r="B128" s="91" t="s">
        <v>911</v>
      </c>
      <c r="C128" s="404" t="s">
        <v>912</v>
      </c>
      <c r="D128" s="404" t="s">
        <v>827</v>
      </c>
      <c r="E128" s="404" t="s">
        <v>861</v>
      </c>
      <c r="F128" s="404" t="s">
        <v>132</v>
      </c>
      <c r="G128" s="404"/>
      <c r="H128" s="517" t="s">
        <v>910</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913</v>
      </c>
      <c r="B129" s="80" t="s">
        <v>914</v>
      </c>
      <c r="C129" s="404" t="s">
        <v>915</v>
      </c>
      <c r="D129" s="404" t="s">
        <v>827</v>
      </c>
      <c r="E129" s="404"/>
      <c r="F129" s="404" t="s">
        <v>132</v>
      </c>
      <c r="G129" s="404"/>
      <c r="H129" s="521" t="s">
        <v>913</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916</v>
      </c>
      <c r="B130" s="181" t="s">
        <v>917</v>
      </c>
      <c r="C130" s="388" t="s">
        <v>918</v>
      </c>
      <c r="D130" s="388" t="s">
        <v>827</v>
      </c>
      <c r="E130" s="388"/>
      <c r="F130" s="388" t="s">
        <v>132</v>
      </c>
      <c r="G130" s="388"/>
      <c r="H130" s="522" t="s">
        <v>916</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919</v>
      </c>
      <c r="B131" s="182" t="s">
        <v>920</v>
      </c>
      <c r="C131" s="383" t="s">
        <v>921</v>
      </c>
      <c r="D131" s="383" t="s">
        <v>827</v>
      </c>
      <c r="E131" s="383"/>
      <c r="F131" s="383" t="s">
        <v>136</v>
      </c>
      <c r="G131" s="383"/>
      <c r="H131" s="523" t="s">
        <v>919</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922</v>
      </c>
      <c r="B132" s="80" t="s">
        <v>923</v>
      </c>
      <c r="C132" s="404" t="s">
        <v>924</v>
      </c>
      <c r="D132" s="404" t="s">
        <v>827</v>
      </c>
      <c r="E132" s="404"/>
      <c r="F132" s="383" t="s">
        <v>136</v>
      </c>
      <c r="G132" s="404"/>
      <c r="H132" s="521" t="s">
        <v>922</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925</v>
      </c>
      <c r="B133" s="565" t="s">
        <v>926</v>
      </c>
      <c r="C133" s="559" t="s">
        <v>927</v>
      </c>
      <c r="D133" s="559" t="s">
        <v>827</v>
      </c>
      <c r="E133" s="559"/>
      <c r="F133" s="566" t="s">
        <v>136</v>
      </c>
      <c r="G133" s="559"/>
      <c r="H133" s="560" t="s">
        <v>928</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929</v>
      </c>
      <c r="C134" s="435" t="s">
        <v>930</v>
      </c>
      <c r="D134" s="436" t="s">
        <v>137</v>
      </c>
      <c r="E134" s="435"/>
      <c r="F134" s="435" t="s">
        <v>137</v>
      </c>
      <c r="G134" s="435"/>
      <c r="H134" s="520" t="s">
        <v>137</v>
      </c>
      <c r="I134" s="435"/>
      <c r="J134" s="435"/>
      <c r="K134" s="435" t="s">
        <v>931</v>
      </c>
      <c r="L134" s="435">
        <f t="shared" si="18"/>
        <v>0</v>
      </c>
      <c r="M134" s="435" t="str">
        <f>IF($K134=$V$3,$X$3,IF($K134=$V$4,$X$4,IF($K134=$V$5,$X$5,IF($K134=$V$6,$X$6,IF($K134=$V$7,$X$7)))))</f>
        <v>Compensation Not Required</v>
      </c>
      <c r="N134" s="435" t="s">
        <v>70</v>
      </c>
      <c r="O134" s="435">
        <f t="shared" si="19"/>
        <v>0.67</v>
      </c>
      <c r="P134" s="435" t="s">
        <v>211</v>
      </c>
      <c r="Q134" s="435">
        <f t="shared" si="20"/>
        <v>0.1</v>
      </c>
      <c r="R134" s="436" t="s">
        <v>932</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shZEho29k7ss6NZfha2GMtIRacfXeO40UW5v+6Pwqw2Vac7Q56kavcT5I3bhY/LG/bgPFYnBmKvZ7Nq1tAX69g==" saltValue="Z6jSWfrMJgzXj0hhxSjN+Q==" spinCount="100000" sheet="1" objects="1" scenarios="1"/>
  <autoFilter ref="B2:S133"/>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BG176"/>
  <sheetViews>
    <sheetView showGridLines="0" zoomScale="80" zoomScaleNormal="80" workbookViewId="0">
      <selection sqref="A1:AF1"/>
    </sheetView>
  </sheetViews>
  <sheetFormatPr defaultColWidth="16.42578125" defaultRowHeight="15"/>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c r="A1" s="1637" t="s">
        <v>933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96"/>
      <c r="AJ1" s="1631" t="s">
        <v>934</v>
      </c>
      <c r="AK1" s="1632"/>
      <c r="AL1" s="1632"/>
      <c r="AM1" s="1632"/>
      <c r="AN1" s="1632"/>
      <c r="AO1" s="1632"/>
      <c r="AP1" s="1633"/>
      <c r="AU1" s="1634" t="s">
        <v>935</v>
      </c>
      <c r="AV1" s="1635"/>
      <c r="AW1" s="1635"/>
      <c r="AX1" s="1635"/>
      <c r="AY1" s="1635"/>
      <c r="AZ1" s="1635"/>
      <c r="BA1" s="1635"/>
      <c r="BB1" s="1635"/>
      <c r="BC1" s="1635"/>
      <c r="BD1" s="1635"/>
      <c r="BE1" s="1635"/>
      <c r="BF1" s="1635"/>
      <c r="BG1" s="1636"/>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c r="A3" s="78" t="s">
        <v>936</v>
      </c>
      <c r="B3" s="78" t="s">
        <v>220</v>
      </c>
      <c r="C3" s="78" t="s">
        <v>270</v>
      </c>
      <c r="D3" s="78" t="s">
        <v>937</v>
      </c>
      <c r="E3" s="78" t="s">
        <v>938</v>
      </c>
      <c r="F3" s="78" t="s">
        <v>939</v>
      </c>
      <c r="G3" s="78" t="s">
        <v>940</v>
      </c>
      <c r="H3" s="78" t="s">
        <v>941</v>
      </c>
      <c r="I3" s="78" t="s">
        <v>942</v>
      </c>
      <c r="J3" s="78" t="s">
        <v>943</v>
      </c>
      <c r="K3" s="78" t="s">
        <v>944</v>
      </c>
      <c r="L3" s="78" t="s">
        <v>945</v>
      </c>
      <c r="M3" s="78" t="s">
        <v>946</v>
      </c>
      <c r="N3" s="78" t="s">
        <v>947</v>
      </c>
      <c r="O3" s="78" t="s">
        <v>948</v>
      </c>
      <c r="P3" s="78" t="s">
        <v>949</v>
      </c>
      <c r="Q3" s="78" t="s">
        <v>950</v>
      </c>
      <c r="R3" s="78" t="s">
        <v>951</v>
      </c>
      <c r="S3" s="78" t="s">
        <v>952</v>
      </c>
      <c r="T3" s="78" t="s">
        <v>953</v>
      </c>
      <c r="U3" s="78" t="s">
        <v>954</v>
      </c>
      <c r="V3" s="78" t="s">
        <v>955</v>
      </c>
      <c r="W3" s="78" t="s">
        <v>956</v>
      </c>
      <c r="X3" s="78" t="s">
        <v>957</v>
      </c>
      <c r="Y3" s="78" t="s">
        <v>958</v>
      </c>
      <c r="Z3" s="78" t="s">
        <v>959</v>
      </c>
      <c r="AA3" s="78" t="s">
        <v>960</v>
      </c>
      <c r="AB3" s="78" t="s">
        <v>961</v>
      </c>
      <c r="AC3" s="78" t="s">
        <v>962</v>
      </c>
      <c r="AD3" s="78" t="s">
        <v>963</v>
      </c>
      <c r="AE3" s="78" t="s">
        <v>964</v>
      </c>
      <c r="AF3" s="78" t="s">
        <v>965</v>
      </c>
      <c r="AJ3" s="537" t="s">
        <v>966</v>
      </c>
      <c r="AK3" s="538" t="s">
        <v>967</v>
      </c>
      <c r="AL3" s="538" t="s">
        <v>968</v>
      </c>
      <c r="AM3" s="538" t="s">
        <v>969</v>
      </c>
      <c r="AN3" s="538" t="s">
        <v>970</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5.1315762194100003</v>
      </c>
      <c r="AL4" s="548">
        <f t="shared" ref="AL4:AL18" si="8">SUMIF($B:$B,$AJ4,F:F)</f>
        <v>10.263152438820001</v>
      </c>
      <c r="AM4" s="548">
        <f t="shared" ref="AM4:AM18" si="9">SUMIF($B:$B,$AJ4,O:O)</f>
        <v>0</v>
      </c>
      <c r="AN4" s="548">
        <f t="shared" ref="AN4:AN18" si="10">SUMIF($B:$B,$AJ4,P:P)</f>
        <v>0</v>
      </c>
      <c r="AO4" s="651">
        <f t="shared" ref="AO4:AO18" si="11">SUMIF($B:$B,$AJ4,Q:Q)</f>
        <v>-5.1315762194100003</v>
      </c>
      <c r="AP4" s="651">
        <f t="shared" ref="AP4:AP18" si="12">SUMIF($B:$B,$AJ4,R:R)</f>
        <v>-10.263152438820001</v>
      </c>
      <c r="AU4" s="94" t="s">
        <v>971</v>
      </c>
      <c r="AV4" s="97" t="s">
        <v>220</v>
      </c>
      <c r="AW4" s="97" t="s">
        <v>972</v>
      </c>
      <c r="AX4" s="97" t="s">
        <v>973</v>
      </c>
      <c r="AY4" s="97" t="s">
        <v>974</v>
      </c>
      <c r="AZ4" s="97" t="s">
        <v>975</v>
      </c>
      <c r="BA4" s="97" t="s">
        <v>976</v>
      </c>
      <c r="BB4" s="97" t="s">
        <v>977</v>
      </c>
      <c r="BC4" s="97" t="s">
        <v>978</v>
      </c>
      <c r="BD4" s="97" t="s">
        <v>979</v>
      </c>
      <c r="BE4" s="97" t="s">
        <v>980</v>
      </c>
      <c r="BF4" s="97" t="s">
        <v>981</v>
      </c>
      <c r="BG4" s="97" t="s">
        <v>982</v>
      </c>
    </row>
    <row r="5" spans="1:59" ht="14.4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31.392354072550006</v>
      </c>
      <c r="AL5" s="549">
        <f t="shared" si="8"/>
        <v>72.293248431614003</v>
      </c>
      <c r="AM5" s="549">
        <f t="shared" si="9"/>
        <v>5.2908018892399999</v>
      </c>
      <c r="AN5" s="549">
        <f t="shared" si="10"/>
        <v>36.603939937565819</v>
      </c>
      <c r="AO5" s="651">
        <f t="shared" si="11"/>
        <v>-26.101552183310005</v>
      </c>
      <c r="AP5" s="651">
        <f t="shared" si="12"/>
        <v>-35.689308494048177</v>
      </c>
      <c r="AU5" s="91" t="s">
        <v>530</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4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0.10080275859</v>
      </c>
      <c r="AL6" s="549">
        <f t="shared" si="8"/>
        <v>0.92738537902799989</v>
      </c>
      <c r="AM6" s="549">
        <f t="shared" si="9"/>
        <v>1.1683930548700001</v>
      </c>
      <c r="AN6" s="549">
        <f t="shared" si="10"/>
        <v>8.0834229100333843</v>
      </c>
      <c r="AO6" s="651">
        <f t="shared" si="11"/>
        <v>1.0675902962800001</v>
      </c>
      <c r="AP6" s="651">
        <f t="shared" si="12"/>
        <v>7.156037531005385</v>
      </c>
      <c r="AU6" s="91" t="s">
        <v>536</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4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0.21312217813999998</v>
      </c>
      <c r="AL7" s="549">
        <f t="shared" si="8"/>
        <v>2.9410860583319995</v>
      </c>
      <c r="AM7" s="549">
        <f t="shared" si="9"/>
        <v>0</v>
      </c>
      <c r="AN7" s="549">
        <f t="shared" si="10"/>
        <v>0</v>
      </c>
      <c r="AO7" s="651">
        <f t="shared" si="11"/>
        <v>-0.21312217813999998</v>
      </c>
      <c r="AP7" s="651">
        <f t="shared" si="12"/>
        <v>-2.9410860583319995</v>
      </c>
      <c r="AU7" s="91" t="s">
        <v>563</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4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5.1315762194100003</v>
      </c>
      <c r="F8" s="346">
        <f>SUMIF('A-1 On-Site Habitat Baseline'!$G$11:$G$258,'G-2 Habitat groups'!A8,'A-1 On-Site Habitat Baseline'!$Q$11:$Q$258)</f>
        <v>10.263152438820001</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5.1315762194100003</v>
      </c>
      <c r="J8" s="346">
        <f>SUMIF('A-1 On-Site Habitat Baseline'!$G$11:$G$258,'G-2 Habitat groups'!A8,'A-1 On-Site Habitat Baseline'!$X$11:$X$258)</f>
        <v>10.263152438820001</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-5.1315762194100003</v>
      </c>
      <c r="R8" s="346">
        <f t="shared" si="3"/>
        <v>-10.263152438820001</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-5.1315762194100003</v>
      </c>
      <c r="AF8" s="346">
        <f t="shared" si="15"/>
        <v>-10.263152438820001</v>
      </c>
      <c r="AJ8" s="83" t="s">
        <v>128</v>
      </c>
      <c r="AK8" s="549">
        <f t="shared" si="7"/>
        <v>2.5625132943</v>
      </c>
      <c r="AL8" s="549">
        <f t="shared" si="8"/>
        <v>13.508406538176001</v>
      </c>
      <c r="AM8" s="549">
        <f t="shared" si="9"/>
        <v>0</v>
      </c>
      <c r="AN8" s="549">
        <f t="shared" si="10"/>
        <v>0</v>
      </c>
      <c r="AO8" s="651">
        <f t="shared" si="11"/>
        <v>-2.5625132943</v>
      </c>
      <c r="AP8" s="651">
        <f t="shared" si="12"/>
        <v>-13.508406538176001</v>
      </c>
      <c r="AU8" s="91" t="s">
        <v>594</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4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0.54068310926999996</v>
      </c>
      <c r="AL9" s="549">
        <f t="shared" si="8"/>
        <v>0</v>
      </c>
      <c r="AM9" s="549">
        <f t="shared" si="9"/>
        <v>28.344977931869995</v>
      </c>
      <c r="AN9" s="549">
        <f t="shared" si="10"/>
        <v>6.5148346363747196</v>
      </c>
      <c r="AO9" s="651">
        <f t="shared" si="11"/>
        <v>27.804294822599996</v>
      </c>
      <c r="AP9" s="651">
        <f t="shared" si="12"/>
        <v>6.5148346363747196</v>
      </c>
      <c r="AU9" s="91" t="s">
        <v>616</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652</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4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0.17618396625999999</v>
      </c>
      <c r="AL11" s="549">
        <f t="shared" si="8"/>
        <v>2.4313387343879995</v>
      </c>
      <c r="AM11" s="549">
        <f t="shared" si="9"/>
        <v>5.3134616154899996</v>
      </c>
      <c r="AN11" s="549">
        <f t="shared" si="10"/>
        <v>16.888723431424467</v>
      </c>
      <c r="AO11" s="651">
        <f t="shared" si="11"/>
        <v>5.1372776492299996</v>
      </c>
      <c r="AP11" s="651">
        <f t="shared" si="12"/>
        <v>14.457384697036465</v>
      </c>
      <c r="AU11" s="91" t="s">
        <v>674</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4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132</v>
      </c>
      <c r="AK12" s="549">
        <f t="shared" si="7"/>
        <v>0</v>
      </c>
      <c r="AL12" s="549">
        <f t="shared" si="8"/>
        <v>0</v>
      </c>
      <c r="AM12" s="549">
        <f t="shared" si="9"/>
        <v>0</v>
      </c>
      <c r="AN12" s="549">
        <f t="shared" si="10"/>
        <v>0</v>
      </c>
      <c r="AO12" s="651">
        <f t="shared" si="11"/>
        <v>0</v>
      </c>
      <c r="AP12" s="651">
        <f t="shared" si="12"/>
        <v>0</v>
      </c>
      <c r="AU12" s="91" t="s">
        <v>750</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4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754</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4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759</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765</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768</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0.4587</v>
      </c>
      <c r="AL17" s="549">
        <f t="shared" si="8"/>
        <v>6.0548400000000013</v>
      </c>
      <c r="AM17" s="549">
        <f t="shared" si="9"/>
        <v>19.811500000000002</v>
      </c>
      <c r="AN17" s="549">
        <f t="shared" si="10"/>
        <v>64.540026747232261</v>
      </c>
      <c r="AO17" s="549">
        <f t="shared" si="11"/>
        <v>19.352800000000002</v>
      </c>
      <c r="AP17" s="549">
        <f t="shared" si="12"/>
        <v>58.485186747232262</v>
      </c>
      <c r="AU17" s="91" t="s">
        <v>773</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779</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824</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31.379189715340004</v>
      </c>
      <c r="F20" s="346">
        <f>SUMIF('A-1 On-Site Habitat Baseline'!$G$11:$G$258,'G-2 Habitat groups'!A20,'A-1 On-Site Habitat Baseline'!$Q$11:$Q$258)</f>
        <v>72.172136345281999</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31.379189715340004</v>
      </c>
      <c r="J20" s="346">
        <f>SUMIF('A-1 On-Site Habitat Baseline'!$G$11:$G$258,'G-2 Habitat groups'!A20,'A-1 On-Site Habitat Baseline'!$X$11:$X$258)</f>
        <v>72.172136345281999</v>
      </c>
      <c r="K20" s="346">
        <f>SUMIF('A-2 On-Site Habitat Creation'!$F$11:$F$256,'G-2 Habitat groups'!A20,'A-2 On-Site Habitat Creation'!$G$11:$G$256)</f>
        <v>0</v>
      </c>
      <c r="L20" s="346">
        <f>SUMIF('A-2 On-Site Habitat Creation'!$F$11:$F$256,'G-2 Habitat groups'!A20,'A-2 On-Site Habitat Creation'!$Y$11:$Y$256)</f>
        <v>0</v>
      </c>
      <c r="M20" s="346">
        <f>SUMIF('A-3 On-Site Habitat Enhancement'!$S$12:$S$257,'G-2 Habitat groups'!A20,'A-3 On-Site Habitat Enhancement'!$V$12:$V$257)</f>
        <v>0</v>
      </c>
      <c r="N20" s="346">
        <f>SUMIF('A-3 On-Site Habitat Enhancement'!$S$12:$S$257,'G-2 Habitat groups'!A20,'A-3 On-Site Habitat Enhancement'!$AN$12:$AN$257)</f>
        <v>0</v>
      </c>
      <c r="O20" s="346">
        <f t="shared" si="0"/>
        <v>0</v>
      </c>
      <c r="P20" s="346">
        <f t="shared" si="1"/>
        <v>0</v>
      </c>
      <c r="Q20" s="346">
        <f t="shared" si="2"/>
        <v>-31.379189715340004</v>
      </c>
      <c r="R20" s="346">
        <f t="shared" si="3"/>
        <v>-72.172136345281999</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-31.379189715340004</v>
      </c>
      <c r="AF20" s="346">
        <f t="shared" si="15"/>
        <v>-72.172136345281999</v>
      </c>
      <c r="AJ20" s="539" t="s">
        <v>983</v>
      </c>
      <c r="AK20" s="539" t="s">
        <v>967</v>
      </c>
      <c r="AL20" s="539" t="s">
        <v>968</v>
      </c>
      <c r="AM20" s="539" t="s">
        <v>984</v>
      </c>
      <c r="AN20" s="539" t="s">
        <v>985</v>
      </c>
      <c r="AO20" s="539" t="s">
        <v>146</v>
      </c>
      <c r="AP20" s="539" t="s">
        <v>986</v>
      </c>
      <c r="AU20" s="91" t="s">
        <v>834</v>
      </c>
      <c r="AV20" s="68" t="s">
        <v>987</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841</v>
      </c>
      <c r="AV21" s="68" t="s">
        <v>987</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1.316435721E-2</v>
      </c>
      <c r="F22" s="346">
        <f>SUMIF('A-1 On-Site Habitat Baseline'!$G$11:$G$258,'G-2 Habitat groups'!A22,'A-1 On-Site Habitat Baseline'!$Q$11:$Q$258)</f>
        <v>0.12111208633199999</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1.316435721E-2</v>
      </c>
      <c r="J22" s="346">
        <f>SUMIF('A-1 On-Site Habitat Baseline'!$G$11:$G$258,'G-2 Habitat groups'!A22,'A-1 On-Site Habitat Baseline'!$X$11:$X$258)</f>
        <v>0.12111208633199999</v>
      </c>
      <c r="K22" s="346">
        <f>SUMIF('A-2 On-Site Habitat Creation'!$F$11:$F$256,'G-2 Habitat groups'!A22,'A-2 On-Site Habitat Creation'!$G$11:$G$256)</f>
        <v>5.2908018892399999</v>
      </c>
      <c r="L22" s="346">
        <f>SUMIF('A-2 On-Site Habitat Creation'!$F$11:$F$256,'G-2 Habitat groups'!A22,'A-2 On-Site Habitat Creation'!$Y$11:$Y$256)</f>
        <v>36.603939937565819</v>
      </c>
      <c r="M22" s="346">
        <f>SUMIF('A-3 On-Site Habitat Enhancement'!$S$12:$S$257,'G-2 Habitat groups'!A22,'A-3 On-Site Habitat Enhancement'!$V$12:$V$257)</f>
        <v>0</v>
      </c>
      <c r="N22" s="346">
        <f>SUMIF('A-3 On-Site Habitat Enhancement'!$S$12:$S$257,'G-2 Habitat groups'!A22,'A-3 On-Site Habitat Enhancement'!$AN$12:$AN$257)</f>
        <v>0</v>
      </c>
      <c r="O22" s="346">
        <f t="shared" si="0"/>
        <v>5.2908018892399999</v>
      </c>
      <c r="P22" s="346">
        <f t="shared" si="1"/>
        <v>36.603939937565819</v>
      </c>
      <c r="Q22" s="346">
        <f t="shared" si="2"/>
        <v>5.27763753203</v>
      </c>
      <c r="R22" s="346">
        <f t="shared" si="3"/>
        <v>36.482827851233822</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5.27763753203</v>
      </c>
      <c r="AF22" s="346">
        <f t="shared" si="15"/>
        <v>36.482827851233822</v>
      </c>
      <c r="AJ22" s="82" t="s">
        <v>125</v>
      </c>
      <c r="AK22" s="549">
        <f t="shared" si="27"/>
        <v>0</v>
      </c>
      <c r="AL22" s="549">
        <f t="shared" si="28"/>
        <v>0</v>
      </c>
      <c r="AM22" s="549">
        <f t="shared" si="29"/>
        <v>0</v>
      </c>
      <c r="AN22" s="549">
        <f t="shared" si="30"/>
        <v>0</v>
      </c>
      <c r="AO22" s="651">
        <f t="shared" si="31"/>
        <v>0</v>
      </c>
      <c r="AP22" s="651">
        <f t="shared" si="32"/>
        <v>0</v>
      </c>
      <c r="AU22" s="91" t="s">
        <v>848</v>
      </c>
      <c r="AV22" s="68" t="s">
        <v>987</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855</v>
      </c>
      <c r="AV23" s="68" t="s">
        <v>987</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879</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0"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0"/>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0.62943768652999998</v>
      </c>
      <c r="L29" s="346">
        <f>SUMIF('A-2 On-Site Habitat Creation'!$F$11:$F$256,'G-2 Habitat groups'!A29,'A-2 On-Site Habitat Creation'!$Y$11:$Y$256)</f>
        <v>4.3547083702077689</v>
      </c>
      <c r="M29" s="346">
        <f>SUMIF('A-3 On-Site Habitat Enhancement'!$S$12:$S$257,'G-2 Habitat groups'!A29,'A-3 On-Site Habitat Enhancement'!$V$12:$V$257)</f>
        <v>0</v>
      </c>
      <c r="N29" s="346">
        <f>SUMIF('A-3 On-Site Habitat Enhancement'!$S$12:$S$257,'G-2 Habitat groups'!A29,'A-3 On-Site Habitat Enhancement'!$AN$12:$AN$257)</f>
        <v>0</v>
      </c>
      <c r="O29" s="346">
        <f t="shared" si="0"/>
        <v>0.62943768652999998</v>
      </c>
      <c r="P29" s="346">
        <f t="shared" si="1"/>
        <v>4.3547083702077689</v>
      </c>
      <c r="Q29" s="346">
        <f t="shared" si="2"/>
        <v>0.62943768652999998</v>
      </c>
      <c r="R29" s="346">
        <f t="shared" si="3"/>
        <v>4.3547083702077689</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0.62943768652999998</v>
      </c>
      <c r="AF29" s="346">
        <f t="shared" si="15"/>
        <v>4.3547083702077689</v>
      </c>
      <c r="AJ29" s="84" t="s">
        <v>132</v>
      </c>
      <c r="AK29" s="549">
        <f t="shared" si="27"/>
        <v>0</v>
      </c>
      <c r="AL29" s="549">
        <f t="shared" si="28"/>
        <v>0</v>
      </c>
      <c r="AM29" s="549">
        <f t="shared" si="29"/>
        <v>0</v>
      </c>
      <c r="AN29" s="549">
        <f t="shared" si="30"/>
        <v>0</v>
      </c>
      <c r="AO29" s="651">
        <f t="shared" si="31"/>
        <v>0</v>
      </c>
      <c r="AP29" s="651">
        <f t="shared" si="32"/>
        <v>0</v>
      </c>
      <c r="AU29" s="94" t="s">
        <v>971</v>
      </c>
      <c r="AV29" s="97" t="s">
        <v>220</v>
      </c>
      <c r="AW29" s="97" t="s">
        <v>972</v>
      </c>
      <c r="AX29" s="97" t="s">
        <v>973</v>
      </c>
      <c r="AY29" s="97" t="s">
        <v>974</v>
      </c>
      <c r="AZ29" s="97" t="s">
        <v>975</v>
      </c>
      <c r="BA29" s="97" t="s">
        <v>976</v>
      </c>
      <c r="BB29" s="97" t="s">
        <v>988</v>
      </c>
      <c r="BC29" s="97" t="s">
        <v>978</v>
      </c>
      <c r="BD29" s="97" t="s">
        <v>979</v>
      </c>
      <c r="BE29" s="97" t="s">
        <v>980</v>
      </c>
      <c r="BF29" s="97" t="s">
        <v>981</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511</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519</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524</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0.10080275859</v>
      </c>
      <c r="F33" s="346">
        <f>SUMIF('A-1 On-Site Habitat Baseline'!$G$11:$G$258,'G-2 Habitat groups'!A33,'A-1 On-Site Habitat Baseline'!$Q$11:$Q$258)</f>
        <v>0.92738537902799989</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0.10080275859</v>
      </c>
      <c r="J33" s="346">
        <f>SUMIF('A-1 On-Site Habitat Baseline'!$G$11:$G$258,'G-2 Habitat groups'!A33,'A-1 On-Site Habitat Baseline'!$X$11:$X$258)</f>
        <v>0.92738537902799989</v>
      </c>
      <c r="K33" s="346">
        <f>SUMIF('A-2 On-Site Habitat Creation'!$F$11:$F$256,'G-2 Habitat groups'!A33,'A-2 On-Site Habitat Creation'!$G$11:$G$256)</f>
        <v>0.53895536834000002</v>
      </c>
      <c r="L33" s="346">
        <f>SUMIF('A-2 On-Site Habitat Creation'!$F$11:$F$256,'G-2 Habitat groups'!A33,'A-2 On-Site Habitat Creation'!$Y$11:$Y$256)</f>
        <v>3.7287145398256158</v>
      </c>
      <c r="M33" s="346">
        <f>SUMIF('A-3 On-Site Habitat Enhancement'!$S$12:$S$257,'G-2 Habitat groups'!A33,'A-3 On-Site Habitat Enhancement'!$V$12:$V$257)</f>
        <v>0</v>
      </c>
      <c r="N33" s="346">
        <f>SUMIF('A-3 On-Site Habitat Enhancement'!$S$12:$S$257,'G-2 Habitat groups'!A33,'A-3 On-Site Habitat Enhancement'!$AN$12:$AN$257)</f>
        <v>0</v>
      </c>
      <c r="O33" s="346">
        <f t="shared" si="0"/>
        <v>0.53895536834000002</v>
      </c>
      <c r="P33" s="346">
        <f t="shared" si="1"/>
        <v>3.7287145398256158</v>
      </c>
      <c r="Q33" s="346">
        <f t="shared" si="2"/>
        <v>0.43815260975000003</v>
      </c>
      <c r="R33" s="346">
        <f t="shared" si="3"/>
        <v>2.8013291607976161</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0.43815260975000003</v>
      </c>
      <c r="AF33" s="346">
        <f t="shared" si="15"/>
        <v>2.8013291607976161</v>
      </c>
      <c r="AJ33" s="84" t="s">
        <v>136</v>
      </c>
      <c r="AK33" s="549">
        <f t="shared" si="27"/>
        <v>0</v>
      </c>
      <c r="AL33" s="549">
        <f t="shared" si="28"/>
        <v>0</v>
      </c>
      <c r="AM33" s="549">
        <f t="shared" si="29"/>
        <v>0</v>
      </c>
      <c r="AN33" s="549">
        <f t="shared" si="30"/>
        <v>0</v>
      </c>
      <c r="AO33" s="651">
        <f t="shared" si="31"/>
        <v>0</v>
      </c>
      <c r="AP33" s="651">
        <f t="shared" si="32"/>
        <v>0</v>
      </c>
      <c r="AU33" s="86" t="s">
        <v>551</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560</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989</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600</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612</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609</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624</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627</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630</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633</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636</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639</v>
      </c>
      <c r="AV44" s="68" t="s">
        <v>127</v>
      </c>
      <c r="AW44" s="358">
        <f t="shared" si="33"/>
        <v>0.21312217813999998</v>
      </c>
      <c r="AX44" s="358">
        <f t="shared" si="34"/>
        <v>2.9410860583319995</v>
      </c>
      <c r="AY44" s="358">
        <f t="shared" si="35"/>
        <v>0</v>
      </c>
      <c r="AZ44" s="358">
        <f t="shared" si="36"/>
        <v>0</v>
      </c>
      <c r="BA44" s="358">
        <f t="shared" si="37"/>
        <v>-0.21312217813999998</v>
      </c>
      <c r="BB44" s="358">
        <f t="shared" si="38"/>
        <v>-2.9410860583319995</v>
      </c>
      <c r="BC44" s="358">
        <f t="shared" si="39"/>
        <v>0</v>
      </c>
      <c r="BD44" s="358">
        <f t="shared" si="40"/>
        <v>0</v>
      </c>
      <c r="BE44" s="358">
        <f t="shared" si="41"/>
        <v>-2.9410860583319995</v>
      </c>
      <c r="BF44" s="358">
        <f t="shared" si="42"/>
        <v>-2.9410860583319995</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648</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656</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0.21312217813999998</v>
      </c>
      <c r="F47" s="346">
        <f>SUMIF('A-1 On-Site Habitat Baseline'!$G$11:$G$258,'G-2 Habitat groups'!A47,'A-1 On-Site Habitat Baseline'!$Q$11:$Q$258)</f>
        <v>2.9410860583319995</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0.21312217813999998</v>
      </c>
      <c r="J47" s="346">
        <f>SUMIF('A-1 On-Site Habitat Baseline'!$G$11:$G$258,'G-2 Habitat groups'!A47,'A-1 On-Site Habitat Baseline'!$X$11:$X$258)</f>
        <v>2.9410860583319995</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-0.21312217813999998</v>
      </c>
      <c r="R47" s="346">
        <f t="shared" si="46"/>
        <v>-2.9410860583319995</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-0.21312217813999998</v>
      </c>
      <c r="AF47" s="346">
        <f t="shared" si="52"/>
        <v>-2.9410860583319995</v>
      </c>
      <c r="AU47" s="86" t="s">
        <v>660</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669</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677</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718</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776</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782</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785</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789</v>
      </c>
      <c r="AV54" s="68" t="s">
        <v>131</v>
      </c>
      <c r="AW54" s="358">
        <f t="shared" si="33"/>
        <v>0.17618396625999999</v>
      </c>
      <c r="AX54" s="358">
        <f t="shared" si="34"/>
        <v>0</v>
      </c>
      <c r="AY54" s="358">
        <f t="shared" si="35"/>
        <v>0.17618396625999999</v>
      </c>
      <c r="AZ54" s="358">
        <f t="shared" si="36"/>
        <v>2.4313387343879995</v>
      </c>
      <c r="BA54" s="358">
        <f t="shared" si="37"/>
        <v>0</v>
      </c>
      <c r="BB54" s="358">
        <f t="shared" si="38"/>
        <v>0</v>
      </c>
      <c r="BC54" s="358">
        <f t="shared" si="39"/>
        <v>0</v>
      </c>
      <c r="BD54" s="358">
        <f t="shared" si="40"/>
        <v>0</v>
      </c>
      <c r="BE54" s="358">
        <f t="shared" si="41"/>
        <v>0</v>
      </c>
      <c r="BF54" s="358" t="str">
        <f t="shared" si="42"/>
        <v/>
      </c>
    </row>
    <row r="55" spans="1:58">
      <c r="A55" s="79" t="s">
        <v>667</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2.5625132943</v>
      </c>
      <c r="F55" s="346">
        <f>SUMIF('A-1 On-Site Habitat Baseline'!$G$11:$G$258,'G-2 Habitat groups'!A55,'A-1 On-Site Habitat Baseline'!$Q$11:$Q$258)</f>
        <v>13.508406538176001</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2.5625132943</v>
      </c>
      <c r="J55" s="346">
        <f>SUMIF('A-1 On-Site Habitat Baseline'!$G$11:$G$258,'G-2 Habitat groups'!A55,'A-1 On-Site Habitat Baseline'!$X$11:$X$258)</f>
        <v>13.508406538176001</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-2.5625132943</v>
      </c>
      <c r="R55" s="346">
        <f t="shared" si="46"/>
        <v>-13.508406538176001</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-2.5625132943</v>
      </c>
      <c r="AF55" s="346">
        <f t="shared" si="52"/>
        <v>-13.508406538176001</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792</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810</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813</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816</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821</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0.54068310926999996</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0.54068310926999996</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-0.54068310926999996</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-0.54068310926999996</v>
      </c>
      <c r="AF61" s="346">
        <f t="shared" si="52"/>
        <v>0</v>
      </c>
      <c r="AU61" s="86" t="s">
        <v>825</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830</v>
      </c>
      <c r="AV62" s="68" t="s">
        <v>987</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838</v>
      </c>
      <c r="AV63" s="68" t="s">
        <v>987</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845</v>
      </c>
      <c r="AV64" s="68" t="s">
        <v>987</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852</v>
      </c>
      <c r="AV65" s="68" t="s">
        <v>987</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v>
      </c>
      <c r="J66" s="346">
        <f>SUMIF('A-1 On-Site Habitat Baseline'!$G$11:$G$258,'G-2 Habitat groups'!A66,'A-1 On-Site Habitat Baseline'!$X$11:$X$258)</f>
        <v>0</v>
      </c>
      <c r="K66" s="346">
        <f>SUMIF('A-2 On-Site Habitat Creation'!$F$11:$F$256,'G-2 Habitat groups'!A66,'A-2 On-Site Habitat Creation'!$G$11:$G$256)</f>
        <v>26.385834864799996</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26.385834864799996</v>
      </c>
      <c r="P66" s="346">
        <f t="shared" si="44"/>
        <v>0</v>
      </c>
      <c r="Q66" s="346">
        <f t="shared" si="45"/>
        <v>26.385834864799996</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26.385834864799996</v>
      </c>
      <c r="AF66" s="346">
        <f t="shared" si="52"/>
        <v>0</v>
      </c>
      <c r="AU66" s="68" t="s">
        <v>870</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873</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859</v>
      </c>
      <c r="AV68" s="68" t="s">
        <v>990</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883</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887</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890</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917</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1.9591430670700001</v>
      </c>
      <c r="L77" s="346">
        <f>SUMIF('A-2 On-Site Habitat Creation'!$F$11:$F$256,'G-2 Habitat groups'!A77,'A-2 On-Site Habitat Creation'!$Y$11:$Y$256)</f>
        <v>6.5148346363747196</v>
      </c>
      <c r="M77" s="346">
        <f>SUMIF('A-3 On-Site Habitat Enhancement'!$S$12:$S$257,'G-2 Habitat groups'!A77,'A-3 On-Site Habitat Enhancement'!$V$12:$V$257)</f>
        <v>0</v>
      </c>
      <c r="N77" s="346">
        <f>SUMIF('A-3 On-Site Habitat Enhancement'!$S$12:$S$257,'G-2 Habitat groups'!A77,'A-3 On-Site Habitat Enhancement'!$AN$12:$AN$257)</f>
        <v>0</v>
      </c>
      <c r="O77" s="346">
        <f t="shared" si="53"/>
        <v>1.9591430670700001</v>
      </c>
      <c r="P77" s="346">
        <f t="shared" si="54"/>
        <v>6.5148346363747196</v>
      </c>
      <c r="Q77" s="346">
        <f t="shared" si="55"/>
        <v>1.9591430670700001</v>
      </c>
      <c r="R77" s="346">
        <f t="shared" si="56"/>
        <v>6.5148346363747196</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1.9591430670700001</v>
      </c>
      <c r="AF77" s="346">
        <f t="shared" si="62"/>
        <v>6.5148346363747196</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971</v>
      </c>
      <c r="AV78" s="97" t="s">
        <v>220</v>
      </c>
      <c r="AW78" s="98" t="s">
        <v>972</v>
      </c>
      <c r="AX78" s="98" t="s">
        <v>973</v>
      </c>
      <c r="AY78" s="98" t="s">
        <v>974</v>
      </c>
      <c r="AZ78" s="98" t="s">
        <v>975</v>
      </c>
      <c r="BA78" s="98" t="s">
        <v>976</v>
      </c>
      <c r="BB78" s="98" t="s">
        <v>977</v>
      </c>
      <c r="BC78" s="98" t="s">
        <v>978</v>
      </c>
      <c r="BD78" s="97" t="s">
        <v>979</v>
      </c>
      <c r="BE78" s="98" t="s">
        <v>980</v>
      </c>
      <c r="BF78" s="98" t="s">
        <v>991</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463</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738</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747</v>
      </c>
      <c r="AV80" s="68" t="s">
        <v>138</v>
      </c>
      <c r="AW80" s="358">
        <f>VLOOKUP($AU80,AllHabsSummaryData,5,FALSE)</f>
        <v>0.4587</v>
      </c>
      <c r="AX80" s="358">
        <f>VLOOKUP($AU80,AllHabsSummaryData,10,FALSE)</f>
        <v>0</v>
      </c>
      <c r="AY80" s="358">
        <f>VLOOKUP($AU80,AllHabsSummaryData,15,FALSE)</f>
        <v>19.811500000000002</v>
      </c>
      <c r="AZ80" s="358">
        <f>VLOOKUP($AU80,AllHabsSummaryData,16,FALSE)</f>
        <v>64.540026747232261</v>
      </c>
      <c r="BA80" s="358">
        <f>VLOOKUP($AU80,AllHabsSummaryData,17,FALSE)</f>
        <v>19.352800000000002</v>
      </c>
      <c r="BB80" s="358">
        <f>VLOOKUP($AU80,AllHabsSummaryData,18,FALSE)</f>
        <v>58.485186747232262</v>
      </c>
      <c r="BC80" s="358">
        <f>VLOOKUP($AU80,AllHabsSummaryData,27,FALSE)</f>
        <v>0</v>
      </c>
      <c r="BD80" s="358">
        <f>VLOOKUP($AU80,AllHabsSummaryData,30,FALSE)</f>
        <v>0</v>
      </c>
      <c r="BE80" s="358">
        <f>BB80+BD80</f>
        <v>58.485186747232262</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471</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475</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479</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545</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548</v>
      </c>
      <c r="AV85" s="68" t="s">
        <v>125</v>
      </c>
      <c r="AW85" s="358">
        <f t="shared" si="63"/>
        <v>1.316435721E-2</v>
      </c>
      <c r="AX85" s="358">
        <f t="shared" si="64"/>
        <v>0.12111208633199999</v>
      </c>
      <c r="AY85" s="358">
        <f t="shared" si="65"/>
        <v>5.2908018892399999</v>
      </c>
      <c r="AZ85" s="358">
        <f t="shared" si="66"/>
        <v>36.603939937565819</v>
      </c>
      <c r="BA85" s="358">
        <f t="shared" si="67"/>
        <v>5.27763753203</v>
      </c>
      <c r="BB85" s="358">
        <f t="shared" si="68"/>
        <v>36.482827851233822</v>
      </c>
      <c r="BC85" s="358">
        <f t="shared" si="69"/>
        <v>0</v>
      </c>
      <c r="BD85" s="358">
        <f t="shared" si="70"/>
        <v>0</v>
      </c>
      <c r="BE85" s="358">
        <f t="shared" si="71"/>
        <v>36.482827851233822</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557</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566</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571</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574</v>
      </c>
      <c r="AV89" s="68" t="s">
        <v>126</v>
      </c>
      <c r="AW89" s="358">
        <f t="shared" si="63"/>
        <v>0</v>
      </c>
      <c r="AX89" s="358">
        <f t="shared" si="64"/>
        <v>0</v>
      </c>
      <c r="AY89" s="358">
        <f t="shared" si="65"/>
        <v>0.62943768652999998</v>
      </c>
      <c r="AZ89" s="358">
        <f t="shared" si="66"/>
        <v>4.3547083702077689</v>
      </c>
      <c r="BA89" s="358">
        <f t="shared" si="67"/>
        <v>0.62943768652999998</v>
      </c>
      <c r="BB89" s="358">
        <f t="shared" si="68"/>
        <v>4.3547083702077689</v>
      </c>
      <c r="BC89" s="358">
        <f t="shared" si="69"/>
        <v>0</v>
      </c>
      <c r="BD89" s="358">
        <f t="shared" si="70"/>
        <v>0</v>
      </c>
      <c r="BE89" s="358">
        <f t="shared" si="71"/>
        <v>4.3547083702077689</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577</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580</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0.17618396625999999</v>
      </c>
      <c r="F92" s="346">
        <f>SUMIF('A-1 On-Site Habitat Baseline'!$G$11:$G$258,'G-2 Habitat groups'!A92,'A-1 On-Site Habitat Baseline'!$Q$11:$Q$258)</f>
        <v>2.4313387343879995</v>
      </c>
      <c r="G92" s="346">
        <f>SUMIF('A-1 On-Site Habitat Baseline'!$G$11:$G$258,'G-2 Habitat groups'!A92,'A-1 On-Site Habitat Baseline'!$S$11:$S$258)</f>
        <v>0.17618396625999999</v>
      </c>
      <c r="H92" s="346">
        <f>SUMIF('A-1 On-Site Habitat Baseline'!$G$11:$G$258,'G-2 Habitat groups'!A92,'A-1 On-Site Habitat Baseline'!$U$11:$U$258)</f>
        <v>2.4313387343879995</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0.17618396625999999</v>
      </c>
      <c r="P92" s="346">
        <f t="shared" si="54"/>
        <v>2.4313387343879995</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590</v>
      </c>
      <c r="AV92" s="68" t="s">
        <v>126</v>
      </c>
      <c r="AW92" s="358">
        <f t="shared" si="63"/>
        <v>0.10080275859</v>
      </c>
      <c r="AX92" s="358">
        <f t="shared" si="64"/>
        <v>0.92738537902799989</v>
      </c>
      <c r="AY92" s="358">
        <f t="shared" si="65"/>
        <v>0.53895536834000002</v>
      </c>
      <c r="AZ92" s="358">
        <f t="shared" si="66"/>
        <v>3.7287145398256158</v>
      </c>
      <c r="BA92" s="358">
        <f t="shared" si="67"/>
        <v>0.43815260975000003</v>
      </c>
      <c r="BB92" s="358">
        <f t="shared" si="68"/>
        <v>2.8013291607976161</v>
      </c>
      <c r="BC92" s="358">
        <f t="shared" si="69"/>
        <v>0</v>
      </c>
      <c r="BD92" s="358">
        <f t="shared" si="70"/>
        <v>0</v>
      </c>
      <c r="BE92" s="358">
        <f t="shared" si="71"/>
        <v>2.8013291607976161</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642</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646</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682</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698</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5.1372776492299996</v>
      </c>
      <c r="L97" s="346">
        <f>SUMIF('A-2 On-Site Habitat Creation'!$F$11:$F$256,'G-2 Habitat groups'!A97,'A-2 On-Site Habitat Creation'!$Y$11:$Y$256)</f>
        <v>14.457384697036465</v>
      </c>
      <c r="M97" s="346">
        <f>SUMIF('A-3 On-Site Habitat Enhancement'!$S$12:$S$257,'G-2 Habitat groups'!A97,'A-3 On-Site Habitat Enhancement'!$V$12:$V$257)</f>
        <v>0</v>
      </c>
      <c r="N97" s="346">
        <f>SUMIF('A-3 On-Site Habitat Enhancement'!$S$12:$S$257,'G-2 Habitat groups'!A97,'A-3 On-Site Habitat Enhancement'!$AN$12:$AN$257)</f>
        <v>0</v>
      </c>
      <c r="O97" s="346">
        <f t="shared" si="53"/>
        <v>5.1372776492299996</v>
      </c>
      <c r="P97" s="346">
        <f t="shared" si="54"/>
        <v>14.457384697036465</v>
      </c>
      <c r="Q97" s="346">
        <f t="shared" si="55"/>
        <v>5.1372776492299996</v>
      </c>
      <c r="R97" s="346">
        <f t="shared" si="56"/>
        <v>14.457384697036465</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5.1372776492299996</v>
      </c>
      <c r="AF97" s="346">
        <f t="shared" si="62"/>
        <v>14.457384697036465</v>
      </c>
      <c r="AU97" s="79" t="s">
        <v>713</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800</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804</v>
      </c>
      <c r="AV99" s="68" t="s">
        <v>131</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807</v>
      </c>
      <c r="AV100" s="68" t="s">
        <v>131</v>
      </c>
      <c r="AW100" s="358">
        <f t="shared" si="63"/>
        <v>0</v>
      </c>
      <c r="AX100" s="358">
        <f t="shared" si="64"/>
        <v>0</v>
      </c>
      <c r="AY100" s="358">
        <f t="shared" si="65"/>
        <v>5.1372776492299996</v>
      </c>
      <c r="AZ100" s="358">
        <f t="shared" si="66"/>
        <v>14.457384697036465</v>
      </c>
      <c r="BA100" s="358">
        <f t="shared" si="67"/>
        <v>5.1372776492299996</v>
      </c>
      <c r="BB100" s="358">
        <f t="shared" si="68"/>
        <v>14.457384697036465</v>
      </c>
      <c r="BC100" s="358">
        <f t="shared" si="69"/>
        <v>0</v>
      </c>
      <c r="BD100" s="358">
        <f t="shared" si="70"/>
        <v>0</v>
      </c>
      <c r="BE100" s="358">
        <f t="shared" si="73"/>
        <v>14.457384697036465</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867</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914</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926</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 xml:space="preserve">Rocky shore </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609</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 xml:space="preserve">Rocky shore </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743</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c r="A106" s="79" t="str">
        <f>'G-1 All Habitats'!B106</f>
        <v>Rocky shore - Moderate energy littoral rock</v>
      </c>
      <c r="B106" s="68" t="str">
        <f>'G-1 All Habitats'!F106</f>
        <v xml:space="preserve">Rocky shore </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 xml:space="preserve">Rocky shore </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 xml:space="preserve">Rocky shore </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 xml:space="preserve">Rocky shore </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 xml:space="preserve">Rocky shore </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 xml:space="preserve">Rocky shore </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971</v>
      </c>
      <c r="AV112" s="97" t="s">
        <v>220</v>
      </c>
      <c r="AW112" s="98" t="s">
        <v>972</v>
      </c>
      <c r="AX112" s="98" t="s">
        <v>973</v>
      </c>
      <c r="AY112" s="98" t="s">
        <v>974</v>
      </c>
      <c r="AZ112" s="98" t="s">
        <v>975</v>
      </c>
      <c r="BA112" s="98" t="s">
        <v>976</v>
      </c>
      <c r="BB112" s="98" t="s">
        <v>977</v>
      </c>
      <c r="BC112" s="98" t="s">
        <v>978</v>
      </c>
      <c r="BD112" s="98" t="s">
        <v>979</v>
      </c>
      <c r="BE112" s="98" t="s">
        <v>980</v>
      </c>
      <c r="BF112" s="98" t="s">
        <v>991</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485</v>
      </c>
      <c r="AV113" s="68" t="s">
        <v>124</v>
      </c>
      <c r="AW113" s="358">
        <f t="shared" ref="AW113:AW121" si="87">VLOOKUP($AU113,AllHabsSummaryData,5,FALSE)</f>
        <v>5.1315762194100003</v>
      </c>
      <c r="AX113" s="358">
        <f>VLOOKUP($AU113,AllHabsSummaryData,10,FALSE)</f>
        <v>10.263152438820001</v>
      </c>
      <c r="AY113" s="358">
        <f>VLOOKUP($AU113,AllHabsSummaryData,15,FALSE)</f>
        <v>0</v>
      </c>
      <c r="AZ113" s="358">
        <f>VLOOKUP($AU113,AllHabsSummaryData,16,FALSE)</f>
        <v>0</v>
      </c>
      <c r="BA113" s="358">
        <f>VLOOKUP($AU113,AllHabsSummaryData,17,FALSE)</f>
        <v>-5.1315762194100003</v>
      </c>
      <c r="BB113" s="358">
        <f>VLOOKUP($AU113,AllHabsSummaryData,18,FALSE)</f>
        <v>-10.263152438820001</v>
      </c>
      <c r="BC113" s="358">
        <f>VLOOKUP($AU113,AllHabsSummaryData,27,FALSE)</f>
        <v>0</v>
      </c>
      <c r="BD113" s="358">
        <f>VLOOKUP($AU113,AllHabsSummaryData,30,FALSE)</f>
        <v>0</v>
      </c>
      <c r="BE113" s="358">
        <f t="shared" ref="BE113:BE151" si="88">BB113+BD113</f>
        <v>-10.263152438820001</v>
      </c>
      <c r="BF113" s="358">
        <f t="shared" ref="BF113:BF151" si="89">IF(BE113&lt;0,BE113,"")</f>
        <v>-10.263152438820001</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495</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 xml:space="preserve">Coastal saltmarsh </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499</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 xml:space="preserve">Coastal saltmarsh </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503</v>
      </c>
      <c r="AV116" s="68" t="s">
        <v>124</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507</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491</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541</v>
      </c>
      <c r="AV119" s="68" t="s">
        <v>125</v>
      </c>
      <c r="AW119" s="358">
        <f t="shared" si="87"/>
        <v>31.379189715340004</v>
      </c>
      <c r="AX119" s="358">
        <f t="shared" si="90"/>
        <v>72.172136345281999</v>
      </c>
      <c r="AY119" s="358">
        <f t="shared" si="91"/>
        <v>0</v>
      </c>
      <c r="AZ119" s="358">
        <f t="shared" si="92"/>
        <v>0</v>
      </c>
      <c r="BA119" s="358">
        <f t="shared" si="93"/>
        <v>-31.379189715340004</v>
      </c>
      <c r="BB119" s="358">
        <f t="shared" si="94"/>
        <v>-72.172136345281999</v>
      </c>
      <c r="BC119" s="358">
        <f t="shared" si="95"/>
        <v>0</v>
      </c>
      <c r="BD119" s="358">
        <f t="shared" si="96"/>
        <v>0</v>
      </c>
      <c r="BE119" s="358">
        <f t="shared" si="88"/>
        <v>-72.172136345281999</v>
      </c>
      <c r="BF119" s="358">
        <f t="shared" si="89"/>
        <v>-72.172136345281999</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514</v>
      </c>
      <c r="AV120" s="68" t="s">
        <v>125</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597</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621</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992</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690</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685</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706</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709</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711</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703</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716</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724</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726</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929</v>
      </c>
      <c r="B134" s="68" t="str">
        <f>'G-1 All Habitats'!F134</f>
        <v>Watercourse footprint</v>
      </c>
      <c r="C134" s="68" t="s">
        <v>487</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738</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747</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0.4587</v>
      </c>
      <c r="F135" s="346">
        <f>SUMIF('A-1 On-Site Habitat Baseline'!$G$11:$G$258,'G-2 Habitat groups'!A135,'A-1 On-Site Habitat Baseline'!$Q$11:$Q$258)</f>
        <v>6.0548400000000013</v>
      </c>
      <c r="G135" s="346">
        <f>SUMIF('A-1 On-Site Habitat Baseline'!$G$11:$G$258,'G-2 Habitat groups'!A135,'A-1 On-Site Habitat Baseline'!$S$11:$S$258)</f>
        <v>0.4587</v>
      </c>
      <c r="H135" s="346">
        <f>SUMIF('A-1 On-Site Habitat Baseline'!$G$11:$G$258,'G-2 Habitat groups'!A135,'A-1 On-Site Habitat Baseline'!$U$11:$U$258)</f>
        <v>6.0548400000000013</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19.352800000000002</v>
      </c>
      <c r="L135" s="346">
        <f>SUMIF('A-2 On-Site Habitat Creation'!$F$11:$F$256,'G-2 Habitat groups'!A135,'A-2 On-Site Habitat Creation'!$Y$11:$Y$256)</f>
        <v>58.485186747232262</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19.811500000000002</v>
      </c>
      <c r="P135" s="346">
        <f t="shared" ref="P135:P140" si="99">H135+L135+N135</f>
        <v>64.540026747232261</v>
      </c>
      <c r="Q135" s="346">
        <f t="shared" ref="Q135:Q140" si="100">O135-E135</f>
        <v>19.352800000000002</v>
      </c>
      <c r="R135" s="346">
        <f t="shared" ref="R135:R140" si="101">P135-F135</f>
        <v>58.485186747232262</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19.352800000000002</v>
      </c>
      <c r="AF135" s="346">
        <f t="shared" ref="AF135:AF140" si="105">R135+AD135</f>
        <v>58.485186747232262</v>
      </c>
      <c r="AU135" s="79" t="s">
        <v>729</v>
      </c>
      <c r="AV135" s="68" t="s">
        <v>129</v>
      </c>
      <c r="AW135" s="358">
        <f t="shared" si="97"/>
        <v>0</v>
      </c>
      <c r="AX135" s="358">
        <f t="shared" si="90"/>
        <v>0</v>
      </c>
      <c r="AY135" s="358">
        <f t="shared" si="91"/>
        <v>1.9591430670700001</v>
      </c>
      <c r="AZ135" s="358">
        <f t="shared" si="92"/>
        <v>6.5148346363747196</v>
      </c>
      <c r="BA135" s="358">
        <f t="shared" si="93"/>
        <v>1.9591430670700001</v>
      </c>
      <c r="BB135" s="358">
        <f t="shared" si="94"/>
        <v>6.5148346363747196</v>
      </c>
      <c r="BC135" s="358">
        <f t="shared" si="95"/>
        <v>0</v>
      </c>
      <c r="BD135" s="358">
        <f t="shared" si="96"/>
        <v>0</v>
      </c>
      <c r="BE135" s="358">
        <f t="shared" si="88"/>
        <v>6.5148346363747196</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735</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741</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797</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864</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893</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896</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899</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902</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905</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158</v>
      </c>
      <c r="AU145" s="79" t="s">
        <v>908</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911</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920</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923</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993</v>
      </c>
      <c r="B149" s="78" t="s">
        <v>220</v>
      </c>
      <c r="C149" s="78" t="s">
        <v>994</v>
      </c>
      <c r="D149" s="78" t="s">
        <v>937</v>
      </c>
      <c r="E149" s="78" t="s">
        <v>995</v>
      </c>
      <c r="F149" s="78" t="s">
        <v>939</v>
      </c>
      <c r="G149" s="78" t="s">
        <v>996</v>
      </c>
      <c r="H149" s="78" t="s">
        <v>997</v>
      </c>
      <c r="I149" s="78" t="s">
        <v>998</v>
      </c>
      <c r="J149" s="78" t="s">
        <v>943</v>
      </c>
      <c r="K149" s="78" t="s">
        <v>999</v>
      </c>
      <c r="L149" s="78" t="s">
        <v>945</v>
      </c>
      <c r="M149" s="78" t="s">
        <v>1000</v>
      </c>
      <c r="N149" s="78" t="s">
        <v>947</v>
      </c>
      <c r="O149" s="78" t="s">
        <v>1001</v>
      </c>
      <c r="P149" s="78" t="s">
        <v>949</v>
      </c>
      <c r="Q149" s="78" t="s">
        <v>1002</v>
      </c>
      <c r="R149" s="78" t="s">
        <v>951</v>
      </c>
      <c r="S149" s="78" t="s">
        <v>1003</v>
      </c>
      <c r="T149" s="78" t="s">
        <v>953</v>
      </c>
      <c r="U149" s="78" t="s">
        <v>1004</v>
      </c>
      <c r="V149" s="78" t="s">
        <v>955</v>
      </c>
      <c r="W149" s="78" t="s">
        <v>1005</v>
      </c>
      <c r="X149" s="78" t="s">
        <v>957</v>
      </c>
      <c r="Y149" s="78" t="s">
        <v>1006</v>
      </c>
      <c r="Z149" s="78" t="s">
        <v>1007</v>
      </c>
      <c r="AA149" s="78" t="s">
        <v>1008</v>
      </c>
      <c r="AB149" s="78" t="s">
        <v>961</v>
      </c>
      <c r="AC149" s="78" t="s">
        <v>1009</v>
      </c>
      <c r="AD149" s="78" t="s">
        <v>963</v>
      </c>
      <c r="AE149" s="78" t="s">
        <v>1010</v>
      </c>
      <c r="AF149" s="78" t="s">
        <v>965</v>
      </c>
      <c r="AU149" s="263" t="s">
        <v>605</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1011</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358">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692</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1011</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358">
        <f>SUMIF('A-1 On-Site Habitat Baseline'!$G$11:$G$258,'G-2 Habitat groups'!A151,'A-1 On-Site Habitat Baseline'!$X$11:$X$258)</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667</v>
      </c>
      <c r="AV151" s="68" t="s">
        <v>128</v>
      </c>
      <c r="AW151" s="439">
        <f t="shared" si="97"/>
        <v>2.5625132943</v>
      </c>
      <c r="AX151" s="439">
        <f t="shared" si="90"/>
        <v>13.508406538176001</v>
      </c>
      <c r="AY151" s="439">
        <f t="shared" si="91"/>
        <v>0</v>
      </c>
      <c r="AZ151" s="439">
        <f t="shared" si="92"/>
        <v>0</v>
      </c>
      <c r="BA151" s="439">
        <f t="shared" si="93"/>
        <v>-2.5625132943</v>
      </c>
      <c r="BB151" s="439">
        <f t="shared" si="94"/>
        <v>-13.508406538176001</v>
      </c>
      <c r="BC151" s="439">
        <f t="shared" si="95"/>
        <v>0</v>
      </c>
      <c r="BD151" s="439">
        <f t="shared" si="96"/>
        <v>0</v>
      </c>
      <c r="BE151" s="439">
        <f t="shared" si="88"/>
        <v>-13.508406538176001</v>
      </c>
      <c r="BF151" s="439">
        <f t="shared" si="89"/>
        <v>-13.508406538176001</v>
      </c>
    </row>
    <row r="152" spans="1:59">
      <c r="A152" s="79" t="str">
        <f>'G-6 Hedgerow Data'!B5</f>
        <v>Species-rich native hedgerow - associated with bank or ditch</v>
      </c>
      <c r="B152" s="68" t="s">
        <v>1011</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358">
        <f>SUMIF('A-1 On-Site Habitat Baseline'!$G$11:$G$258,'G-2 Habitat groups'!A152,'A-1 On-Site Habitat Baseline'!$X$11:$X$258)</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1011</v>
      </c>
      <c r="C153" s="68" t="str">
        <f>'G-6 Hedgerow Data'!C6</f>
        <v>High</v>
      </c>
      <c r="D153" s="68" t="str">
        <f>'G-6 Hedgerow Data'!AH6</f>
        <v>Like for like or better</v>
      </c>
      <c r="E153" s="358">
        <f>SUMIF('B-1 On-Site Hedge Baseline'!$D$10:$D$257,'G-2 Habitat groups'!A153,'B-1 On-Site Hedge Baseline'!$E$10:$E$257)</f>
        <v>0.21692453</v>
      </c>
      <c r="F153" s="358">
        <f>SUMIF('B-1 On-Site Hedge Baseline'!$D$10:$D$257,'G-2 Habitat groups'!A153,'B-1 On-Site Hedge Baseline'!$N$10:$N$257)</f>
        <v>1.4967792569999998</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0.21692453</v>
      </c>
      <c r="J153" s="358">
        <f>SUMIF('A-1 On-Site Habitat Baseline'!$G$11:$G$258,'G-2 Habitat groups'!A153,'A-1 On-Site Habitat Baseline'!$X$11:$X$258)</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-0.21692453</v>
      </c>
      <c r="R153" s="358">
        <f t="shared" si="110"/>
        <v>-1.4967792569999998</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-0.21692453</v>
      </c>
      <c r="AF153" s="358">
        <f t="shared" si="114"/>
        <v>-1.4967792569999998</v>
      </c>
    </row>
    <row r="154" spans="1:59" ht="34.5">
      <c r="A154" s="263" t="str">
        <f>'G-6 Hedgerow Data'!B7</f>
        <v>Species-rich native hedgerow</v>
      </c>
      <c r="B154" s="264" t="s">
        <v>1011</v>
      </c>
      <c r="C154" s="264" t="str">
        <f>'G-6 Hedgerow Data'!C7</f>
        <v>Medium</v>
      </c>
      <c r="D154" s="264" t="str">
        <f>'G-6 Hedgerow Data'!AH7</f>
        <v>Same distinctiveness band or better</v>
      </c>
      <c r="E154" s="439">
        <f>SUMIF('B-1 On-Site Hedge Baseline'!$D$10:$D$257,'G-2 Habitat groups'!A154,'B-1 On-Site Hedge Baseline'!$E$10:$E$257)</f>
        <v>1.088214572</v>
      </c>
      <c r="F154" s="439">
        <f>SUMIF('B-1 On-Site Hedge Baseline'!$D$10:$D$257,'G-2 Habitat groups'!A154,'B-1 On-Site Hedge Baseline'!$N$10:$N$257)</f>
        <v>10.011574062399999</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1.088214572</v>
      </c>
      <c r="J154" s="439">
        <f>SUMIF('A-1 On-Site Habitat Baseline'!$G$11:$G$258,'G-2 Habitat groups'!A154,'A-1 On-Site Habitat Baseline'!$X$11:$X$258)</f>
        <v>0</v>
      </c>
      <c r="K154" s="439">
        <f>SUMIF('B-2 On-Site Hedge Creation'!$D$12:$D$259,'G-2 Habitat groups'!A154,'B-2 On-Site Hedge Creation'!$E$12:$E$259)</f>
        <v>3.6843235429999996</v>
      </c>
      <c r="L154" s="439">
        <f>SUMIF('B-2 On-Site Hedge Creation'!$D$12:$D$259,'G-2 Habitat groups'!A154,'B-2 On-Site Hedge Creation'!$W$12:$W$259)</f>
        <v>29.79521665891032</v>
      </c>
      <c r="M154" s="439">
        <f>SUMIF('B-3 On-Site Hedge Enhancement'!$M$12:$M$257,'G-2 Habitat groups'!A154,'B-3 On-Site Hedge Enhancement'!$P$12:$P$257)</f>
        <v>0.20192009599999999</v>
      </c>
      <c r="N154" s="439">
        <f ca="1">SUMIF('B-3 On-Site Hedge Enhancement'!$M$12:$M$257,'G-2 Habitat groups'!A154,'B-3 On-Site Hedge Enhancement'!$AH$12:$AH$257)</f>
        <v>2.4833797319585065</v>
      </c>
      <c r="O154" s="439">
        <f t="shared" si="107"/>
        <v>3.8862436389999995</v>
      </c>
      <c r="P154" s="439">
        <f t="shared" ca="1" si="108"/>
        <v>32.278596390868827</v>
      </c>
      <c r="Q154" s="439">
        <f t="shared" si="109"/>
        <v>2.7980290669999994</v>
      </c>
      <c r="R154" s="439">
        <f t="shared" ca="1" si="110"/>
        <v>22.267022328468826</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2.7980290669999994</v>
      </c>
      <c r="AF154" s="439">
        <f t="shared" ca="1" si="114"/>
        <v>22.267022328468826</v>
      </c>
      <c r="AU154" s="283" t="s">
        <v>1012</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1011</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SUMIF('A-1 On-Site Habitat Baseline'!$G$11:$G$258,'G-2 Habitat groups'!A155,'A-1 On-Site Habitat Baseline'!$X$11:$X$258)</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971</v>
      </c>
      <c r="AV155" s="229" t="s">
        <v>220</v>
      </c>
      <c r="AW155" s="540" t="s">
        <v>972</v>
      </c>
      <c r="AX155" s="540" t="s">
        <v>973</v>
      </c>
      <c r="AY155" s="540" t="s">
        <v>974</v>
      </c>
      <c r="AZ155" s="540" t="s">
        <v>975</v>
      </c>
      <c r="BA155" s="540" t="s">
        <v>976</v>
      </c>
      <c r="BB155" s="540" t="s">
        <v>977</v>
      </c>
      <c r="BC155" s="540" t="s">
        <v>978</v>
      </c>
      <c r="BD155" s="98" t="s">
        <v>979</v>
      </c>
      <c r="BE155" s="540" t="s">
        <v>980</v>
      </c>
      <c r="BF155" s="98" t="s">
        <v>991</v>
      </c>
    </row>
    <row r="156" spans="1:59">
      <c r="A156" s="79" t="str">
        <f>'G-6 Hedgerow Data'!B9</f>
        <v>Native hedgerow with trees</v>
      </c>
      <c r="B156" s="68" t="s">
        <v>1011</v>
      </c>
      <c r="C156" s="68" t="str">
        <f>'G-6 Hedgerow Data'!C9</f>
        <v>Medium</v>
      </c>
      <c r="D156" s="68" t="str">
        <f>'G-6 Hedgerow Data'!AH9</f>
        <v>Same distinctiveness band or better</v>
      </c>
      <c r="E156" s="358">
        <f>SUMIF('B-1 On-Site Hedge Baseline'!$D$10:$D$257,'G-2 Habitat groups'!A156,'B-1 On-Site Hedge Baseline'!$E$10:$E$257)</f>
        <v>0.29754417700000002</v>
      </c>
      <c r="F156" s="358">
        <f>SUMIF('B-1 On-Site Hedge Baseline'!$D$10:$D$257,'G-2 Habitat groups'!A156,'B-1 On-Site Hedge Baseline'!$N$10:$N$257)</f>
        <v>2.0949565639999999</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0.29754417700000002</v>
      </c>
      <c r="J156" s="358">
        <f>SUMIF('A-1 On-Site Habitat Baseline'!$G$11:$G$258,'G-2 Habitat groups'!A156,'A-1 On-Site Habitat Baseline'!$X$11:$X$258)</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-0.29754417700000002</v>
      </c>
      <c r="R156" s="358">
        <f t="shared" si="110"/>
        <v>-2.0949565639999999</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-0.29754417700000002</v>
      </c>
      <c r="AF156" s="358">
        <f t="shared" si="114"/>
        <v>-2.0949565639999999</v>
      </c>
      <c r="AU156" s="79" t="s">
        <v>687</v>
      </c>
      <c r="AV156" s="68" t="s">
        <v>129</v>
      </c>
      <c r="AW156" s="358">
        <f>VLOOKUP($AU156,AllHabsSummaryData,5,FALSE)</f>
        <v>0.54068310926999996</v>
      </c>
      <c r="AX156" s="358">
        <f>VLOOKUP($AU156,AllHabsSummaryData,10,FALSE)</f>
        <v>0</v>
      </c>
      <c r="AY156" s="358">
        <f>VLOOKUP($AU156,AllHabsSummaryData,15,FALSE)</f>
        <v>0</v>
      </c>
      <c r="AZ156" s="358">
        <f>VLOOKUP($AU156,AllHabsSummaryData,16,FALSE)</f>
        <v>0</v>
      </c>
      <c r="BA156" s="358">
        <f>VLOOKUP($AU156,AllHabsSummaryData,17,FALSE)</f>
        <v>-0.54068310926999996</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1011</v>
      </c>
      <c r="C157" s="68" t="str">
        <f>'G-6 Hedgerow Data'!C10</f>
        <v>Medium</v>
      </c>
      <c r="D157" s="68" t="str">
        <f>'G-6 Hedgerow Data'!AH10</f>
        <v>Same distinctiveness band or better</v>
      </c>
      <c r="E157" s="358">
        <f>SUMIF('B-1 On-Site Hedge Baseline'!$D$10:$D$257,'G-2 Habitat groups'!A157,'B-1 On-Site Hedge Baseline'!$E$10:$E$257)</f>
        <v>7.5219306999999999E-2</v>
      </c>
      <c r="F157" s="358">
        <f>SUMIF('B-1 On-Site Hedge Baseline'!$D$10:$D$257,'G-2 Habitat groups'!A157,'B-1 On-Site Hedge Baseline'!$N$10:$N$257)</f>
        <v>0.66192990160000009</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7.5219306999999999E-2</v>
      </c>
      <c r="J157" s="358">
        <f>SUMIF('A-1 On-Site Habitat Baseline'!$G$11:$G$258,'G-2 Habitat groups'!A157,'A-1 On-Site Habitat Baseline'!$X$11:$X$258)</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-7.5219306999999999E-2</v>
      </c>
      <c r="R157" s="358">
        <f t="shared" si="110"/>
        <v>-0.66192990160000009</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-7.5219306999999999E-2</v>
      </c>
      <c r="AF157" s="358">
        <f t="shared" si="114"/>
        <v>-0.66192990160000009</v>
      </c>
      <c r="AU157" s="79" t="s">
        <v>695</v>
      </c>
      <c r="AV157" s="68" t="s">
        <v>129</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1011</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358">
        <f>SUMIF('A-1 On-Site Habitat Baseline'!$G$11:$G$258,'G-2 Habitat groups'!A158,'A-1 On-Site Habitat Baseline'!$X$11:$X$258)</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700</v>
      </c>
      <c r="AV158" s="68" t="s">
        <v>129</v>
      </c>
      <c r="AW158" s="358">
        <f>VLOOKUP($AU158,AllHabsSummaryData,5,FALSE)</f>
        <v>0</v>
      </c>
      <c r="AX158" s="358">
        <f>VLOOKUP($AU158,AllHabsSummaryData,10,FALSE)</f>
        <v>0</v>
      </c>
      <c r="AY158" s="358">
        <f>VLOOKUP($AU158,AllHabsSummaryData,15,FALSE)</f>
        <v>26.385834864799996</v>
      </c>
      <c r="AZ158" s="358">
        <f>VLOOKUP($AU158,AllHabsSummaryData,16,FALSE)</f>
        <v>0</v>
      </c>
      <c r="BA158" s="358">
        <f>VLOOKUP($AU158,AllHabsSummaryData,17,FALSE)</f>
        <v>26.385834864799996</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1011</v>
      </c>
      <c r="C159" s="68" t="str">
        <f>'G-6 Hedgerow Data'!C12</f>
        <v>Low</v>
      </c>
      <c r="D159" s="68" t="str">
        <f>'G-6 Hedgerow Data'!AH12</f>
        <v>Same distinctiveness band or better</v>
      </c>
      <c r="E159" s="358">
        <f>SUMIF('B-1 On-Site Hedge Baseline'!$D$10:$D$257,'G-2 Habitat groups'!A159,'B-1 On-Site Hedge Baseline'!$E$10:$E$257)</f>
        <v>1.5255518669999999</v>
      </c>
      <c r="F159" s="358">
        <f>SUMIF('B-1 On-Site Hedge Baseline'!$D$10:$D$257,'G-2 Habitat groups'!A159,'B-1 On-Site Hedge Baseline'!$N$10:$N$257)</f>
        <v>6.8447897948999987</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1.3236317710000001</v>
      </c>
      <c r="J159" s="358">
        <f>SUMIF('A-1 On-Site Habitat Baseline'!$G$11:$G$258,'G-2 Habitat groups'!A159,'A-1 On-Site Habitat Baseline'!$X$11:$X$258)</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v>
      </c>
      <c r="P159" s="358">
        <f t="shared" si="108"/>
        <v>0</v>
      </c>
      <c r="Q159" s="358">
        <f t="shared" si="109"/>
        <v>-1.5255518669999999</v>
      </c>
      <c r="R159" s="358">
        <f t="shared" si="110"/>
        <v>-6.8447897948999987</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-1.5255518669999999</v>
      </c>
      <c r="AF159" s="358">
        <f t="shared" si="114"/>
        <v>-6.8447897948999987</v>
      </c>
      <c r="AU159" s="79" t="s">
        <v>732</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1011</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358">
        <f>SUMIF('A-1 On-Site Habitat Baseline'!$G$11:$G$258,'G-2 Habitat groups'!A160,'A-1 On-Site Habitat Baseline'!$X$11:$X$258)</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v>
      </c>
      <c r="P160" s="358">
        <f t="shared" si="108"/>
        <v>0</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c r="A161" s="79" t="str">
        <f>'G-6 Hedgerow Data'!B14</f>
        <v>Line of trees - associated with bank or ditch</v>
      </c>
      <c r="B161" s="68" t="s">
        <v>1011</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358">
        <f>SUMIF('A-1 On-Site Habitat Baseline'!$G$11:$G$258,'G-2 Habitat groups'!A161,'A-1 On-Site Habitat Baseline'!$X$11:$X$258)</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1011</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358">
        <f>SUMIF('A-1 On-Site Habitat Baseline'!$G$11:$G$258,'G-2 Habitat groups'!A162,'A-1 On-Site Habitat Baseline'!$X$11:$X$258)</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1013</v>
      </c>
      <c r="B171" s="78" t="s">
        <v>220</v>
      </c>
      <c r="C171" s="78" t="s">
        <v>994</v>
      </c>
      <c r="D171" s="78" t="s">
        <v>937</v>
      </c>
      <c r="E171" s="78" t="s">
        <v>995</v>
      </c>
      <c r="F171" s="78" t="s">
        <v>939</v>
      </c>
      <c r="G171" s="78" t="s">
        <v>996</v>
      </c>
      <c r="H171" s="78" t="s">
        <v>997</v>
      </c>
      <c r="I171" s="78" t="s">
        <v>1014</v>
      </c>
      <c r="J171" s="78" t="s">
        <v>1015</v>
      </c>
      <c r="K171" s="78" t="s">
        <v>999</v>
      </c>
      <c r="L171" s="78" t="s">
        <v>945</v>
      </c>
      <c r="M171" s="78" t="s">
        <v>1000</v>
      </c>
      <c r="N171" s="78" t="s">
        <v>947</v>
      </c>
      <c r="O171" s="78" t="s">
        <v>1001</v>
      </c>
      <c r="P171" s="78" t="s">
        <v>949</v>
      </c>
      <c r="Q171" s="78" t="s">
        <v>1002</v>
      </c>
      <c r="R171" s="78" t="s">
        <v>951</v>
      </c>
      <c r="S171" s="78" t="s">
        <v>1003</v>
      </c>
      <c r="T171" s="78" t="s">
        <v>953</v>
      </c>
      <c r="U171" s="78" t="s">
        <v>1004</v>
      </c>
      <c r="V171" s="78" t="s">
        <v>955</v>
      </c>
      <c r="W171" s="78" t="s">
        <v>1005</v>
      </c>
      <c r="X171" s="78" t="s">
        <v>957</v>
      </c>
      <c r="Y171" s="78" t="s">
        <v>1006</v>
      </c>
      <c r="Z171" s="78" t="s">
        <v>1007</v>
      </c>
      <c r="AA171" s="78" t="s">
        <v>1008</v>
      </c>
      <c r="AB171" s="78" t="s">
        <v>961</v>
      </c>
      <c r="AC171" s="78" t="s">
        <v>1009</v>
      </c>
      <c r="AD171" s="78" t="s">
        <v>963</v>
      </c>
      <c r="AE171" s="78" t="s">
        <v>1010</v>
      </c>
      <c r="AF171" s="78" t="s">
        <v>965</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0.18526163800000001</v>
      </c>
      <c r="F173" s="358">
        <f>SUMIF('C-1 On-Site WaterC'' Baseline'!$D$10:$D$257,'G-2 Habitat groups'!A173,'C-1 On-Site WaterC'' Baseline'!$R$10:$R$257)</f>
        <v>3.1957632554999997</v>
      </c>
      <c r="G173" s="358">
        <f>SUMIF('C-1 On-Site WaterC'' Baseline'!$D$10:$D$257,'G-2 Habitat groups'!A173,'C-1 On-Site WaterC'' Baseline'!$T$10:$T$257)</f>
        <v>8.2427561039500011E-2</v>
      </c>
      <c r="H173" s="358">
        <f>SUMIF('C-1 On-Site WaterC'' Baseline'!$D$10:$D$257,'G-2 Habitat groups'!A173,'C-1 On-Site WaterC'' Baseline'!$V$10:$V$257)</f>
        <v>1.421875427931375</v>
      </c>
      <c r="I173" s="358">
        <f>SUMIF('C-1 On-Site WaterC'' Baseline'!$D$10:$D$257,'G-2 Habitat groups'!A173,'C-1 On-Site WaterC'' Baseline'!$X$10:$X$257)</f>
        <v>0.1028340769605</v>
      </c>
      <c r="J173" s="358">
        <f>SUMIF('C-1 On-Site WaterC'' Baseline'!$D$10:$D$257,'G-2 Habitat groups'!A173,'C-1 On-Site WaterC'' Baseline'!$Y$10:$Y$257)</f>
        <v>1.7738878275686247</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8.2427561039500011E-2</v>
      </c>
      <c r="P173" s="358">
        <f t="shared" si="117"/>
        <v>1.421875427931375</v>
      </c>
      <c r="Q173" s="358">
        <f t="shared" si="118"/>
        <v>-0.1028340769605</v>
      </c>
      <c r="R173" s="358">
        <f t="shared" si="118"/>
        <v>-1.7738878275686247</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-0.1028340769605</v>
      </c>
      <c r="AF173" s="358">
        <f t="shared" si="121"/>
        <v>-1.7738878275686247</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0.40592876099999997</v>
      </c>
      <c r="F174" s="358">
        <f>SUMIF('C-1 On-Site WaterC'' Baseline'!$D$10:$D$257,'G-2 Habitat groups'!A174,'C-1 On-Site WaterC'' Baseline'!$R$10:$R$257)</f>
        <v>1.7860865484000001</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0.40592876099999997</v>
      </c>
      <c r="J174" s="358">
        <f>SUMIF('C-1 On-Site WaterC'' Baseline'!$D$10:$D$257,'G-2 Habitat groups'!A174,'C-1 On-Site WaterC'' Baseline'!$Y$10:$Y$257)</f>
        <v>1.7860865484000001</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-0.40592876099999997</v>
      </c>
      <c r="R174" s="358">
        <f t="shared" si="118"/>
        <v>-1.7860865484000001</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-0.40592876099999997</v>
      </c>
      <c r="AF174" s="358">
        <f t="shared" si="121"/>
        <v>-1.7860865484000001</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Vf/IF4t/Oc3APaW9sfJY6+22uzpzG6HnTKJbuSN16H70IoAKiKa9NerSR/Uix34VR6E9K6LkbTGT/HmFZlRURA==" saltValue="7Z+pHdVFBL/pU3ZPajwYiA=="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c r="A1" s="1638" t="s">
        <v>1016</v>
      </c>
      <c r="B1" s="1639"/>
      <c r="C1" s="1639"/>
      <c r="D1" s="1639"/>
      <c r="E1" s="1640"/>
      <c r="J1" s="232"/>
      <c r="L1" s="1638" t="s">
        <v>1017</v>
      </c>
      <c r="M1" s="1639"/>
      <c r="N1" s="1640"/>
      <c r="P1" s="1638" t="s">
        <v>380</v>
      </c>
      <c r="Q1" s="1640"/>
    </row>
    <row r="2" spans="1:26" ht="42" customHeight="1" thickBot="1">
      <c r="A2" s="233" t="s">
        <v>936</v>
      </c>
      <c r="B2" s="164" t="s">
        <v>452</v>
      </c>
      <c r="C2" s="164" t="s">
        <v>411</v>
      </c>
      <c r="D2" s="164" t="s">
        <v>453</v>
      </c>
      <c r="E2" s="233" t="s">
        <v>411</v>
      </c>
      <c r="H2" s="1644" t="s">
        <v>1018</v>
      </c>
      <c r="I2" s="1645"/>
      <c r="J2" s="1646"/>
      <c r="L2" s="1641" t="s">
        <v>1019</v>
      </c>
      <c r="M2" s="1642"/>
      <c r="N2" s="1643"/>
      <c r="P2" s="233" t="s">
        <v>121</v>
      </c>
      <c r="Q2" s="233" t="s">
        <v>1020</v>
      </c>
      <c r="S2" s="1322" t="s">
        <v>1021</v>
      </c>
      <c r="T2" s="1324"/>
      <c r="W2" s="1638" t="s">
        <v>1022</v>
      </c>
      <c r="X2" s="1639"/>
      <c r="Y2" s="1639"/>
      <c r="Z2" s="1640"/>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287</v>
      </c>
      <c r="I3" s="226" t="s">
        <v>1023</v>
      </c>
      <c r="J3" s="226" t="s">
        <v>1024</v>
      </c>
      <c r="L3" s="226" t="s">
        <v>1023</v>
      </c>
      <c r="M3" s="78" t="s">
        <v>272</v>
      </c>
      <c r="N3" s="226" t="s">
        <v>411</v>
      </c>
      <c r="P3" s="100" t="s">
        <v>216</v>
      </c>
      <c r="Q3" s="404">
        <v>1</v>
      </c>
      <c r="S3" s="226" t="s">
        <v>121</v>
      </c>
      <c r="T3" s="226" t="s">
        <v>411</v>
      </c>
      <c r="W3" s="233" t="s">
        <v>63</v>
      </c>
      <c r="X3" s="233" t="s">
        <v>1025</v>
      </c>
      <c r="Y3" s="233" t="s">
        <v>1026</v>
      </c>
      <c r="Z3" s="233" t="s">
        <v>1027</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1028</v>
      </c>
      <c r="J4" s="155">
        <v>1.1499999999999999</v>
      </c>
      <c r="L4" s="100" t="s">
        <v>1029</v>
      </c>
      <c r="M4" s="382" t="s">
        <v>1030</v>
      </c>
      <c r="N4" s="404">
        <v>1.1499999999999999</v>
      </c>
      <c r="P4" s="100" t="s">
        <v>70</v>
      </c>
      <c r="Q4" s="404">
        <v>0.67</v>
      </c>
      <c r="S4" s="100" t="s">
        <v>1031</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1032</v>
      </c>
      <c r="J5" s="155">
        <v>1.1000000000000001</v>
      </c>
      <c r="L5" s="100" t="s">
        <v>1033</v>
      </c>
      <c r="M5" s="382" t="s">
        <v>1034</v>
      </c>
      <c r="N5" s="404">
        <v>1.1000000000000001</v>
      </c>
      <c r="P5" s="100" t="s">
        <v>213</v>
      </c>
      <c r="Q5" s="404">
        <v>0.33</v>
      </c>
      <c r="S5" s="100" t="s">
        <v>1035</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1036</v>
      </c>
      <c r="J6" s="155">
        <v>1</v>
      </c>
      <c r="L6" s="100" t="s">
        <v>1037</v>
      </c>
      <c r="M6" s="382" t="s">
        <v>1038</v>
      </c>
      <c r="N6" s="404">
        <v>1</v>
      </c>
      <c r="P6" s="100" t="s">
        <v>211</v>
      </c>
      <c r="Q6" s="404">
        <v>0.1</v>
      </c>
      <c r="S6" s="265" t="s">
        <v>1039</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1040</v>
      </c>
      <c r="I7" s="116" t="s">
        <v>1041</v>
      </c>
      <c r="J7" s="155">
        <v>1</v>
      </c>
      <c r="S7" s="265" t="s">
        <v>1042</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1043</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1044</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1045</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609</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738</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929</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formula1>$P$3:$P$6</formula1>
    </dataValidation>
    <dataValidation type="list" allowBlank="1" showInputMessage="1" showErrorMessage="1" sqref="C3:C134">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c r="A1" s="1648"/>
      <c r="B1" s="1648"/>
      <c r="C1" s="1648"/>
      <c r="F1" s="227"/>
      <c r="G1" s="227"/>
      <c r="H1" s="227"/>
      <c r="I1" s="227"/>
      <c r="J1" s="227"/>
      <c r="K1" s="227"/>
      <c r="L1" s="227"/>
      <c r="M1" s="227"/>
    </row>
    <row r="2" spans="1:13" ht="29.45" customHeight="1">
      <c r="A2" s="1647" t="s">
        <v>1046</v>
      </c>
      <c r="B2" s="1647"/>
      <c r="C2" s="1647"/>
      <c r="F2" s="228"/>
      <c r="G2" s="1649" t="s">
        <v>1047</v>
      </c>
      <c r="H2" s="1649"/>
      <c r="I2" s="1649"/>
      <c r="J2" s="1649"/>
      <c r="K2" s="1649"/>
      <c r="L2" s="1649"/>
      <c r="M2" s="1650"/>
    </row>
    <row r="3" spans="1:13" ht="30">
      <c r="A3" s="78" t="s">
        <v>1048</v>
      </c>
      <c r="B3" s="78" t="s">
        <v>1049</v>
      </c>
      <c r="C3" s="78" t="s">
        <v>1050</v>
      </c>
      <c r="F3" s="229" t="s">
        <v>936</v>
      </c>
      <c r="G3" s="79" t="s">
        <v>68</v>
      </c>
      <c r="H3" s="79" t="s">
        <v>473</v>
      </c>
      <c r="I3" s="79" t="s">
        <v>67</v>
      </c>
      <c r="J3" s="79" t="s">
        <v>483</v>
      </c>
      <c r="K3" s="100" t="s">
        <v>329</v>
      </c>
      <c r="L3" s="100" t="s">
        <v>493</v>
      </c>
      <c r="M3" s="79" t="s">
        <v>497</v>
      </c>
    </row>
    <row r="4" spans="1:13">
      <c r="A4" s="79">
        <v>0</v>
      </c>
      <c r="B4" s="404">
        <v>100</v>
      </c>
      <c r="C4" s="492">
        <v>1</v>
      </c>
      <c r="F4" s="68" t="str">
        <f>'G-1 All Habitats'!B3</f>
        <v>Cropland - Arable field margins cultivated annually</v>
      </c>
      <c r="G4" s="404" t="s">
        <v>1051</v>
      </c>
      <c r="H4" s="404" t="s">
        <v>1051</v>
      </c>
      <c r="I4" s="404" t="s">
        <v>1051</v>
      </c>
      <c r="J4" s="404" t="s">
        <v>1051</v>
      </c>
      <c r="K4" s="404" t="s">
        <v>1051</v>
      </c>
      <c r="L4" s="404">
        <v>1</v>
      </c>
      <c r="M4" s="404" t="s">
        <v>1051</v>
      </c>
    </row>
    <row r="5" spans="1:13">
      <c r="A5" s="79">
        <v>1</v>
      </c>
      <c r="B5" s="404">
        <v>96.5</v>
      </c>
      <c r="C5" s="492">
        <v>0.96499999999999997</v>
      </c>
      <c r="F5" s="68" t="str">
        <f>'G-1 All Habitats'!B4</f>
        <v>Cropland - Arable field margins game bird mix</v>
      </c>
      <c r="G5" s="404" t="s">
        <v>1051</v>
      </c>
      <c r="H5" s="404" t="s">
        <v>1051</v>
      </c>
      <c r="I5" s="404" t="s">
        <v>1051</v>
      </c>
      <c r="J5" s="404" t="s">
        <v>1051</v>
      </c>
      <c r="K5" s="404" t="s">
        <v>1051</v>
      </c>
      <c r="L5" s="404">
        <v>1</v>
      </c>
      <c r="M5" s="404" t="s">
        <v>1051</v>
      </c>
    </row>
    <row r="6" spans="1:13">
      <c r="A6" s="79">
        <v>2</v>
      </c>
      <c r="B6" s="404">
        <v>93.122500000000002</v>
      </c>
      <c r="C6" s="492">
        <v>0.93122499999999997</v>
      </c>
      <c r="F6" s="68" t="str">
        <f>'G-1 All Habitats'!B5</f>
        <v>Cropland - Arable field margins pollen and nectar</v>
      </c>
      <c r="G6" s="404" t="s">
        <v>1051</v>
      </c>
      <c r="H6" s="404" t="s">
        <v>1051</v>
      </c>
      <c r="I6" s="404" t="s">
        <v>1051</v>
      </c>
      <c r="J6" s="404" t="s">
        <v>1051</v>
      </c>
      <c r="K6" s="404" t="s">
        <v>1051</v>
      </c>
      <c r="L6" s="404">
        <v>1</v>
      </c>
      <c r="M6" s="404" t="s">
        <v>1051</v>
      </c>
    </row>
    <row r="7" spans="1:13">
      <c r="A7" s="79">
        <v>3</v>
      </c>
      <c r="B7" s="404">
        <v>89.863212500000003</v>
      </c>
      <c r="C7" s="492">
        <v>0.898632125</v>
      </c>
      <c r="F7" s="68" t="str">
        <f>'G-1 All Habitats'!B6</f>
        <v>Cropland - Arable field margins tussocky</v>
      </c>
      <c r="G7" s="404" t="s">
        <v>1051</v>
      </c>
      <c r="H7" s="404" t="s">
        <v>1051</v>
      </c>
      <c r="I7" s="404" t="s">
        <v>1051</v>
      </c>
      <c r="J7" s="404" t="s">
        <v>1051</v>
      </c>
      <c r="K7" s="404" t="s">
        <v>1051</v>
      </c>
      <c r="L7" s="404">
        <v>1</v>
      </c>
      <c r="M7" s="404" t="s">
        <v>1051</v>
      </c>
    </row>
    <row r="8" spans="1:13">
      <c r="A8" s="79">
        <v>4</v>
      </c>
      <c r="B8" s="404">
        <v>86.718000059999994</v>
      </c>
      <c r="C8" s="492">
        <v>0.86718000059999989</v>
      </c>
      <c r="F8" s="68" t="str">
        <f>'G-1 All Habitats'!B7</f>
        <v>Cropland - Cereal crops</v>
      </c>
      <c r="G8" s="404" t="s">
        <v>1051</v>
      </c>
      <c r="H8" s="404" t="s">
        <v>1051</v>
      </c>
      <c r="I8" s="404" t="s">
        <v>1051</v>
      </c>
      <c r="J8" s="404" t="s">
        <v>1051</v>
      </c>
      <c r="K8" s="404" t="s">
        <v>1051</v>
      </c>
      <c r="L8" s="404">
        <v>1</v>
      </c>
      <c r="M8" s="404" t="s">
        <v>1051</v>
      </c>
    </row>
    <row r="9" spans="1:13">
      <c r="A9" s="79">
        <v>5</v>
      </c>
      <c r="B9" s="404">
        <v>83.682870059999999</v>
      </c>
      <c r="C9" s="492">
        <v>0.83682870060000003</v>
      </c>
      <c r="F9" s="68" t="str">
        <f>'G-1 All Habitats'!B8</f>
        <v>Cropland - Winter stubble</v>
      </c>
      <c r="G9" s="404" t="s">
        <v>1051</v>
      </c>
      <c r="H9" s="404" t="s">
        <v>1051</v>
      </c>
      <c r="I9" s="404" t="s">
        <v>1051</v>
      </c>
      <c r="J9" s="404" t="s">
        <v>1051</v>
      </c>
      <c r="K9" s="404" t="s">
        <v>1051</v>
      </c>
      <c r="L9" s="404">
        <v>1</v>
      </c>
      <c r="M9" s="404" t="s">
        <v>1051</v>
      </c>
    </row>
    <row r="10" spans="1:13">
      <c r="A10" s="79">
        <v>6</v>
      </c>
      <c r="B10" s="404">
        <v>80.753969609999999</v>
      </c>
      <c r="C10" s="492">
        <v>0.80753969609999998</v>
      </c>
      <c r="F10" s="68" t="str">
        <f>'G-1 All Habitats'!B9</f>
        <v>Cropland - Horticulture</v>
      </c>
      <c r="G10" s="404" t="s">
        <v>1051</v>
      </c>
      <c r="H10" s="404" t="s">
        <v>1051</v>
      </c>
      <c r="I10" s="404" t="s">
        <v>1051</v>
      </c>
      <c r="J10" s="404" t="s">
        <v>1051</v>
      </c>
      <c r="K10" s="404" t="s">
        <v>1051</v>
      </c>
      <c r="L10" s="404">
        <v>1</v>
      </c>
      <c r="M10" s="404" t="s">
        <v>1051</v>
      </c>
    </row>
    <row r="11" spans="1:13">
      <c r="A11" s="79">
        <v>7</v>
      </c>
      <c r="B11" s="404">
        <v>77.927580669999998</v>
      </c>
      <c r="C11" s="492">
        <v>0.77927580669999996</v>
      </c>
      <c r="F11" s="68" t="str">
        <f>'G-1 All Habitats'!B10</f>
        <v>Cropland - Intensive orchards</v>
      </c>
      <c r="G11" s="404" t="s">
        <v>1051</v>
      </c>
      <c r="H11" s="404" t="s">
        <v>1051</v>
      </c>
      <c r="I11" s="404" t="s">
        <v>1051</v>
      </c>
      <c r="J11" s="404" t="s">
        <v>1051</v>
      </c>
      <c r="K11" s="404" t="s">
        <v>1051</v>
      </c>
      <c r="L11" s="404">
        <v>1</v>
      </c>
      <c r="M11" s="404" t="s">
        <v>1051</v>
      </c>
    </row>
    <row r="12" spans="1:13">
      <c r="A12" s="79">
        <v>8</v>
      </c>
      <c r="B12" s="404">
        <v>75.200115350000004</v>
      </c>
      <c r="C12" s="492">
        <v>0.75200115350000007</v>
      </c>
      <c r="F12" s="68" t="str">
        <f>'G-1 All Habitats'!B11</f>
        <v>Cropland - Non-cereal crops</v>
      </c>
      <c r="G12" s="404" t="s">
        <v>1051</v>
      </c>
      <c r="H12" s="404" t="s">
        <v>1051</v>
      </c>
      <c r="I12" s="404" t="s">
        <v>1051</v>
      </c>
      <c r="J12" s="404" t="s">
        <v>1051</v>
      </c>
      <c r="K12" s="404" t="s">
        <v>1051</v>
      </c>
      <c r="L12" s="404">
        <v>1</v>
      </c>
      <c r="M12" s="404" t="s">
        <v>1051</v>
      </c>
    </row>
    <row r="13" spans="1:13">
      <c r="A13" s="79">
        <v>9</v>
      </c>
      <c r="B13" s="404">
        <v>72.568111310000006</v>
      </c>
      <c r="C13" s="492">
        <v>0.72568111310000005</v>
      </c>
      <c r="F13" s="68" t="str">
        <f>'G-1 All Habitats'!B12</f>
        <v>Cropland - Temporary grass and clover leys</v>
      </c>
      <c r="G13" s="404" t="s">
        <v>1051</v>
      </c>
      <c r="H13" s="404" t="s">
        <v>1051</v>
      </c>
      <c r="I13" s="404" t="s">
        <v>1051</v>
      </c>
      <c r="J13" s="404" t="s">
        <v>1051</v>
      </c>
      <c r="K13" s="404" t="s">
        <v>1051</v>
      </c>
      <c r="L13" s="404">
        <v>1</v>
      </c>
      <c r="M13" s="404" t="s">
        <v>1051</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1051</v>
      </c>
      <c r="M14" s="404" t="s">
        <v>1051</v>
      </c>
    </row>
    <row r="15" spans="1:13">
      <c r="A15" s="79">
        <v>11</v>
      </c>
      <c r="B15" s="404">
        <v>67.577239460000001</v>
      </c>
      <c r="C15" s="492">
        <v>0.67577239460000005</v>
      </c>
      <c r="F15" s="68" t="str">
        <f>'G-1 All Habitats'!B14</f>
        <v>Grassland - Bracken</v>
      </c>
      <c r="G15" s="404" t="s">
        <v>1051</v>
      </c>
      <c r="H15" s="404" t="s">
        <v>1051</v>
      </c>
      <c r="I15" s="404" t="s">
        <v>1051</v>
      </c>
      <c r="J15" s="404" t="s">
        <v>1051</v>
      </c>
      <c r="K15" s="404" t="s">
        <v>1051</v>
      </c>
      <c r="L15" s="404">
        <v>1</v>
      </c>
      <c r="M15" s="404" t="s">
        <v>1051</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1051</v>
      </c>
      <c r="M16" s="404" t="s">
        <v>1051</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1051</v>
      </c>
      <c r="M17" s="404" t="s">
        <v>1051</v>
      </c>
    </row>
    <row r="18" spans="1:13">
      <c r="A18" s="79">
        <v>14</v>
      </c>
      <c r="B18" s="404">
        <v>60.727078290000001</v>
      </c>
      <c r="C18" s="492">
        <v>0.60727078290000003</v>
      </c>
      <c r="F18" s="68" t="str">
        <f>'G-1 All Habitats'!B17</f>
        <v>Grassland - Lowland dry acid grassland</v>
      </c>
      <c r="G18" s="404" t="s">
        <v>1052</v>
      </c>
      <c r="H18" s="404">
        <v>25</v>
      </c>
      <c r="I18" s="404">
        <v>20</v>
      </c>
      <c r="J18" s="404">
        <v>15</v>
      </c>
      <c r="K18" s="404">
        <v>10</v>
      </c>
      <c r="L18" s="404" t="s">
        <v>1051</v>
      </c>
      <c r="M18" s="404" t="s">
        <v>1051</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1051</v>
      </c>
      <c r="M19" s="404" t="s">
        <v>1051</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1051</v>
      </c>
      <c r="M20" s="404" t="s">
        <v>1051</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1051</v>
      </c>
      <c r="M21" s="404" t="s">
        <v>1051</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1051</v>
      </c>
      <c r="M22" s="404" t="s">
        <v>1051</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1051</v>
      </c>
      <c r="M23" s="404" t="s">
        <v>1051</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1051</v>
      </c>
      <c r="M24" s="404" t="s">
        <v>1051</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1051</v>
      </c>
      <c r="M25" s="404" t="s">
        <v>1051</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1051</v>
      </c>
      <c r="M26" s="404" t="s">
        <v>1051</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1051</v>
      </c>
      <c r="M27" s="404" t="s">
        <v>1051</v>
      </c>
    </row>
    <row r="28" spans="1:13">
      <c r="A28" s="79">
        <v>24</v>
      </c>
      <c r="B28" s="404">
        <v>42.52609649</v>
      </c>
      <c r="C28" s="492">
        <v>0.42526096489999998</v>
      </c>
      <c r="F28" s="68" t="str">
        <f>'G-1 All Habitats'!B27</f>
        <v>Heathland and shrub - Bramble scrub</v>
      </c>
      <c r="G28" s="404" t="s">
        <v>1051</v>
      </c>
      <c r="H28" s="404" t="s">
        <v>1051</v>
      </c>
      <c r="I28" s="404" t="s">
        <v>1051</v>
      </c>
      <c r="J28" s="404" t="s">
        <v>1051</v>
      </c>
      <c r="K28" s="404" t="s">
        <v>1051</v>
      </c>
      <c r="L28" s="404">
        <v>1</v>
      </c>
      <c r="M28" s="404" t="s">
        <v>1051</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1051</v>
      </c>
      <c r="M29" s="404" t="s">
        <v>1051</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1051</v>
      </c>
      <c r="M30" s="404" t="s">
        <v>1051</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1051</v>
      </c>
      <c r="M31" s="404" t="s">
        <v>1051</v>
      </c>
    </row>
    <row r="32" spans="1:13">
      <c r="A32" s="79">
        <v>28</v>
      </c>
      <c r="B32" s="404">
        <v>36.877780379999997</v>
      </c>
      <c r="C32" s="492">
        <v>0.36877780379999997</v>
      </c>
      <c r="F32" s="68" t="s">
        <v>609</v>
      </c>
      <c r="G32" s="404">
        <v>15</v>
      </c>
      <c r="H32" s="404">
        <v>12</v>
      </c>
      <c r="I32" s="404">
        <v>10</v>
      </c>
      <c r="J32" s="404">
        <v>7</v>
      </c>
      <c r="K32" s="404">
        <v>5</v>
      </c>
      <c r="L32" s="404" t="s">
        <v>1051</v>
      </c>
      <c r="M32" s="404" t="s">
        <v>1051</v>
      </c>
    </row>
    <row r="33" spans="1:13">
      <c r="A33" s="79">
        <v>29</v>
      </c>
      <c r="B33" s="404">
        <v>35.587058069999998</v>
      </c>
      <c r="C33" s="492">
        <v>0.35587058069999999</v>
      </c>
      <c r="F33" s="68" t="str">
        <f>'G-1 All Habitats'!B31</f>
        <v>Heathland and shrub - Lowland heathland</v>
      </c>
      <c r="G33" s="404" t="s">
        <v>1052</v>
      </c>
      <c r="H33" s="404">
        <v>25</v>
      </c>
      <c r="I33" s="404">
        <v>20</v>
      </c>
      <c r="J33" s="404">
        <v>15</v>
      </c>
      <c r="K33" s="404">
        <v>10</v>
      </c>
      <c r="L33" s="404" t="s">
        <v>1051</v>
      </c>
      <c r="M33" s="404" t="s">
        <v>1051</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1051</v>
      </c>
      <c r="M34" s="404" t="s">
        <v>1051</v>
      </c>
    </row>
    <row r="35" spans="1:13">
      <c r="A35" s="79">
        <v>31</v>
      </c>
      <c r="B35" s="404">
        <v>33.139558149999999</v>
      </c>
      <c r="C35" s="492">
        <v>0.33139558149999998</v>
      </c>
      <c r="F35" s="68" t="str">
        <f>'G-1 All Habitats'!B33</f>
        <v>Heathland and shrub - Mountain heaths and willow scrub</v>
      </c>
      <c r="G35" s="404" t="s">
        <v>1052</v>
      </c>
      <c r="H35" s="404" t="s">
        <v>1052</v>
      </c>
      <c r="I35" s="404">
        <v>25</v>
      </c>
      <c r="J35" s="404">
        <v>23</v>
      </c>
      <c r="K35" s="404">
        <v>15</v>
      </c>
      <c r="L35" s="404" t="s">
        <v>1051</v>
      </c>
      <c r="M35" s="404" t="s">
        <v>1051</v>
      </c>
    </row>
    <row r="36" spans="1:13">
      <c r="A36" s="79" t="s">
        <v>1052</v>
      </c>
      <c r="B36" s="441">
        <v>31.979673609999999</v>
      </c>
      <c r="C36" s="492">
        <v>0.31979673609999998</v>
      </c>
      <c r="F36" s="68" t="str">
        <f>'G-1 All Habitats'!B34</f>
        <v>Heathland and shrub - Rhododendron scrub</v>
      </c>
      <c r="G36" s="404" t="s">
        <v>1051</v>
      </c>
      <c r="H36" s="404" t="s">
        <v>1051</v>
      </c>
      <c r="I36" s="404" t="s">
        <v>1051</v>
      </c>
      <c r="J36" s="404" t="s">
        <v>1051</v>
      </c>
      <c r="K36" s="404" t="s">
        <v>1051</v>
      </c>
      <c r="L36" s="404">
        <v>1</v>
      </c>
      <c r="M36" s="404" t="s">
        <v>1051</v>
      </c>
    </row>
    <row r="37" spans="1:13">
      <c r="A37" s="230" t="s">
        <v>1051</v>
      </c>
      <c r="B37" s="493" t="s">
        <v>1040</v>
      </c>
      <c r="C37" s="493" t="s">
        <v>1040</v>
      </c>
      <c r="F37" s="68" t="str">
        <f>'G-1 All Habitats'!B35</f>
        <v>Heathland and shrub - Dunes with sea buckthorn (H2160)</v>
      </c>
      <c r="G37" s="404">
        <v>10</v>
      </c>
      <c r="H37" s="404">
        <v>7</v>
      </c>
      <c r="I37" s="404">
        <v>5</v>
      </c>
      <c r="J37" s="404">
        <v>3</v>
      </c>
      <c r="K37" s="404">
        <v>1</v>
      </c>
      <c r="L37" s="404" t="s">
        <v>1051</v>
      </c>
      <c r="M37" s="404" t="s">
        <v>1051</v>
      </c>
    </row>
    <row r="38" spans="1:13">
      <c r="F38" s="68" t="str">
        <f>'G-1 All Habitats'!B36</f>
        <v>Heathland and shrub - Other sea buckthorn scrub</v>
      </c>
      <c r="G38" s="404" t="s">
        <v>1051</v>
      </c>
      <c r="H38" s="404" t="s">
        <v>1051</v>
      </c>
      <c r="I38" s="404" t="s">
        <v>1051</v>
      </c>
      <c r="J38" s="404" t="s">
        <v>1051</v>
      </c>
      <c r="K38" s="404" t="s">
        <v>1051</v>
      </c>
      <c r="L38" s="404">
        <v>1</v>
      </c>
      <c r="M38" s="404" t="s">
        <v>1051</v>
      </c>
    </row>
    <row r="39" spans="1:13">
      <c r="A39" s="33"/>
      <c r="B39" s="33"/>
      <c r="C39" s="33"/>
      <c r="F39" s="68" t="str">
        <f>'G-1 All Habitats'!B38</f>
        <v>Heathland and shrub - Upland heathland</v>
      </c>
      <c r="G39" s="404">
        <v>30</v>
      </c>
      <c r="H39" s="404">
        <v>25</v>
      </c>
      <c r="I39" s="404">
        <v>20</v>
      </c>
      <c r="J39" s="404">
        <v>15</v>
      </c>
      <c r="K39" s="404">
        <v>10</v>
      </c>
      <c r="L39" s="404" t="s">
        <v>1051</v>
      </c>
      <c r="M39" s="404" t="s">
        <v>1051</v>
      </c>
    </row>
    <row r="40" spans="1:13" ht="43.5">
      <c r="A40" s="231" t="s">
        <v>1053</v>
      </c>
      <c r="B40" s="33"/>
      <c r="C40" s="33"/>
      <c r="F40" s="68" t="str">
        <f>'G-1 All Habitats'!B39</f>
        <v>Lakes - Aquifer fed naturally fluctuating water bodies</v>
      </c>
      <c r="G40" s="404">
        <v>30</v>
      </c>
      <c r="H40" s="404">
        <v>20</v>
      </c>
      <c r="I40" s="404">
        <v>15</v>
      </c>
      <c r="J40" s="404">
        <v>10</v>
      </c>
      <c r="K40" s="404">
        <v>1</v>
      </c>
      <c r="L40" s="404" t="s">
        <v>1051</v>
      </c>
      <c r="M40" s="404" t="s">
        <v>1051</v>
      </c>
    </row>
    <row r="41" spans="1:13">
      <c r="A41" s="78" t="s">
        <v>1048</v>
      </c>
      <c r="B41" s="33"/>
      <c r="C41" s="33"/>
      <c r="F41" s="68" t="str">
        <f>'G-1 All Habitats'!B41</f>
        <v>Lakes - High alkalinity lakes</v>
      </c>
      <c r="G41" s="404">
        <v>30</v>
      </c>
      <c r="H41" s="404">
        <v>20</v>
      </c>
      <c r="I41" s="404">
        <v>10</v>
      </c>
      <c r="J41" s="404">
        <v>7</v>
      </c>
      <c r="K41" s="404">
        <v>5</v>
      </c>
      <c r="L41" s="404" t="s">
        <v>1051</v>
      </c>
      <c r="M41" s="404" t="s">
        <v>1051</v>
      </c>
    </row>
    <row r="42" spans="1:13">
      <c r="A42" s="404">
        <v>0</v>
      </c>
      <c r="B42" s="33"/>
      <c r="C42" s="33"/>
      <c r="F42" s="68" t="str">
        <f>'G-1 All Habitats'!B42</f>
        <v>Lakes - Low alkalinity lakes</v>
      </c>
      <c r="G42" s="404">
        <v>30</v>
      </c>
      <c r="H42" s="404">
        <v>20</v>
      </c>
      <c r="I42" s="404">
        <v>10</v>
      </c>
      <c r="J42" s="404">
        <v>7</v>
      </c>
      <c r="K42" s="404">
        <v>5</v>
      </c>
      <c r="L42" s="404" t="s">
        <v>1051</v>
      </c>
      <c r="M42" s="404" t="s">
        <v>1051</v>
      </c>
    </row>
    <row r="43" spans="1:13">
      <c r="A43" s="404">
        <v>1</v>
      </c>
      <c r="B43" s="33"/>
      <c r="C43" s="33"/>
      <c r="F43" s="68" t="str">
        <f>'G-1 All Habitats'!B43</f>
        <v>Lakes - Marl lakes</v>
      </c>
      <c r="G43" s="404">
        <v>30</v>
      </c>
      <c r="H43" s="404">
        <v>20</v>
      </c>
      <c r="I43" s="404">
        <v>10</v>
      </c>
      <c r="J43" s="404">
        <v>7</v>
      </c>
      <c r="K43" s="404">
        <v>5</v>
      </c>
      <c r="L43" s="404" t="s">
        <v>1051</v>
      </c>
      <c r="M43" s="404" t="s">
        <v>1051</v>
      </c>
    </row>
    <row r="44" spans="1:13">
      <c r="A44" s="404">
        <v>2</v>
      </c>
      <c r="B44" s="33"/>
      <c r="C44" s="33"/>
      <c r="F44" s="68" t="str">
        <f>'G-1 All Habitats'!B44</f>
        <v>Lakes - Moderate alkalinity lakes</v>
      </c>
      <c r="G44" s="404">
        <v>30</v>
      </c>
      <c r="H44" s="404">
        <v>20</v>
      </c>
      <c r="I44" s="404">
        <v>10</v>
      </c>
      <c r="J44" s="404">
        <v>7</v>
      </c>
      <c r="K44" s="404">
        <v>5</v>
      </c>
      <c r="L44" s="404" t="s">
        <v>1051</v>
      </c>
      <c r="M44" s="404" t="s">
        <v>1051</v>
      </c>
    </row>
    <row r="45" spans="1:13">
      <c r="A45" s="404">
        <v>3</v>
      </c>
      <c r="B45" s="33"/>
      <c r="C45" s="33"/>
      <c r="F45" s="68" t="str">
        <f>'G-1 All Habitats'!B45</f>
        <v>Lakes - Peat lakes</v>
      </c>
      <c r="G45" s="404">
        <v>30</v>
      </c>
      <c r="H45" s="404">
        <v>20</v>
      </c>
      <c r="I45" s="404">
        <v>10</v>
      </c>
      <c r="J45" s="404">
        <v>7</v>
      </c>
      <c r="K45" s="404">
        <v>5</v>
      </c>
      <c r="L45" s="404" t="s">
        <v>1051</v>
      </c>
      <c r="M45" s="404" t="s">
        <v>1051</v>
      </c>
    </row>
    <row r="46" spans="1:13">
      <c r="A46" s="404">
        <v>4</v>
      </c>
      <c r="B46" s="33"/>
      <c r="C46" s="33"/>
      <c r="F46" s="68" t="str">
        <f>'G-1 All Habitats'!B46</f>
        <v>Lakes - Ponds (priority habitat)</v>
      </c>
      <c r="G46" s="404">
        <v>5</v>
      </c>
      <c r="H46" s="404">
        <v>4</v>
      </c>
      <c r="I46" s="404">
        <v>3</v>
      </c>
      <c r="J46" s="404">
        <v>2</v>
      </c>
      <c r="K46" s="404">
        <v>1</v>
      </c>
      <c r="L46" s="404" t="s">
        <v>1051</v>
      </c>
      <c r="M46" s="404" t="s">
        <v>1051</v>
      </c>
    </row>
    <row r="47" spans="1:13">
      <c r="A47" s="404">
        <v>5</v>
      </c>
      <c r="B47" s="33"/>
      <c r="C47" s="33"/>
      <c r="F47" s="68" t="str">
        <f>'G-1 All Habitats'!B47</f>
        <v>Lakes - Ponds (non-priority habitat)</v>
      </c>
      <c r="G47" s="404">
        <v>5</v>
      </c>
      <c r="H47" s="404">
        <v>4</v>
      </c>
      <c r="I47" s="404">
        <v>3</v>
      </c>
      <c r="J47" s="404">
        <v>2</v>
      </c>
      <c r="K47" s="404">
        <v>1</v>
      </c>
      <c r="L47" s="404" t="s">
        <v>1051</v>
      </c>
      <c r="M47" s="404" t="s">
        <v>1051</v>
      </c>
    </row>
    <row r="48" spans="1:13">
      <c r="A48" s="404">
        <v>6</v>
      </c>
      <c r="B48" s="33"/>
      <c r="C48" s="33"/>
      <c r="F48" s="68" t="str">
        <f>'G-1 All Habitats'!B48</f>
        <v>Lakes - Reservoirs</v>
      </c>
      <c r="G48" s="404">
        <v>10</v>
      </c>
      <c r="H48" s="404">
        <v>7</v>
      </c>
      <c r="I48" s="404">
        <v>5</v>
      </c>
      <c r="J48" s="404">
        <v>3</v>
      </c>
      <c r="K48" s="404">
        <v>1</v>
      </c>
      <c r="L48" s="404" t="s">
        <v>1051</v>
      </c>
      <c r="M48" s="404" t="s">
        <v>1051</v>
      </c>
    </row>
    <row r="49" spans="1:13">
      <c r="A49" s="404">
        <v>7</v>
      </c>
      <c r="B49" s="33"/>
      <c r="C49" s="33"/>
      <c r="F49" s="68" t="str">
        <f>'G-1 All Habitats'!B49</f>
        <v>Lakes - Temporary lakes ponds and pools (H3170)</v>
      </c>
      <c r="G49" s="404">
        <v>5</v>
      </c>
      <c r="H49" s="404">
        <v>4</v>
      </c>
      <c r="I49" s="404">
        <v>3</v>
      </c>
      <c r="J49" s="404">
        <v>2</v>
      </c>
      <c r="K49" s="404">
        <v>1</v>
      </c>
      <c r="L49" s="404" t="s">
        <v>1051</v>
      </c>
      <c r="M49" s="404" t="s">
        <v>1051</v>
      </c>
    </row>
    <row r="50" spans="1:13">
      <c r="A50" s="404">
        <v>8</v>
      </c>
      <c r="B50" s="33"/>
      <c r="C50" s="33"/>
      <c r="F50" s="68" t="str">
        <f>'G-1 All Habitats'!B50</f>
        <v>Sparsely vegetated land - Calaminarian grasslands</v>
      </c>
      <c r="G50" s="404">
        <v>10</v>
      </c>
      <c r="H50" s="404">
        <v>7</v>
      </c>
      <c r="I50" s="404">
        <v>5</v>
      </c>
      <c r="J50" s="404">
        <v>3</v>
      </c>
      <c r="K50" s="404">
        <v>2</v>
      </c>
      <c r="L50" s="404" t="s">
        <v>1051</v>
      </c>
      <c r="M50" s="404" t="s">
        <v>1051</v>
      </c>
    </row>
    <row r="51" spans="1:13">
      <c r="A51" s="404">
        <v>9</v>
      </c>
      <c r="B51" s="33"/>
      <c r="C51" s="33"/>
      <c r="F51" s="68" t="str">
        <f>'G-1 All Habitats'!B51</f>
        <v>Sparsely vegetated land - Coastal sand dunes</v>
      </c>
      <c r="G51" s="404">
        <v>20</v>
      </c>
      <c r="H51" s="404">
        <v>15</v>
      </c>
      <c r="I51" s="404">
        <v>10</v>
      </c>
      <c r="J51" s="404">
        <v>7</v>
      </c>
      <c r="K51" s="404">
        <v>5</v>
      </c>
      <c r="L51" s="404" t="s">
        <v>1051</v>
      </c>
      <c r="M51" s="404" t="s">
        <v>1051</v>
      </c>
    </row>
    <row r="52" spans="1:13">
      <c r="A52" s="404">
        <v>10</v>
      </c>
      <c r="B52" s="33"/>
      <c r="C52" s="33"/>
      <c r="F52" s="68" t="str">
        <f>'G-1 All Habitats'!B52</f>
        <v>Sparsely vegetated land - Coastal vegetated shingle</v>
      </c>
      <c r="G52" s="404">
        <v>20</v>
      </c>
      <c r="H52" s="404">
        <v>15</v>
      </c>
      <c r="I52" s="404">
        <v>10</v>
      </c>
      <c r="J52" s="404">
        <v>7</v>
      </c>
      <c r="K52" s="404">
        <v>5</v>
      </c>
      <c r="L52" s="404" t="s">
        <v>1051</v>
      </c>
      <c r="M52" s="404" t="s">
        <v>1051</v>
      </c>
    </row>
    <row r="53" spans="1:13">
      <c r="A53" s="404">
        <v>11</v>
      </c>
      <c r="B53" s="33"/>
      <c r="C53" s="33"/>
      <c r="F53" s="68" t="str">
        <f>'G-1 All Habitats'!B53</f>
        <v>Sparsely vegetated land - Ruderal/Ephemeral</v>
      </c>
      <c r="G53" s="404">
        <v>5</v>
      </c>
      <c r="H53" s="404">
        <v>4</v>
      </c>
      <c r="I53" s="404">
        <v>3</v>
      </c>
      <c r="J53" s="404">
        <v>2</v>
      </c>
      <c r="K53" s="404">
        <v>1</v>
      </c>
      <c r="L53" s="404" t="s">
        <v>1051</v>
      </c>
      <c r="M53" s="404" t="s">
        <v>1051</v>
      </c>
    </row>
    <row r="54" spans="1:13">
      <c r="A54" s="404">
        <v>12</v>
      </c>
      <c r="B54" s="33"/>
      <c r="C54" s="33"/>
      <c r="F54" s="68" t="s">
        <v>667</v>
      </c>
      <c r="G54" s="404">
        <v>5</v>
      </c>
      <c r="H54" s="404">
        <v>4</v>
      </c>
      <c r="I54" s="404">
        <v>3</v>
      </c>
      <c r="J54" s="404">
        <v>2</v>
      </c>
      <c r="K54" s="404">
        <v>1</v>
      </c>
      <c r="L54" s="404" t="s">
        <v>1051</v>
      </c>
      <c r="M54" s="404" t="s">
        <v>1051</v>
      </c>
    </row>
    <row r="55" spans="1:13">
      <c r="A55" s="404">
        <v>13</v>
      </c>
      <c r="B55" s="33"/>
      <c r="C55" s="33"/>
      <c r="F55" s="68" t="str">
        <f>'G-1 All Habitats'!B55</f>
        <v>Sparsely vegetated land - Inland rock outcrop and scree habitats</v>
      </c>
      <c r="G55" s="404" t="s">
        <v>1052</v>
      </c>
      <c r="H55" s="404">
        <v>25</v>
      </c>
      <c r="I55" s="404">
        <v>20</v>
      </c>
      <c r="J55" s="404">
        <v>15</v>
      </c>
      <c r="K55" s="404">
        <v>10</v>
      </c>
      <c r="L55" s="404" t="s">
        <v>1051</v>
      </c>
      <c r="M55" s="404" t="s">
        <v>1051</v>
      </c>
    </row>
    <row r="56" spans="1:13">
      <c r="A56" s="404">
        <v>14</v>
      </c>
      <c r="B56" s="33"/>
      <c r="C56" s="33"/>
      <c r="F56" s="68" t="str">
        <f>'G-1 All Habitats'!B56</f>
        <v>Sparsely vegetated land - Limestone pavement</v>
      </c>
      <c r="G56" s="404" t="s">
        <v>1052</v>
      </c>
      <c r="H56" s="404" t="s">
        <v>1052</v>
      </c>
      <c r="I56" s="404" t="s">
        <v>1052</v>
      </c>
      <c r="J56" s="404" t="s">
        <v>1052</v>
      </c>
      <c r="K56" s="404" t="s">
        <v>1052</v>
      </c>
      <c r="L56" s="404" t="s">
        <v>1051</v>
      </c>
      <c r="M56" s="404" t="s">
        <v>1051</v>
      </c>
    </row>
    <row r="57" spans="1:13">
      <c r="A57" s="404">
        <v>15</v>
      </c>
      <c r="B57" s="33"/>
      <c r="C57" s="33"/>
      <c r="F57" s="68" t="str">
        <f>'G-1 All Habitats'!B57</f>
        <v>Sparsely vegetated land - Maritime cliff and slopes</v>
      </c>
      <c r="G57" s="404">
        <v>20</v>
      </c>
      <c r="H57" s="404">
        <v>15</v>
      </c>
      <c r="I57" s="404">
        <v>10</v>
      </c>
      <c r="J57" s="404">
        <v>7</v>
      </c>
      <c r="K57" s="404">
        <v>5</v>
      </c>
      <c r="L57" s="404" t="s">
        <v>1051</v>
      </c>
      <c r="M57" s="404" t="s">
        <v>1051</v>
      </c>
    </row>
    <row r="58" spans="1:13">
      <c r="A58" s="404">
        <v>16</v>
      </c>
      <c r="B58" s="33"/>
      <c r="C58" s="33"/>
      <c r="F58" s="68" t="str">
        <f>'G-1 All Habitats'!B58</f>
        <v>Sparsely vegetated land - Other inland rock and scree</v>
      </c>
      <c r="G58" s="404">
        <v>20</v>
      </c>
      <c r="H58" s="404">
        <v>15</v>
      </c>
      <c r="I58" s="404">
        <v>10</v>
      </c>
      <c r="J58" s="404">
        <v>7</v>
      </c>
      <c r="K58" s="404">
        <v>5</v>
      </c>
      <c r="L58" s="404" t="s">
        <v>1051</v>
      </c>
      <c r="M58" s="404" t="s">
        <v>1051</v>
      </c>
    </row>
    <row r="59" spans="1:13">
      <c r="A59" s="404">
        <v>17</v>
      </c>
      <c r="B59" s="33"/>
      <c r="C59" s="33"/>
      <c r="F59" s="68" t="str">
        <f>'G-1 All Habitats'!B59</f>
        <v>Urban - Allotments</v>
      </c>
      <c r="G59" s="404">
        <v>1</v>
      </c>
      <c r="H59" s="404">
        <v>1</v>
      </c>
      <c r="I59" s="404">
        <v>1</v>
      </c>
      <c r="J59" s="404">
        <v>1</v>
      </c>
      <c r="K59" s="404">
        <v>1</v>
      </c>
      <c r="L59" s="404" t="s">
        <v>1051</v>
      </c>
      <c r="M59" s="404" t="s">
        <v>1051</v>
      </c>
    </row>
    <row r="60" spans="1:13">
      <c r="A60" s="404">
        <v>18</v>
      </c>
      <c r="B60" s="33"/>
      <c r="C60" s="33"/>
      <c r="F60" s="68" t="str">
        <f>'G-1 All Habitats'!B40</f>
        <v>Lakes - Ornamental lake or pond</v>
      </c>
      <c r="G60" s="404">
        <v>5</v>
      </c>
      <c r="H60" s="404">
        <v>4</v>
      </c>
      <c r="I60" s="404">
        <v>3</v>
      </c>
      <c r="J60" s="404">
        <v>2</v>
      </c>
      <c r="K60" s="404">
        <v>1</v>
      </c>
      <c r="L60" s="404" t="s">
        <v>1051</v>
      </c>
      <c r="M60" s="404" t="s">
        <v>1051</v>
      </c>
    </row>
    <row r="61" spans="1:13">
      <c r="A61" s="404">
        <v>19</v>
      </c>
      <c r="B61" s="33"/>
      <c r="C61" s="33"/>
      <c r="F61" s="68" t="str">
        <f>'G-1 All Habitats'!B60</f>
        <v>Urban - Artificial unvegetated, unsealed surface</v>
      </c>
      <c r="G61" s="404" t="s">
        <v>1051</v>
      </c>
      <c r="H61" s="404" t="s">
        <v>1051</v>
      </c>
      <c r="I61" s="404" t="s">
        <v>1051</v>
      </c>
      <c r="J61" s="404" t="s">
        <v>1051</v>
      </c>
      <c r="K61" s="404" t="s">
        <v>1051</v>
      </c>
      <c r="L61" s="404" t="s">
        <v>1051</v>
      </c>
      <c r="M61" s="404">
        <v>0</v>
      </c>
    </row>
    <row r="62" spans="1:13">
      <c r="A62" s="404">
        <v>20</v>
      </c>
      <c r="B62" s="33"/>
      <c r="C62" s="33"/>
      <c r="F62" s="68" t="str">
        <f>'G-1 All Habitats'!B61</f>
        <v>Urban - Bioswale</v>
      </c>
      <c r="G62" s="404">
        <v>3</v>
      </c>
      <c r="H62" s="404">
        <v>2</v>
      </c>
      <c r="I62" s="404">
        <v>1</v>
      </c>
      <c r="J62" s="404">
        <v>1</v>
      </c>
      <c r="K62" s="404">
        <v>1</v>
      </c>
      <c r="L62" s="404" t="s">
        <v>1051</v>
      </c>
      <c r="M62" s="404" t="s">
        <v>1051</v>
      </c>
    </row>
    <row r="63" spans="1:13">
      <c r="A63" s="404">
        <v>21</v>
      </c>
      <c r="B63" s="33"/>
      <c r="C63" s="33"/>
      <c r="F63" s="68" t="str">
        <f>'G-1 All Habitats'!B62</f>
        <v>Urban - Intensive green roof</v>
      </c>
      <c r="G63" s="404">
        <v>5</v>
      </c>
      <c r="H63" s="404">
        <v>4</v>
      </c>
      <c r="I63" s="404">
        <v>3</v>
      </c>
      <c r="J63" s="404">
        <v>2</v>
      </c>
      <c r="K63" s="404">
        <v>1</v>
      </c>
      <c r="L63" s="404" t="s">
        <v>1051</v>
      </c>
      <c r="M63" s="404" t="s">
        <v>1051</v>
      </c>
    </row>
    <row r="64" spans="1:13">
      <c r="A64" s="404">
        <v>22</v>
      </c>
      <c r="B64" s="33"/>
      <c r="C64" s="33"/>
      <c r="F64" s="68" t="str">
        <f>'G-1 All Habitats'!B63</f>
        <v>Urban - Built linear features</v>
      </c>
      <c r="G64" s="404" t="s">
        <v>1051</v>
      </c>
      <c r="H64" s="404" t="s">
        <v>1051</v>
      </c>
      <c r="I64" s="404" t="s">
        <v>1051</v>
      </c>
      <c r="J64" s="404" t="s">
        <v>1051</v>
      </c>
      <c r="K64" s="404" t="s">
        <v>1051</v>
      </c>
      <c r="L64" s="404" t="s">
        <v>1051</v>
      </c>
      <c r="M64" s="404">
        <v>0</v>
      </c>
    </row>
    <row r="65" spans="1:13">
      <c r="A65" s="404">
        <v>23</v>
      </c>
      <c r="B65" s="33"/>
      <c r="C65" s="33"/>
      <c r="F65" s="68" t="str">
        <f>'G-1 All Habitats'!B64</f>
        <v>Urban - Cemeteries and churchyards</v>
      </c>
      <c r="G65" s="404">
        <v>20</v>
      </c>
      <c r="H65" s="404">
        <v>17</v>
      </c>
      <c r="I65" s="404">
        <v>15</v>
      </c>
      <c r="J65" s="404">
        <v>12</v>
      </c>
      <c r="K65" s="404">
        <v>10</v>
      </c>
      <c r="L65" s="404" t="s">
        <v>1051</v>
      </c>
      <c r="M65" s="404" t="s">
        <v>1051</v>
      </c>
    </row>
    <row r="66" spans="1:13">
      <c r="A66" s="404">
        <v>24</v>
      </c>
      <c r="B66" s="33"/>
      <c r="C66" s="33"/>
      <c r="F66" s="68" t="str">
        <f>'G-1 All Habitats'!B65</f>
        <v>Urban - Developed land; sealed surface</v>
      </c>
      <c r="G66" s="404" t="s">
        <v>1051</v>
      </c>
      <c r="H66" s="404" t="s">
        <v>1051</v>
      </c>
      <c r="I66" s="404" t="s">
        <v>1051</v>
      </c>
      <c r="J66" s="404" t="s">
        <v>1051</v>
      </c>
      <c r="K66" s="404" t="s">
        <v>1051</v>
      </c>
      <c r="L66" s="404" t="s">
        <v>1051</v>
      </c>
      <c r="M66" s="404">
        <v>0</v>
      </c>
    </row>
    <row r="67" spans="1:13">
      <c r="A67" s="404">
        <v>25</v>
      </c>
      <c r="B67" s="33"/>
      <c r="C67" s="33"/>
      <c r="F67" s="68" t="str">
        <f>'G-1 All Habitats'!B66</f>
        <v>Urban - Other green roof</v>
      </c>
      <c r="G67" s="404" t="s">
        <v>1051</v>
      </c>
      <c r="H67" s="404" t="s">
        <v>1051</v>
      </c>
      <c r="I67" s="404" t="s">
        <v>1051</v>
      </c>
      <c r="J67" s="404" t="s">
        <v>1051</v>
      </c>
      <c r="K67" s="404" t="s">
        <v>1051</v>
      </c>
      <c r="L67" s="404">
        <v>1</v>
      </c>
      <c r="M67" s="404" t="s">
        <v>1051</v>
      </c>
    </row>
    <row r="68" spans="1:13">
      <c r="A68" s="404">
        <v>26</v>
      </c>
      <c r="B68" s="33"/>
      <c r="C68" s="33"/>
      <c r="F68" s="68" t="str">
        <f>'G-1 All Habitats'!B67</f>
        <v>Urban - Facade-bound green wall</v>
      </c>
      <c r="G68" s="404">
        <v>5</v>
      </c>
      <c r="H68" s="404">
        <v>4</v>
      </c>
      <c r="I68" s="404">
        <v>3</v>
      </c>
      <c r="J68" s="404">
        <v>2</v>
      </c>
      <c r="K68" s="404">
        <v>1</v>
      </c>
      <c r="L68" s="404" t="s">
        <v>1051</v>
      </c>
      <c r="M68" s="404" t="s">
        <v>1051</v>
      </c>
    </row>
    <row r="69" spans="1:13">
      <c r="A69" s="404">
        <v>27</v>
      </c>
      <c r="B69" s="33"/>
      <c r="C69" s="33"/>
      <c r="F69" s="68" t="str">
        <f>'G-1 All Habitats'!B68</f>
        <v>Urban - Ground based green wall</v>
      </c>
      <c r="G69" s="404">
        <v>5</v>
      </c>
      <c r="H69" s="404">
        <v>4</v>
      </c>
      <c r="I69" s="404">
        <v>3</v>
      </c>
      <c r="J69" s="404">
        <v>2</v>
      </c>
      <c r="K69" s="404">
        <v>1</v>
      </c>
      <c r="L69" s="404" t="s">
        <v>1051</v>
      </c>
      <c r="M69" s="404" t="s">
        <v>1051</v>
      </c>
    </row>
    <row r="70" spans="1:13">
      <c r="A70" s="404">
        <v>28</v>
      </c>
      <c r="B70" s="33"/>
      <c r="C70" s="33"/>
      <c r="F70" s="68" t="str">
        <f>'G-1 All Habitats'!B69</f>
        <v>Urban - Ground level planters</v>
      </c>
      <c r="G70" s="404" t="s">
        <v>1051</v>
      </c>
      <c r="H70" s="404" t="s">
        <v>1051</v>
      </c>
      <c r="I70" s="404" t="s">
        <v>1051</v>
      </c>
      <c r="J70" s="404" t="s">
        <v>1051</v>
      </c>
      <c r="K70" s="404" t="s">
        <v>1051</v>
      </c>
      <c r="L70" s="404">
        <v>1</v>
      </c>
      <c r="M70" s="404" t="s">
        <v>1051</v>
      </c>
    </row>
    <row r="71" spans="1:13">
      <c r="A71" s="404">
        <v>29</v>
      </c>
      <c r="B71" s="33"/>
      <c r="C71" s="33"/>
      <c r="F71" s="68" t="str">
        <f>'G-1 All Habitats'!B70</f>
        <v>Urban - Biodiverse green roof</v>
      </c>
      <c r="G71" s="404">
        <v>10</v>
      </c>
      <c r="H71" s="404">
        <v>8</v>
      </c>
      <c r="I71" s="404">
        <v>5</v>
      </c>
      <c r="J71" s="404">
        <v>3</v>
      </c>
      <c r="K71" s="404">
        <v>1</v>
      </c>
      <c r="L71" s="404" t="s">
        <v>1051</v>
      </c>
      <c r="M71" s="404" t="s">
        <v>1051</v>
      </c>
    </row>
    <row r="72" spans="1:13">
      <c r="A72" s="404">
        <v>30</v>
      </c>
      <c r="B72" s="33"/>
      <c r="C72" s="33"/>
      <c r="F72" s="68" t="str">
        <f>'G-1 All Habitats'!B71</f>
        <v>Urban - Introduced shrub</v>
      </c>
      <c r="G72" s="404" t="s">
        <v>1051</v>
      </c>
      <c r="H72" s="404" t="s">
        <v>1051</v>
      </c>
      <c r="I72" s="404" t="s">
        <v>1051</v>
      </c>
      <c r="J72" s="404" t="s">
        <v>1051</v>
      </c>
      <c r="K72" s="404" t="s">
        <v>1051</v>
      </c>
      <c r="L72" s="404">
        <v>1</v>
      </c>
      <c r="M72" s="404" t="s">
        <v>1051</v>
      </c>
    </row>
    <row r="73" spans="1:13">
      <c r="A73" s="404" t="s">
        <v>1052</v>
      </c>
      <c r="B73" s="33"/>
      <c r="C73" s="33"/>
      <c r="F73" s="68" t="str">
        <f>'G-1 All Habitats'!B72</f>
        <v>Urban - Open mosaic habitats on previously developed land</v>
      </c>
      <c r="G73" s="404">
        <v>10</v>
      </c>
      <c r="H73" s="404">
        <v>7</v>
      </c>
      <c r="I73" s="404">
        <v>4</v>
      </c>
      <c r="J73" s="404">
        <v>2</v>
      </c>
      <c r="K73" s="404">
        <v>0</v>
      </c>
      <c r="L73" s="404" t="s">
        <v>1051</v>
      </c>
      <c r="M73" s="404" t="s">
        <v>1051</v>
      </c>
    </row>
    <row r="74" spans="1:13">
      <c r="B74" s="33"/>
      <c r="C74" s="33"/>
      <c r="F74" s="68" t="str">
        <f>'G-1 All Habitats'!B73</f>
        <v>Urban - Rain garden</v>
      </c>
      <c r="G74" s="404">
        <v>5</v>
      </c>
      <c r="H74" s="404">
        <v>4</v>
      </c>
      <c r="I74" s="404">
        <v>3</v>
      </c>
      <c r="J74" s="404">
        <v>2</v>
      </c>
      <c r="K74" s="404">
        <v>1</v>
      </c>
      <c r="L74" s="404" t="s">
        <v>1051</v>
      </c>
      <c r="M74" s="404" t="s">
        <v>1051</v>
      </c>
    </row>
    <row r="75" spans="1:13">
      <c r="A75" s="33"/>
      <c r="B75" s="33"/>
      <c r="C75" s="33"/>
      <c r="F75" s="68" t="str">
        <f>'G-1 All Habitats'!B74</f>
        <v>Urban - Actively worked sand pit quarry or open cast mine</v>
      </c>
      <c r="G75" s="404" t="s">
        <v>1051</v>
      </c>
      <c r="H75" s="404" t="s">
        <v>1051</v>
      </c>
      <c r="I75" s="404" t="s">
        <v>1051</v>
      </c>
      <c r="J75" s="404" t="s">
        <v>1051</v>
      </c>
      <c r="K75" s="404" t="s">
        <v>1051</v>
      </c>
      <c r="L75" s="404">
        <v>1</v>
      </c>
      <c r="M75" s="404" t="s">
        <v>1051</v>
      </c>
    </row>
    <row r="76" spans="1:13">
      <c r="A76" s="33"/>
      <c r="B76" s="33"/>
      <c r="C76" s="33"/>
      <c r="F76" s="68" t="str">
        <f>'G-1 All Habitats'!B80</f>
        <v>Individual trees - Urban tree</v>
      </c>
      <c r="G76" s="404" t="s">
        <v>1052</v>
      </c>
      <c r="H76" s="404" t="s">
        <v>1052</v>
      </c>
      <c r="I76" s="404">
        <v>27</v>
      </c>
      <c r="J76" s="404">
        <v>19</v>
      </c>
      <c r="K76" s="404">
        <v>10</v>
      </c>
      <c r="L76" s="404" t="s">
        <v>1051</v>
      </c>
      <c r="M76" s="404" t="s">
        <v>1051</v>
      </c>
    </row>
    <row r="77" spans="1:13">
      <c r="A77" s="33"/>
      <c r="B77" s="33"/>
      <c r="C77" s="33"/>
      <c r="F77" s="68" t="str">
        <f>'G-1 All Habitats'!B75</f>
        <v>Urban - Sustainable drainage system</v>
      </c>
      <c r="G77" s="404">
        <v>5</v>
      </c>
      <c r="H77" s="404">
        <v>4</v>
      </c>
      <c r="I77" s="404">
        <v>3</v>
      </c>
      <c r="J77" s="404">
        <v>2</v>
      </c>
      <c r="K77" s="404">
        <v>1</v>
      </c>
      <c r="L77" s="404" t="s">
        <v>1051</v>
      </c>
      <c r="M77" s="404" t="s">
        <v>1051</v>
      </c>
    </row>
    <row r="78" spans="1:13">
      <c r="A78" s="33"/>
      <c r="B78" s="33"/>
      <c r="C78" s="33"/>
      <c r="F78" s="68" t="str">
        <f>'G-1 All Habitats'!B76</f>
        <v>Urban - Unvegetated garden</v>
      </c>
      <c r="G78" s="404" t="s">
        <v>1051</v>
      </c>
      <c r="H78" s="404" t="s">
        <v>1051</v>
      </c>
      <c r="I78" s="404" t="s">
        <v>1051</v>
      </c>
      <c r="J78" s="404" t="s">
        <v>1051</v>
      </c>
      <c r="K78" s="404" t="s">
        <v>1051</v>
      </c>
      <c r="L78" s="404" t="s">
        <v>1051</v>
      </c>
      <c r="M78" s="404">
        <v>0</v>
      </c>
    </row>
    <row r="79" spans="1:13">
      <c r="A79" s="33"/>
      <c r="B79" s="33"/>
      <c r="C79" s="33"/>
      <c r="F79" s="68" t="str">
        <f>'G-1 All Habitats'!B77</f>
        <v>Urban - Vacant or derelict land</v>
      </c>
      <c r="G79" s="404">
        <v>5</v>
      </c>
      <c r="H79" s="404">
        <v>4</v>
      </c>
      <c r="I79" s="404">
        <v>3</v>
      </c>
      <c r="J79" s="404">
        <v>2</v>
      </c>
      <c r="K79" s="404">
        <v>1</v>
      </c>
      <c r="L79" s="404" t="s">
        <v>1051</v>
      </c>
      <c r="M79" s="404" t="s">
        <v>1051</v>
      </c>
    </row>
    <row r="80" spans="1:13">
      <c r="A80" s="33"/>
      <c r="B80" s="33"/>
      <c r="C80" s="33"/>
      <c r="F80" s="68" t="s">
        <v>738</v>
      </c>
      <c r="G80" s="404">
        <v>5</v>
      </c>
      <c r="H80" s="404">
        <v>4</v>
      </c>
      <c r="I80" s="404">
        <v>3</v>
      </c>
      <c r="J80" s="404">
        <v>2</v>
      </c>
      <c r="K80" s="404">
        <v>1</v>
      </c>
      <c r="L80" s="404" t="s">
        <v>1051</v>
      </c>
      <c r="M80" s="404" t="s">
        <v>1051</v>
      </c>
    </row>
    <row r="81" spans="1:13">
      <c r="A81" s="33"/>
      <c r="B81" s="33"/>
      <c r="C81" s="33"/>
      <c r="F81" s="68" t="str">
        <f>'G-1 All Habitats'!B79</f>
        <v>Urban - Vegetated garden</v>
      </c>
      <c r="G81" s="404" t="s">
        <v>1051</v>
      </c>
      <c r="H81" s="404" t="s">
        <v>1051</v>
      </c>
      <c r="I81" s="404" t="s">
        <v>1051</v>
      </c>
      <c r="J81" s="404" t="s">
        <v>1051</v>
      </c>
      <c r="K81" s="404" t="s">
        <v>1051</v>
      </c>
      <c r="L81" s="404">
        <v>1</v>
      </c>
      <c r="M81" s="404" t="s">
        <v>1051</v>
      </c>
    </row>
    <row r="82" spans="1:13">
      <c r="A82" s="33"/>
      <c r="B82" s="33"/>
      <c r="C82" s="33"/>
      <c r="F82" s="68" t="str">
        <f>'G-1 All Habitats'!B82</f>
        <v>Wetland - Blanket bog</v>
      </c>
      <c r="G82" s="404" t="s">
        <v>1052</v>
      </c>
      <c r="H82" s="404" t="s">
        <v>1052</v>
      </c>
      <c r="I82" s="404" t="s">
        <v>1052</v>
      </c>
      <c r="J82" s="404" t="s">
        <v>1052</v>
      </c>
      <c r="K82" s="404" t="s">
        <v>1052</v>
      </c>
      <c r="L82" s="404" t="s">
        <v>1051</v>
      </c>
      <c r="M82" s="404" t="s">
        <v>1051</v>
      </c>
    </row>
    <row r="83" spans="1:13">
      <c r="A83" s="33"/>
      <c r="B83" s="33"/>
      <c r="C83" s="33"/>
      <c r="F83" s="68" t="str">
        <f>'G-1 All Habitats'!B83</f>
        <v>Wetland - Depressions on peat substrates (H7150)</v>
      </c>
      <c r="G83" s="404" t="s">
        <v>1052</v>
      </c>
      <c r="H83" s="404" t="s">
        <v>1052</v>
      </c>
      <c r="I83" s="404">
        <v>30</v>
      </c>
      <c r="J83" s="404">
        <v>25</v>
      </c>
      <c r="K83" s="404">
        <v>15</v>
      </c>
      <c r="L83" s="404" t="s">
        <v>1051</v>
      </c>
      <c r="M83" s="404" t="s">
        <v>1051</v>
      </c>
    </row>
    <row r="84" spans="1:13">
      <c r="A84" s="33"/>
      <c r="B84" s="33"/>
      <c r="C84" s="33"/>
      <c r="F84" s="68" t="str">
        <f>'G-1 All Habitats'!B84</f>
        <v>Wetland - Fens (upland and lowland)</v>
      </c>
      <c r="G84" s="404">
        <v>30</v>
      </c>
      <c r="H84" s="404">
        <v>25</v>
      </c>
      <c r="I84" s="404">
        <v>20</v>
      </c>
      <c r="J84" s="404">
        <v>15</v>
      </c>
      <c r="K84" s="404">
        <v>10</v>
      </c>
      <c r="L84" s="404" t="s">
        <v>1051</v>
      </c>
      <c r="M84" s="404" t="s">
        <v>1051</v>
      </c>
    </row>
    <row r="85" spans="1:13">
      <c r="A85" s="33"/>
      <c r="B85" s="33"/>
      <c r="C85" s="33"/>
      <c r="F85" s="68" t="str">
        <f>'G-1 All Habitats'!B85</f>
        <v>Wetland - Lowland raised bog</v>
      </c>
      <c r="G85" s="404" t="s">
        <v>1052</v>
      </c>
      <c r="H85" s="404" t="s">
        <v>1052</v>
      </c>
      <c r="I85" s="404">
        <v>30</v>
      </c>
      <c r="J85" s="404">
        <v>20</v>
      </c>
      <c r="K85" s="404">
        <v>15</v>
      </c>
      <c r="L85" s="404" t="s">
        <v>1051</v>
      </c>
      <c r="M85" s="404" t="s">
        <v>1051</v>
      </c>
    </row>
    <row r="86" spans="1:13">
      <c r="A86" s="33"/>
      <c r="B86" s="33"/>
      <c r="C86" s="33"/>
      <c r="F86" s="68" t="str">
        <f>'G-1 All Habitats'!B86</f>
        <v>Wetland - Oceanic valley mire[1] (D2.1)</v>
      </c>
      <c r="G86" s="404" t="s">
        <v>1052</v>
      </c>
      <c r="H86" s="404" t="s">
        <v>1052</v>
      </c>
      <c r="I86" s="404">
        <v>30</v>
      </c>
      <c r="J86" s="404">
        <v>20</v>
      </c>
      <c r="K86" s="404">
        <v>15</v>
      </c>
      <c r="L86" s="404" t="s">
        <v>1051</v>
      </c>
      <c r="M86" s="404" t="s">
        <v>1051</v>
      </c>
    </row>
    <row r="87" spans="1:13">
      <c r="A87" s="33"/>
      <c r="B87" s="33"/>
      <c r="C87" s="33"/>
      <c r="F87" s="68" t="str">
        <f>'G-1 All Habitats'!B87</f>
        <v>Wetland - Purple moor grass and rush pastures</v>
      </c>
      <c r="G87" s="404">
        <v>30</v>
      </c>
      <c r="H87" s="404">
        <v>25</v>
      </c>
      <c r="I87" s="404">
        <v>20</v>
      </c>
      <c r="J87" s="404">
        <v>15</v>
      </c>
      <c r="K87" s="404">
        <v>10</v>
      </c>
      <c r="L87" s="404" t="s">
        <v>1051</v>
      </c>
      <c r="M87" s="404" t="s">
        <v>1051</v>
      </c>
    </row>
    <row r="88" spans="1:13">
      <c r="A88" s="33"/>
      <c r="B88" s="33"/>
      <c r="C88" s="33"/>
      <c r="F88" s="68" t="str">
        <f>'G-1 All Habitats'!B88</f>
        <v>Wetland - Reedbeds</v>
      </c>
      <c r="G88" s="404">
        <v>12</v>
      </c>
      <c r="H88" s="404">
        <v>10</v>
      </c>
      <c r="I88" s="404">
        <v>7</v>
      </c>
      <c r="J88" s="404">
        <v>5</v>
      </c>
      <c r="K88" s="404">
        <v>3</v>
      </c>
      <c r="L88" s="404" t="s">
        <v>1051</v>
      </c>
      <c r="M88" s="404" t="s">
        <v>1051</v>
      </c>
    </row>
    <row r="89" spans="1:13">
      <c r="A89" s="33"/>
      <c r="B89" s="33"/>
      <c r="C89" s="33"/>
      <c r="F89" s="68" t="str">
        <f>'G-1 All Habitats'!B89</f>
        <v>Wetland - Transition mires and quaking bogs (H7140)</v>
      </c>
      <c r="G89" s="404" t="s">
        <v>1052</v>
      </c>
      <c r="H89" s="404" t="s">
        <v>1052</v>
      </c>
      <c r="I89" s="404">
        <v>30</v>
      </c>
      <c r="J89" s="404">
        <v>25</v>
      </c>
      <c r="K89" s="404">
        <v>15</v>
      </c>
      <c r="L89" s="404" t="s">
        <v>1051</v>
      </c>
      <c r="M89" s="404" t="s">
        <v>1051</v>
      </c>
    </row>
    <row r="90" spans="1:13">
      <c r="A90" s="33"/>
      <c r="B90" s="33"/>
      <c r="C90" s="33"/>
      <c r="F90" s="68" t="str">
        <f>'G-1 All Habitats'!B90</f>
        <v>Woodland and forest - Felled</v>
      </c>
      <c r="G90" s="404" t="s">
        <v>1052</v>
      </c>
      <c r="H90" s="404" t="s">
        <v>1051</v>
      </c>
      <c r="I90" s="404" t="s">
        <v>1051</v>
      </c>
      <c r="J90" s="404" t="s">
        <v>1051</v>
      </c>
      <c r="K90" s="404" t="s">
        <v>1051</v>
      </c>
      <c r="L90" s="404" t="s">
        <v>1051</v>
      </c>
      <c r="M90" s="404" t="s">
        <v>1051</v>
      </c>
    </row>
    <row r="91" spans="1:13">
      <c r="A91" s="33"/>
      <c r="B91" s="33"/>
      <c r="C91" s="33"/>
      <c r="F91" s="68" t="str">
        <f>'G-1 All Habitats'!B91</f>
        <v>Woodland and forest - Lowland beech and yew woodland</v>
      </c>
      <c r="G91" s="404" t="s">
        <v>1052</v>
      </c>
      <c r="H91" s="404" t="s">
        <v>1052</v>
      </c>
      <c r="I91" s="404" t="s">
        <v>1052</v>
      </c>
      <c r="J91" s="404">
        <v>25</v>
      </c>
      <c r="K91" s="404">
        <v>10</v>
      </c>
      <c r="L91" s="404" t="s">
        <v>1051</v>
      </c>
      <c r="M91" s="404" t="s">
        <v>1051</v>
      </c>
    </row>
    <row r="92" spans="1:13">
      <c r="A92" s="33"/>
      <c r="B92" s="33"/>
      <c r="C92" s="33"/>
      <c r="F92" s="68" t="str">
        <f>'G-1 All Habitats'!B92</f>
        <v>Woodland and forest - Lowland mixed deciduous woodland</v>
      </c>
      <c r="G92" s="404" t="s">
        <v>1052</v>
      </c>
      <c r="H92" s="404" t="s">
        <v>1052</v>
      </c>
      <c r="I92" s="404" t="s">
        <v>1052</v>
      </c>
      <c r="J92" s="404">
        <v>25</v>
      </c>
      <c r="K92" s="404">
        <v>10</v>
      </c>
      <c r="L92" s="404" t="s">
        <v>1051</v>
      </c>
      <c r="M92" s="404" t="s">
        <v>1051</v>
      </c>
    </row>
    <row r="93" spans="1:13">
      <c r="A93" s="33"/>
      <c r="B93" s="33"/>
      <c r="C93" s="33"/>
      <c r="F93" s="68" t="str">
        <f>'G-1 All Habitats'!B93</f>
        <v>Woodland and forest - Native pine woodlands</v>
      </c>
      <c r="G93" s="404" t="s">
        <v>1052</v>
      </c>
      <c r="H93" s="404" t="s">
        <v>1052</v>
      </c>
      <c r="I93" s="404" t="s">
        <v>1052</v>
      </c>
      <c r="J93" s="404">
        <v>25</v>
      </c>
      <c r="K93" s="404">
        <v>10</v>
      </c>
      <c r="L93" s="404" t="s">
        <v>1051</v>
      </c>
      <c r="M93" s="404" t="s">
        <v>1051</v>
      </c>
    </row>
    <row r="94" spans="1:13">
      <c r="A94" s="33"/>
      <c r="B94" s="33"/>
      <c r="C94" s="33"/>
      <c r="F94" s="68" t="str">
        <f>'G-1 All Habitats'!B94</f>
        <v>Woodland and forest - Other coniferous woodland</v>
      </c>
      <c r="G94" s="404" t="s">
        <v>1052</v>
      </c>
      <c r="H94" s="404" t="s">
        <v>1052</v>
      </c>
      <c r="I94" s="404">
        <v>30</v>
      </c>
      <c r="J94" s="404">
        <v>10</v>
      </c>
      <c r="K94" s="404">
        <v>5</v>
      </c>
      <c r="L94" s="404" t="s">
        <v>1051</v>
      </c>
      <c r="M94" s="404" t="s">
        <v>1051</v>
      </c>
    </row>
    <row r="95" spans="1:13">
      <c r="A95" s="33"/>
      <c r="B95" s="33"/>
      <c r="C95" s="33"/>
      <c r="F95" s="68" t="str">
        <f>'G-1 All Habitats'!B95</f>
        <v>Woodland and forest - Other Scot's pine woodland</v>
      </c>
      <c r="G95" s="404" t="s">
        <v>1052</v>
      </c>
      <c r="H95" s="404" t="s">
        <v>1052</v>
      </c>
      <c r="I95" s="404" t="s">
        <v>1052</v>
      </c>
      <c r="J95" s="404">
        <v>25</v>
      </c>
      <c r="K95" s="404">
        <v>10</v>
      </c>
      <c r="L95" s="404" t="s">
        <v>1051</v>
      </c>
      <c r="M95" s="404" t="s">
        <v>1051</v>
      </c>
    </row>
    <row r="96" spans="1:13">
      <c r="A96" s="33"/>
      <c r="B96" s="33"/>
      <c r="C96" s="33"/>
      <c r="F96" s="68" t="str">
        <f>'G-1 All Habitats'!B96</f>
        <v>Woodland and forest - Other woodland; broadleaved</v>
      </c>
      <c r="G96" s="404" t="s">
        <v>1052</v>
      </c>
      <c r="H96" s="404">
        <v>25</v>
      </c>
      <c r="I96" s="404">
        <v>15</v>
      </c>
      <c r="J96" s="404">
        <v>7</v>
      </c>
      <c r="K96" s="404">
        <v>5</v>
      </c>
      <c r="L96" s="404" t="s">
        <v>1051</v>
      </c>
      <c r="M96" s="404" t="s">
        <v>1051</v>
      </c>
    </row>
    <row r="97" spans="1:13">
      <c r="A97" s="33"/>
      <c r="B97" s="33"/>
      <c r="C97" s="33"/>
      <c r="F97" s="68" t="str">
        <f>'G-1 All Habitats'!B97</f>
        <v>Woodland and forest - Other woodland; mixed</v>
      </c>
      <c r="G97" s="404" t="s">
        <v>1052</v>
      </c>
      <c r="H97" s="404" t="s">
        <v>1052</v>
      </c>
      <c r="I97" s="404">
        <v>30</v>
      </c>
      <c r="J97" s="404">
        <v>10</v>
      </c>
      <c r="K97" s="404">
        <v>5</v>
      </c>
      <c r="L97" s="404" t="s">
        <v>1051</v>
      </c>
      <c r="M97" s="404" t="s">
        <v>1051</v>
      </c>
    </row>
    <row r="98" spans="1:13">
      <c r="A98" s="33"/>
      <c r="B98" s="33"/>
      <c r="C98" s="33"/>
      <c r="F98" s="68" t="str">
        <f>'G-1 All Habitats'!B98</f>
        <v>Woodland and forest - Upland birchwoods</v>
      </c>
      <c r="G98" s="404" t="s">
        <v>1052</v>
      </c>
      <c r="H98" s="404">
        <v>30</v>
      </c>
      <c r="I98" s="404">
        <v>25</v>
      </c>
      <c r="J98" s="404">
        <v>20</v>
      </c>
      <c r="K98" s="404">
        <v>10</v>
      </c>
      <c r="L98" s="404" t="s">
        <v>1051</v>
      </c>
      <c r="M98" s="404" t="s">
        <v>1051</v>
      </c>
    </row>
    <row r="99" spans="1:13">
      <c r="A99" s="33"/>
      <c r="B99" s="33"/>
      <c r="C99" s="33"/>
      <c r="F99" s="68" t="str">
        <f>'G-1 All Habitats'!B99</f>
        <v>Woodland and forest - Upland mixed ashwoods</v>
      </c>
      <c r="G99" s="404" t="s">
        <v>1052</v>
      </c>
      <c r="H99" s="404" t="s">
        <v>1052</v>
      </c>
      <c r="I99" s="404" t="s">
        <v>1052</v>
      </c>
      <c r="J99" s="404">
        <v>25</v>
      </c>
      <c r="K99" s="404">
        <v>10</v>
      </c>
      <c r="L99" s="404" t="s">
        <v>1051</v>
      </c>
      <c r="M99" s="404" t="s">
        <v>1051</v>
      </c>
    </row>
    <row r="100" spans="1:13">
      <c r="A100" s="33"/>
      <c r="B100" s="33"/>
      <c r="C100" s="33"/>
      <c r="F100" s="68" t="str">
        <f>'G-1 All Habitats'!B100</f>
        <v>Woodland and forest - Upland oakwood</v>
      </c>
      <c r="G100" s="404" t="s">
        <v>1052</v>
      </c>
      <c r="H100" s="404" t="s">
        <v>1052</v>
      </c>
      <c r="I100" s="404" t="s">
        <v>1052</v>
      </c>
      <c r="J100" s="404">
        <v>25</v>
      </c>
      <c r="K100" s="404">
        <v>10</v>
      </c>
      <c r="L100" s="404" t="s">
        <v>1051</v>
      </c>
      <c r="M100" s="404" t="s">
        <v>1051</v>
      </c>
    </row>
    <row r="101" spans="1:13">
      <c r="A101" s="33"/>
      <c r="B101" s="33"/>
      <c r="C101" s="33"/>
      <c r="F101" s="68" t="str">
        <f>'G-1 All Habitats'!B101</f>
        <v>Woodland and forest - Wet woodland</v>
      </c>
      <c r="G101" s="404" t="s">
        <v>1052</v>
      </c>
      <c r="H101" s="404">
        <v>30</v>
      </c>
      <c r="I101" s="404">
        <v>15</v>
      </c>
      <c r="J101" s="404">
        <v>10</v>
      </c>
      <c r="K101" s="404">
        <v>5</v>
      </c>
      <c r="L101" s="404" t="s">
        <v>1051</v>
      </c>
      <c r="M101" s="404" t="s">
        <v>1051</v>
      </c>
    </row>
    <row r="102" spans="1:13">
      <c r="F102" s="68" t="str">
        <f>'G-1 All Habitats'!B102</f>
        <v>Woodland and forest - Wood-pasture and parkland</v>
      </c>
      <c r="G102" s="404" t="s">
        <v>1052</v>
      </c>
      <c r="H102" s="404" t="s">
        <v>1052</v>
      </c>
      <c r="I102" s="404" t="s">
        <v>1052</v>
      </c>
      <c r="J102" s="404">
        <v>25</v>
      </c>
      <c r="K102" s="404">
        <v>10</v>
      </c>
      <c r="L102" s="404" t="s">
        <v>1051</v>
      </c>
      <c r="M102" s="404" t="s">
        <v>1051</v>
      </c>
    </row>
    <row r="103" spans="1:13">
      <c r="F103" s="68" t="str">
        <f>'G-1 All Habitats'!B103</f>
        <v>Coastal lagoons - Coastal lagoons</v>
      </c>
      <c r="G103" s="404">
        <v>10</v>
      </c>
      <c r="H103" s="404">
        <v>8</v>
      </c>
      <c r="I103" s="404">
        <v>5</v>
      </c>
      <c r="J103" s="404">
        <v>3</v>
      </c>
      <c r="K103" s="404">
        <v>1</v>
      </c>
      <c r="L103" s="404" t="s">
        <v>1051</v>
      </c>
      <c r="M103" s="404" t="s">
        <v>1051</v>
      </c>
    </row>
    <row r="104" spans="1:13">
      <c r="F104" s="68" t="str">
        <f>'G-1 All Habitats'!B104</f>
        <v>Rocky shore - High energy littoral rock</v>
      </c>
      <c r="G104" s="404">
        <v>10</v>
      </c>
      <c r="H104" s="404">
        <v>7</v>
      </c>
      <c r="I104" s="404">
        <v>4</v>
      </c>
      <c r="J104" s="404">
        <v>2</v>
      </c>
      <c r="K104" s="404">
        <v>1</v>
      </c>
      <c r="L104" s="404" t="s">
        <v>1051</v>
      </c>
      <c r="M104" s="404" t="s">
        <v>1051</v>
      </c>
    </row>
    <row r="105" spans="1:13">
      <c r="F105" s="68" t="str">
        <f>'G-1 All Habitats'!B105</f>
        <v>Rocky shore - High energy littoral rock - on peat, clay or chalk</v>
      </c>
      <c r="G105" s="404" t="s">
        <v>1052</v>
      </c>
      <c r="H105" s="404" t="s">
        <v>1052</v>
      </c>
      <c r="I105" s="404" t="s">
        <v>1052</v>
      </c>
      <c r="J105" s="404" t="s">
        <v>1052</v>
      </c>
      <c r="K105" s="404" t="s">
        <v>1052</v>
      </c>
      <c r="L105" s="404" t="s">
        <v>1051</v>
      </c>
      <c r="M105" s="404" t="s">
        <v>1051</v>
      </c>
    </row>
    <row r="106" spans="1:13">
      <c r="F106" s="68" t="str">
        <f>'G-1 All Habitats'!B106</f>
        <v>Rocky shore - Moderate energy littoral rock</v>
      </c>
      <c r="G106" s="404">
        <v>13</v>
      </c>
      <c r="H106" s="404">
        <v>8</v>
      </c>
      <c r="I106" s="404">
        <v>4</v>
      </c>
      <c r="J106" s="404">
        <v>2</v>
      </c>
      <c r="K106" s="404">
        <v>1</v>
      </c>
      <c r="L106" s="404" t="s">
        <v>1051</v>
      </c>
      <c r="M106" s="404" t="s">
        <v>1051</v>
      </c>
    </row>
    <row r="107" spans="1:13">
      <c r="F107" s="68" t="str">
        <f>'G-1 All Habitats'!B107</f>
        <v>Rocky shore - Moderate energy littoral rock - on peat, clay or chalk</v>
      </c>
      <c r="G107" s="404" t="s">
        <v>1052</v>
      </c>
      <c r="H107" s="404" t="s">
        <v>1052</v>
      </c>
      <c r="I107" s="404" t="s">
        <v>1052</v>
      </c>
      <c r="J107" s="404" t="s">
        <v>1052</v>
      </c>
      <c r="K107" s="404" t="s">
        <v>1052</v>
      </c>
      <c r="L107" s="404" t="s">
        <v>1051</v>
      </c>
      <c r="M107" s="404" t="s">
        <v>1051</v>
      </c>
    </row>
    <row r="108" spans="1:13">
      <c r="F108" s="68" t="str">
        <f>'G-1 All Habitats'!B108</f>
        <v>Rocky shore - Low energy littoral rock</v>
      </c>
      <c r="G108" s="404">
        <v>15</v>
      </c>
      <c r="H108" s="404">
        <v>10</v>
      </c>
      <c r="I108" s="404">
        <v>5</v>
      </c>
      <c r="J108" s="404">
        <v>1</v>
      </c>
      <c r="K108" s="404">
        <v>1</v>
      </c>
      <c r="L108" s="404" t="s">
        <v>1051</v>
      </c>
      <c r="M108" s="404" t="s">
        <v>1051</v>
      </c>
    </row>
    <row r="109" spans="1:13">
      <c r="F109" s="68" t="str">
        <f>'G-1 All Habitats'!B109</f>
        <v>Rocky shore - Low energy littoral rock - on peat, clay or chalk</v>
      </c>
      <c r="G109" s="404" t="s">
        <v>1052</v>
      </c>
      <c r="H109" s="404" t="s">
        <v>1052</v>
      </c>
      <c r="I109" s="404" t="s">
        <v>1052</v>
      </c>
      <c r="J109" s="404" t="s">
        <v>1052</v>
      </c>
      <c r="K109" s="404" t="s">
        <v>1052</v>
      </c>
      <c r="L109" s="404" t="s">
        <v>1051</v>
      </c>
      <c r="M109" s="404" t="s">
        <v>1051</v>
      </c>
    </row>
    <row r="110" spans="1:13">
      <c r="F110" s="68" t="str">
        <f>'G-1 All Habitats'!B110</f>
        <v>Rocky shore - Features of littoral rock</v>
      </c>
      <c r="G110" s="404">
        <v>13</v>
      </c>
      <c r="H110" s="404">
        <v>8</v>
      </c>
      <c r="I110" s="404">
        <v>4</v>
      </c>
      <c r="J110" s="404">
        <v>2</v>
      </c>
      <c r="K110" s="404">
        <v>1</v>
      </c>
      <c r="L110" s="404" t="s">
        <v>1051</v>
      </c>
      <c r="M110" s="404" t="s">
        <v>1051</v>
      </c>
    </row>
    <row r="111" spans="1:13">
      <c r="F111" s="68" t="str">
        <f>'G-1 All Habitats'!B111</f>
        <v>Rocky shore - Features of littoral rock - on peat, clay or chalk</v>
      </c>
      <c r="G111" s="404" t="s">
        <v>1052</v>
      </c>
      <c r="H111" s="404" t="s">
        <v>1052</v>
      </c>
      <c r="I111" s="404" t="s">
        <v>1052</v>
      </c>
      <c r="J111" s="404" t="s">
        <v>1052</v>
      </c>
      <c r="K111" s="404" t="s">
        <v>1052</v>
      </c>
      <c r="L111" s="404" t="s">
        <v>1051</v>
      </c>
      <c r="M111" s="404" t="s">
        <v>1051</v>
      </c>
    </row>
    <row r="112" spans="1:13">
      <c r="F112" s="68" t="str">
        <f>'G-1 All Habitats'!B114</f>
        <v>Intertidal sediment - Littoral coarse sediment</v>
      </c>
      <c r="G112" s="404">
        <v>3</v>
      </c>
      <c r="H112" s="404">
        <v>2</v>
      </c>
      <c r="I112" s="404">
        <v>1</v>
      </c>
      <c r="J112" s="404">
        <v>1</v>
      </c>
      <c r="K112" s="404">
        <v>1</v>
      </c>
      <c r="L112" s="404" t="s">
        <v>1051</v>
      </c>
      <c r="M112" s="404" t="s">
        <v>1051</v>
      </c>
    </row>
    <row r="113" spans="6:13">
      <c r="F113" s="68" t="str">
        <f>'G-1 All Habitats'!B115</f>
        <v>Intertidal sediment - Littoral mud</v>
      </c>
      <c r="G113" s="404">
        <v>6</v>
      </c>
      <c r="H113" s="404">
        <v>4</v>
      </c>
      <c r="I113" s="404">
        <v>3</v>
      </c>
      <c r="J113" s="404">
        <v>2</v>
      </c>
      <c r="K113" s="404">
        <v>1</v>
      </c>
      <c r="L113" s="404" t="s">
        <v>1051</v>
      </c>
      <c r="M113" s="404" t="s">
        <v>1051</v>
      </c>
    </row>
    <row r="114" spans="6:13">
      <c r="F114" s="68" t="str">
        <f>'G-1 All Habitats'!B116</f>
        <v>Intertidal sediment - Littoral mixed sediments</v>
      </c>
      <c r="G114" s="404">
        <v>5</v>
      </c>
      <c r="H114" s="404">
        <v>4</v>
      </c>
      <c r="I114" s="404">
        <v>3</v>
      </c>
      <c r="J114" s="404">
        <v>2</v>
      </c>
      <c r="K114" s="404">
        <v>1</v>
      </c>
      <c r="L114" s="404" t="s">
        <v>1051</v>
      </c>
      <c r="M114" s="404" t="s">
        <v>1051</v>
      </c>
    </row>
    <row r="115" spans="6:13">
      <c r="F115" s="68" t="str">
        <f>'G-1 All Habitats'!B112</f>
        <v>Coastal saltmarsh - Saltmarshes and saline reedbeds</v>
      </c>
      <c r="G115" s="404">
        <v>15</v>
      </c>
      <c r="H115" s="404">
        <v>10</v>
      </c>
      <c r="I115" s="404">
        <v>7</v>
      </c>
      <c r="J115" s="404">
        <v>3</v>
      </c>
      <c r="K115" s="404">
        <v>1</v>
      </c>
      <c r="L115" s="404" t="s">
        <v>1051</v>
      </c>
      <c r="M115" s="404" t="s">
        <v>1051</v>
      </c>
    </row>
    <row r="116" spans="6:13">
      <c r="F116" s="68" t="str">
        <f>'G-1 All Habitats'!B113</f>
        <v>Coastal saltmarsh - Artificial saltmarshes and saline reedbeds</v>
      </c>
      <c r="G116" s="404">
        <v>15</v>
      </c>
      <c r="H116" s="404">
        <v>10</v>
      </c>
      <c r="I116" s="404">
        <v>7</v>
      </c>
      <c r="J116" s="404">
        <v>3</v>
      </c>
      <c r="K116" s="404">
        <v>1</v>
      </c>
      <c r="L116" s="404" t="s">
        <v>1051</v>
      </c>
      <c r="M116" s="404" t="s">
        <v>1051</v>
      </c>
    </row>
    <row r="117" spans="6:13">
      <c r="F117" s="68" t="str">
        <f>'G-1 All Habitats'!B117</f>
        <v>Intertidal sediment - Littoral seagrass</v>
      </c>
      <c r="G117" s="404">
        <v>20</v>
      </c>
      <c r="H117" s="404">
        <v>15</v>
      </c>
      <c r="I117" s="404">
        <v>10</v>
      </c>
      <c r="J117" s="404">
        <v>5</v>
      </c>
      <c r="K117" s="404">
        <v>2</v>
      </c>
      <c r="L117" s="404" t="s">
        <v>1051</v>
      </c>
      <c r="M117" s="404" t="s">
        <v>1051</v>
      </c>
    </row>
    <row r="118" spans="6:13">
      <c r="F118" s="68" t="str">
        <f>'G-1 All Habitats'!B118</f>
        <v>Intertidal sediment - Littoral seagrass on peat, clay or chalk</v>
      </c>
      <c r="G118" s="404" t="s">
        <v>1052</v>
      </c>
      <c r="H118" s="404" t="s">
        <v>1052</v>
      </c>
      <c r="I118" s="404" t="s">
        <v>1052</v>
      </c>
      <c r="J118" s="404" t="s">
        <v>1052</v>
      </c>
      <c r="K118" s="404" t="s">
        <v>1052</v>
      </c>
      <c r="L118" s="404" t="s">
        <v>1051</v>
      </c>
      <c r="M118" s="404" t="s">
        <v>1051</v>
      </c>
    </row>
    <row r="119" spans="6:13">
      <c r="F119" s="68" t="str">
        <f>'G-1 All Habitats'!B119</f>
        <v>Intertidal sediment - Littoral biogenic reefs - Mussels</v>
      </c>
      <c r="G119" s="404">
        <v>15</v>
      </c>
      <c r="H119" s="404">
        <v>10</v>
      </c>
      <c r="I119" s="404">
        <v>5</v>
      </c>
      <c r="J119" s="404">
        <v>3</v>
      </c>
      <c r="K119" s="404">
        <v>3</v>
      </c>
      <c r="L119" s="404" t="s">
        <v>1051</v>
      </c>
      <c r="M119" s="404" t="s">
        <v>1051</v>
      </c>
    </row>
    <row r="120" spans="6:13">
      <c r="F120" s="68" t="str">
        <f>'G-1 All Habitats'!B120</f>
        <v>Intertidal sediment - Littoral biogenic reefs - Sabellaria</v>
      </c>
      <c r="G120" s="404">
        <v>15</v>
      </c>
      <c r="H120" s="404">
        <v>10</v>
      </c>
      <c r="I120" s="404">
        <v>5</v>
      </c>
      <c r="J120" s="404">
        <v>3</v>
      </c>
      <c r="K120" s="404">
        <v>3</v>
      </c>
      <c r="L120" s="404" t="s">
        <v>1051</v>
      </c>
      <c r="M120" s="404" t="s">
        <v>1051</v>
      </c>
    </row>
    <row r="121" spans="6:13">
      <c r="F121" s="68" t="str">
        <f>'G-1 All Habitats'!B121</f>
        <v>Intertidal sediment - Features of littoral sediment</v>
      </c>
      <c r="G121" s="404">
        <v>10</v>
      </c>
      <c r="H121" s="404">
        <v>7</v>
      </c>
      <c r="I121" s="404">
        <v>5</v>
      </c>
      <c r="J121" s="404">
        <v>3</v>
      </c>
      <c r="K121" s="404">
        <v>3</v>
      </c>
      <c r="L121" s="404" t="s">
        <v>1051</v>
      </c>
      <c r="M121" s="404" t="s">
        <v>1051</v>
      </c>
    </row>
    <row r="122" spans="6:13">
      <c r="F122" s="68" t="str">
        <f>'G-1 All Habitats'!B122</f>
        <v>Intertidal sediment - Artificial littoral coarse sediment</v>
      </c>
      <c r="G122" s="404">
        <v>3</v>
      </c>
      <c r="H122" s="404">
        <v>2</v>
      </c>
      <c r="I122" s="404">
        <v>1</v>
      </c>
      <c r="J122" s="404">
        <v>1</v>
      </c>
      <c r="K122" s="404">
        <v>1</v>
      </c>
      <c r="L122" s="404" t="s">
        <v>1051</v>
      </c>
      <c r="M122" s="404" t="s">
        <v>1051</v>
      </c>
    </row>
    <row r="123" spans="6:13">
      <c r="F123" s="68" t="str">
        <f>'G-1 All Habitats'!B123</f>
        <v>Intertidal sediment - Artificial littoral mud</v>
      </c>
      <c r="G123" s="404">
        <v>6</v>
      </c>
      <c r="H123" s="404">
        <v>4</v>
      </c>
      <c r="I123" s="404">
        <v>3</v>
      </c>
      <c r="J123" s="404">
        <v>2</v>
      </c>
      <c r="K123" s="404">
        <v>1</v>
      </c>
      <c r="L123" s="404" t="s">
        <v>1051</v>
      </c>
      <c r="M123" s="404" t="s">
        <v>1051</v>
      </c>
    </row>
    <row r="124" spans="6:13">
      <c r="F124" s="68" t="str">
        <f>'G-1 All Habitats'!B124</f>
        <v>Intertidal sediment - Artificial littoral sand</v>
      </c>
      <c r="G124" s="404">
        <v>4</v>
      </c>
      <c r="H124" s="404">
        <v>2</v>
      </c>
      <c r="I124" s="404">
        <v>1</v>
      </c>
      <c r="J124" s="404">
        <v>1</v>
      </c>
      <c r="K124" s="404">
        <v>1</v>
      </c>
      <c r="L124" s="404" t="s">
        <v>1051</v>
      </c>
      <c r="M124" s="404" t="s">
        <v>1051</v>
      </c>
    </row>
    <row r="125" spans="6:13">
      <c r="F125" s="68" t="str">
        <f>'G-1 All Habitats'!B125</f>
        <v>Intertidal sediment - Artificial littoral muddy sand</v>
      </c>
      <c r="G125" s="404">
        <v>5</v>
      </c>
      <c r="H125" s="404">
        <v>4</v>
      </c>
      <c r="I125" s="404">
        <v>3</v>
      </c>
      <c r="J125" s="404">
        <v>2</v>
      </c>
      <c r="K125" s="404">
        <v>1</v>
      </c>
      <c r="L125" s="404" t="s">
        <v>1051</v>
      </c>
      <c r="M125" s="404" t="s">
        <v>1051</v>
      </c>
    </row>
    <row r="126" spans="6:13">
      <c r="F126" s="68" t="str">
        <f>'G-1 All Habitats'!B126</f>
        <v>Intertidal sediment - Artificial littoral mixed sediments</v>
      </c>
      <c r="G126" s="404">
        <v>5</v>
      </c>
      <c r="H126" s="404">
        <v>4</v>
      </c>
      <c r="I126" s="404">
        <v>3</v>
      </c>
      <c r="J126" s="404">
        <v>2</v>
      </c>
      <c r="K126" s="404">
        <v>1</v>
      </c>
      <c r="L126" s="404" t="s">
        <v>1051</v>
      </c>
      <c r="M126" s="404" t="s">
        <v>1051</v>
      </c>
    </row>
    <row r="127" spans="6:13">
      <c r="F127" s="68" t="str">
        <f>'G-1 All Habitats'!B127</f>
        <v>Intertidal sediment - Artificial littoral seagrass</v>
      </c>
      <c r="G127" s="404">
        <v>20</v>
      </c>
      <c r="H127" s="404">
        <v>15</v>
      </c>
      <c r="I127" s="404">
        <v>10</v>
      </c>
      <c r="J127" s="404">
        <v>5</v>
      </c>
      <c r="K127" s="404">
        <v>2</v>
      </c>
      <c r="L127" s="404" t="s">
        <v>1051</v>
      </c>
      <c r="M127" s="404" t="s">
        <v>1051</v>
      </c>
    </row>
    <row r="128" spans="6:13">
      <c r="F128" s="68" t="str">
        <f>'G-1 All Habitats'!B128</f>
        <v>Intertidal sediment - Artificial littoral biogenic reefs</v>
      </c>
      <c r="G128" s="404">
        <v>15</v>
      </c>
      <c r="H128" s="404">
        <v>10</v>
      </c>
      <c r="I128" s="404">
        <v>5</v>
      </c>
      <c r="J128" s="404">
        <v>3</v>
      </c>
      <c r="K128" s="404">
        <v>3</v>
      </c>
      <c r="L128" s="404" t="s">
        <v>1051</v>
      </c>
      <c r="M128" s="404" t="s">
        <v>1051</v>
      </c>
    </row>
    <row r="129" spans="6:13">
      <c r="F129" s="68" t="str">
        <f>'G-1 All Habitats'!B129</f>
        <v>Intertidal sediment - Littoral sand</v>
      </c>
      <c r="G129" s="404">
        <v>4</v>
      </c>
      <c r="H129" s="404">
        <v>2</v>
      </c>
      <c r="I129" s="404">
        <v>1</v>
      </c>
      <c r="J129" s="404">
        <v>1</v>
      </c>
      <c r="K129" s="404">
        <v>1</v>
      </c>
      <c r="L129" s="404" t="s">
        <v>1051</v>
      </c>
      <c r="M129" s="404" t="s">
        <v>1051</v>
      </c>
    </row>
    <row r="130" spans="6:13">
      <c r="F130" s="68" t="str">
        <f>'G-1 All Habitats'!B130</f>
        <v>Intertidal sediment - Littoral muddy sand</v>
      </c>
      <c r="G130" s="404">
        <v>5</v>
      </c>
      <c r="H130" s="404">
        <v>4</v>
      </c>
      <c r="I130" s="404">
        <v>3</v>
      </c>
      <c r="J130" s="404">
        <v>2</v>
      </c>
      <c r="K130" s="404">
        <v>1</v>
      </c>
      <c r="L130" s="404" t="s">
        <v>1051</v>
      </c>
      <c r="M130" s="404" t="s">
        <v>1051</v>
      </c>
    </row>
    <row r="131" spans="6:13">
      <c r="F131" s="68" t="str">
        <f>'G-1 All Habitats'!B131</f>
        <v>Intertidal hard structures - Artificial hard structures</v>
      </c>
      <c r="G131" s="404">
        <v>15</v>
      </c>
      <c r="H131" s="404">
        <v>10</v>
      </c>
      <c r="I131" s="404">
        <v>5</v>
      </c>
      <c r="J131" s="404">
        <v>2</v>
      </c>
      <c r="K131" s="404">
        <v>1</v>
      </c>
      <c r="L131" s="404" t="s">
        <v>1051</v>
      </c>
      <c r="M131" s="404" t="s">
        <v>1051</v>
      </c>
    </row>
    <row r="132" spans="6:13">
      <c r="F132" s="68" t="str">
        <f>'G-1 All Habitats'!B132</f>
        <v>Intertidal hard structures - Artificial features of hard structures</v>
      </c>
      <c r="G132" s="404">
        <v>13</v>
      </c>
      <c r="H132" s="404">
        <v>8</v>
      </c>
      <c r="I132" s="404">
        <v>4</v>
      </c>
      <c r="J132" s="404">
        <v>2</v>
      </c>
      <c r="K132" s="404">
        <v>1</v>
      </c>
      <c r="L132" s="404" t="s">
        <v>1051</v>
      </c>
      <c r="M132" s="404" t="s">
        <v>1051</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1051</v>
      </c>
      <c r="M133" s="404" t="s">
        <v>1051</v>
      </c>
    </row>
    <row r="134" spans="6:13">
      <c r="F134" s="68" t="str">
        <f>'G-1 All Habitats'!B134</f>
        <v>Watercourse footprint - Watercourse footprint</v>
      </c>
      <c r="G134" s="404" t="s">
        <v>1051</v>
      </c>
      <c r="H134" s="404" t="s">
        <v>1051</v>
      </c>
      <c r="I134" s="404" t="s">
        <v>1051</v>
      </c>
      <c r="J134" s="404" t="s">
        <v>1051</v>
      </c>
      <c r="K134" s="404" t="s">
        <v>1051</v>
      </c>
      <c r="L134" s="404" t="s">
        <v>1051</v>
      </c>
      <c r="M134" s="404">
        <v>0</v>
      </c>
    </row>
    <row r="135" spans="6:13">
      <c r="F135" s="68" t="str">
        <f>'G-1 All Habitats'!B81</f>
        <v>Individual trees - Rural tree</v>
      </c>
      <c r="G135" s="404" t="s">
        <v>1052</v>
      </c>
      <c r="H135" s="404" t="s">
        <v>1052</v>
      </c>
      <c r="I135" s="404">
        <v>27</v>
      </c>
      <c r="J135" s="404">
        <v>19</v>
      </c>
      <c r="K135" s="404">
        <v>10</v>
      </c>
      <c r="L135" s="404" t="s">
        <v>1051</v>
      </c>
      <c r="M135" s="404" t="s">
        <v>1051</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1054</v>
      </c>
      <c r="D2" s="80" t="s">
        <v>1055</v>
      </c>
      <c r="E2" s="80" t="s">
        <v>1055</v>
      </c>
      <c r="F2" s="80" t="s">
        <v>1055</v>
      </c>
      <c r="G2" s="80" t="s">
        <v>1055</v>
      </c>
      <c r="H2" s="80" t="s">
        <v>1055</v>
      </c>
      <c r="I2" s="80" t="s">
        <v>1055</v>
      </c>
      <c r="J2" s="80" t="s">
        <v>1055</v>
      </c>
      <c r="K2" s="80" t="s">
        <v>493</v>
      </c>
      <c r="L2" s="80" t="s">
        <v>493</v>
      </c>
      <c r="M2" s="80" t="s">
        <v>493</v>
      </c>
      <c r="N2" s="80" t="s">
        <v>493</v>
      </c>
      <c r="O2" s="80" t="s">
        <v>329</v>
      </c>
      <c r="P2" s="80" t="s">
        <v>329</v>
      </c>
      <c r="Q2" s="80" t="s">
        <v>329</v>
      </c>
      <c r="R2" s="80" t="s">
        <v>329</v>
      </c>
      <c r="S2" s="80" t="s">
        <v>483</v>
      </c>
      <c r="T2" s="80" t="s">
        <v>483</v>
      </c>
      <c r="U2" s="80" t="s">
        <v>483</v>
      </c>
      <c r="V2" s="80" t="s">
        <v>67</v>
      </c>
      <c r="W2" s="80" t="s">
        <v>67</v>
      </c>
      <c r="X2" s="80" t="s">
        <v>473</v>
      </c>
      <c r="Y2" s="80" t="s">
        <v>68</v>
      </c>
    </row>
    <row r="3" spans="3:25" ht="29.45" customHeight="1">
      <c r="C3" s="226" t="s">
        <v>1056</v>
      </c>
      <c r="D3" s="80" t="s">
        <v>497</v>
      </c>
      <c r="E3" s="80" t="s">
        <v>493</v>
      </c>
      <c r="F3" s="80" t="s">
        <v>329</v>
      </c>
      <c r="G3" s="80" t="s">
        <v>483</v>
      </c>
      <c r="H3" s="80" t="s">
        <v>67</v>
      </c>
      <c r="I3" s="80" t="s">
        <v>473</v>
      </c>
      <c r="J3" s="80" t="s">
        <v>68</v>
      </c>
      <c r="K3" s="80" t="s">
        <v>483</v>
      </c>
      <c r="L3" s="80" t="s">
        <v>67</v>
      </c>
      <c r="M3" s="80" t="s">
        <v>473</v>
      </c>
      <c r="N3" s="80" t="s">
        <v>68</v>
      </c>
      <c r="O3" s="80" t="s">
        <v>483</v>
      </c>
      <c r="P3" s="80" t="s">
        <v>67</v>
      </c>
      <c r="Q3" s="80" t="s">
        <v>473</v>
      </c>
      <c r="R3" s="80" t="s">
        <v>68</v>
      </c>
      <c r="S3" s="80" t="s">
        <v>67</v>
      </c>
      <c r="T3" s="80" t="s">
        <v>473</v>
      </c>
      <c r="U3" s="80" t="s">
        <v>68</v>
      </c>
      <c r="V3" s="80" t="s">
        <v>473</v>
      </c>
      <c r="W3" s="80" t="s">
        <v>68</v>
      </c>
      <c r="X3" s="80" t="s">
        <v>68</v>
      </c>
      <c r="Y3" s="80" t="s">
        <v>68</v>
      </c>
    </row>
    <row r="4" spans="3:25" ht="72" customHeight="1">
      <c r="C4" s="226" t="s">
        <v>339</v>
      </c>
      <c r="D4" s="78" t="s">
        <v>1057</v>
      </c>
      <c r="E4" s="78" t="s">
        <v>1058</v>
      </c>
      <c r="F4" s="78" t="s">
        <v>1059</v>
      </c>
      <c r="G4" s="78" t="s">
        <v>1060</v>
      </c>
      <c r="H4" s="78" t="s">
        <v>1061</v>
      </c>
      <c r="I4" s="78" t="s">
        <v>1062</v>
      </c>
      <c r="J4" s="78" t="s">
        <v>1063</v>
      </c>
      <c r="K4" s="78" t="s">
        <v>1064</v>
      </c>
      <c r="L4" s="78" t="s">
        <v>1065</v>
      </c>
      <c r="M4" s="78" t="s">
        <v>1066</v>
      </c>
      <c r="N4" s="78" t="s">
        <v>1067</v>
      </c>
      <c r="O4" s="78" t="s">
        <v>1068</v>
      </c>
      <c r="P4" s="78" t="s">
        <v>1069</v>
      </c>
      <c r="Q4" s="78" t="s">
        <v>1070</v>
      </c>
      <c r="R4" s="78" t="s">
        <v>1071</v>
      </c>
      <c r="S4" s="78" t="s">
        <v>1072</v>
      </c>
      <c r="T4" s="78" t="s">
        <v>1073</v>
      </c>
      <c r="U4" s="78" t="s">
        <v>1074</v>
      </c>
      <c r="V4" s="78" t="s">
        <v>1075</v>
      </c>
      <c r="W4" s="78" t="s">
        <v>1076</v>
      </c>
      <c r="X4" s="78" t="s">
        <v>1077</v>
      </c>
      <c r="Y4" s="78" t="s">
        <v>1078</v>
      </c>
    </row>
    <row r="5" spans="3:25">
      <c r="C5" s="68" t="str">
        <f>'G-1 All Habitats'!B3</f>
        <v>Cropland - Arable field margins cultivated annually</v>
      </c>
      <c r="D5" s="404" t="s">
        <v>1051</v>
      </c>
      <c r="E5" s="404">
        <v>1</v>
      </c>
      <c r="F5" s="404" t="s">
        <v>1051</v>
      </c>
      <c r="G5" s="404" t="s">
        <v>1051</v>
      </c>
      <c r="H5" s="404" t="s">
        <v>1051</v>
      </c>
      <c r="I5" s="404" t="s">
        <v>1051</v>
      </c>
      <c r="J5" s="404" t="s">
        <v>1051</v>
      </c>
      <c r="K5" s="404" t="s">
        <v>1051</v>
      </c>
      <c r="L5" s="404" t="s">
        <v>1051</v>
      </c>
      <c r="M5" s="404" t="s">
        <v>1051</v>
      </c>
      <c r="N5" s="404" t="s">
        <v>1051</v>
      </c>
      <c r="O5" s="404" t="s">
        <v>1051</v>
      </c>
      <c r="P5" s="404" t="s">
        <v>1051</v>
      </c>
      <c r="Q5" s="404" t="s">
        <v>1051</v>
      </c>
      <c r="R5" s="404" t="s">
        <v>1051</v>
      </c>
      <c r="S5" s="404" t="s">
        <v>1051</v>
      </c>
      <c r="T5" s="404" t="s">
        <v>1051</v>
      </c>
      <c r="U5" s="404" t="s">
        <v>1051</v>
      </c>
      <c r="V5" s="404" t="s">
        <v>1051</v>
      </c>
      <c r="W5" s="404" t="s">
        <v>1051</v>
      </c>
      <c r="X5" s="404" t="s">
        <v>1051</v>
      </c>
      <c r="Y5" s="404" t="s">
        <v>1051</v>
      </c>
    </row>
    <row r="6" spans="3:25">
      <c r="C6" s="68" t="str">
        <f>'G-1 All Habitats'!B4</f>
        <v>Cropland - Arable field margins game bird mix</v>
      </c>
      <c r="D6" s="404" t="s">
        <v>1051</v>
      </c>
      <c r="E6" s="404">
        <v>1</v>
      </c>
      <c r="F6" s="404" t="s">
        <v>1051</v>
      </c>
      <c r="G6" s="404" t="s">
        <v>1051</v>
      </c>
      <c r="H6" s="404" t="s">
        <v>1051</v>
      </c>
      <c r="I6" s="404" t="s">
        <v>1051</v>
      </c>
      <c r="J6" s="404" t="s">
        <v>1051</v>
      </c>
      <c r="K6" s="404" t="s">
        <v>1051</v>
      </c>
      <c r="L6" s="404" t="s">
        <v>1051</v>
      </c>
      <c r="M6" s="404" t="s">
        <v>1051</v>
      </c>
      <c r="N6" s="404" t="s">
        <v>1051</v>
      </c>
      <c r="O6" s="404" t="s">
        <v>1051</v>
      </c>
      <c r="P6" s="404" t="s">
        <v>1051</v>
      </c>
      <c r="Q6" s="404" t="s">
        <v>1051</v>
      </c>
      <c r="R6" s="404" t="s">
        <v>1051</v>
      </c>
      <c r="S6" s="404" t="s">
        <v>1051</v>
      </c>
      <c r="T6" s="404" t="s">
        <v>1051</v>
      </c>
      <c r="U6" s="404" t="s">
        <v>1051</v>
      </c>
      <c r="V6" s="404" t="s">
        <v>1051</v>
      </c>
      <c r="W6" s="404" t="s">
        <v>1051</v>
      </c>
      <c r="X6" s="404" t="s">
        <v>1051</v>
      </c>
      <c r="Y6" s="404" t="s">
        <v>1051</v>
      </c>
    </row>
    <row r="7" spans="3:25">
      <c r="C7" s="68" t="str">
        <f>'G-1 All Habitats'!B5</f>
        <v>Cropland - Arable field margins pollen and nectar</v>
      </c>
      <c r="D7" s="404" t="s">
        <v>1051</v>
      </c>
      <c r="E7" s="404">
        <v>1</v>
      </c>
      <c r="F7" s="404" t="s">
        <v>1051</v>
      </c>
      <c r="G7" s="404" t="s">
        <v>1051</v>
      </c>
      <c r="H7" s="404" t="s">
        <v>1051</v>
      </c>
      <c r="I7" s="404" t="s">
        <v>1051</v>
      </c>
      <c r="J7" s="404" t="s">
        <v>1051</v>
      </c>
      <c r="K7" s="404" t="s">
        <v>1051</v>
      </c>
      <c r="L7" s="404" t="s">
        <v>1051</v>
      </c>
      <c r="M7" s="404" t="s">
        <v>1051</v>
      </c>
      <c r="N7" s="404" t="s">
        <v>1051</v>
      </c>
      <c r="O7" s="404" t="s">
        <v>1051</v>
      </c>
      <c r="P7" s="404" t="s">
        <v>1051</v>
      </c>
      <c r="Q7" s="404" t="s">
        <v>1051</v>
      </c>
      <c r="R7" s="404" t="s">
        <v>1051</v>
      </c>
      <c r="S7" s="404" t="s">
        <v>1051</v>
      </c>
      <c r="T7" s="404" t="s">
        <v>1051</v>
      </c>
      <c r="U7" s="404" t="s">
        <v>1051</v>
      </c>
      <c r="V7" s="404" t="s">
        <v>1051</v>
      </c>
      <c r="W7" s="404" t="s">
        <v>1051</v>
      </c>
      <c r="X7" s="404" t="s">
        <v>1051</v>
      </c>
      <c r="Y7" s="404" t="s">
        <v>1051</v>
      </c>
    </row>
    <row r="8" spans="3:25">
      <c r="C8" s="68" t="str">
        <f>'G-1 All Habitats'!B6</f>
        <v>Cropland - Arable field margins tussocky</v>
      </c>
      <c r="D8" s="404" t="s">
        <v>1051</v>
      </c>
      <c r="E8" s="404">
        <v>1</v>
      </c>
      <c r="F8" s="404" t="s">
        <v>1051</v>
      </c>
      <c r="G8" s="404" t="s">
        <v>1051</v>
      </c>
      <c r="H8" s="404" t="s">
        <v>1051</v>
      </c>
      <c r="I8" s="404" t="s">
        <v>1051</v>
      </c>
      <c r="J8" s="404" t="s">
        <v>1051</v>
      </c>
      <c r="K8" s="404" t="s">
        <v>1051</v>
      </c>
      <c r="L8" s="404" t="s">
        <v>1051</v>
      </c>
      <c r="M8" s="404" t="s">
        <v>1051</v>
      </c>
      <c r="N8" s="404" t="s">
        <v>1051</v>
      </c>
      <c r="O8" s="404" t="s">
        <v>1051</v>
      </c>
      <c r="P8" s="404" t="s">
        <v>1051</v>
      </c>
      <c r="Q8" s="404" t="s">
        <v>1051</v>
      </c>
      <c r="R8" s="404" t="s">
        <v>1051</v>
      </c>
      <c r="S8" s="404" t="s">
        <v>1051</v>
      </c>
      <c r="T8" s="404" t="s">
        <v>1051</v>
      </c>
      <c r="U8" s="404" t="s">
        <v>1051</v>
      </c>
      <c r="V8" s="404" t="s">
        <v>1051</v>
      </c>
      <c r="W8" s="404" t="s">
        <v>1051</v>
      </c>
      <c r="X8" s="404" t="s">
        <v>1051</v>
      </c>
      <c r="Y8" s="404" t="s">
        <v>1051</v>
      </c>
    </row>
    <row r="9" spans="3:25">
      <c r="C9" s="68" t="str">
        <f>'G-1 All Habitats'!B7</f>
        <v>Cropland - Cereal crops</v>
      </c>
      <c r="D9" s="404" t="s">
        <v>1051</v>
      </c>
      <c r="E9" s="404" t="s">
        <v>1051</v>
      </c>
      <c r="F9" s="404" t="s">
        <v>1051</v>
      </c>
      <c r="G9" s="404" t="s">
        <v>1051</v>
      </c>
      <c r="H9" s="404" t="s">
        <v>1051</v>
      </c>
      <c r="I9" s="404" t="s">
        <v>1051</v>
      </c>
      <c r="J9" s="404" t="s">
        <v>1051</v>
      </c>
      <c r="K9" s="404" t="s">
        <v>1051</v>
      </c>
      <c r="L9" s="404" t="s">
        <v>1051</v>
      </c>
      <c r="M9" s="404" t="s">
        <v>1051</v>
      </c>
      <c r="N9" s="404" t="s">
        <v>1051</v>
      </c>
      <c r="O9" s="404" t="s">
        <v>1051</v>
      </c>
      <c r="P9" s="404" t="s">
        <v>1051</v>
      </c>
      <c r="Q9" s="404" t="s">
        <v>1051</v>
      </c>
      <c r="R9" s="404" t="s">
        <v>1051</v>
      </c>
      <c r="S9" s="404" t="s">
        <v>1051</v>
      </c>
      <c r="T9" s="404" t="s">
        <v>1051</v>
      </c>
      <c r="U9" s="404" t="s">
        <v>1051</v>
      </c>
      <c r="V9" s="404" t="s">
        <v>1051</v>
      </c>
      <c r="W9" s="404" t="s">
        <v>1051</v>
      </c>
      <c r="X9" s="404" t="s">
        <v>1051</v>
      </c>
      <c r="Y9" s="404" t="s">
        <v>1051</v>
      </c>
    </row>
    <row r="10" spans="3:25">
      <c r="C10" s="68" t="str">
        <f>'G-1 All Habitats'!B8</f>
        <v>Cropland - Winter stubble</v>
      </c>
      <c r="D10" s="404" t="s">
        <v>1051</v>
      </c>
      <c r="E10" s="404" t="s">
        <v>1051</v>
      </c>
      <c r="F10" s="404" t="s">
        <v>1051</v>
      </c>
      <c r="G10" s="404" t="s">
        <v>1051</v>
      </c>
      <c r="H10" s="404" t="s">
        <v>1051</v>
      </c>
      <c r="I10" s="404" t="s">
        <v>1051</v>
      </c>
      <c r="J10" s="404" t="s">
        <v>1051</v>
      </c>
      <c r="K10" s="404" t="s">
        <v>1051</v>
      </c>
      <c r="L10" s="404" t="s">
        <v>1051</v>
      </c>
      <c r="M10" s="404" t="s">
        <v>1051</v>
      </c>
      <c r="N10" s="404" t="s">
        <v>1051</v>
      </c>
      <c r="O10" s="404" t="s">
        <v>1051</v>
      </c>
      <c r="P10" s="404" t="s">
        <v>1051</v>
      </c>
      <c r="Q10" s="404" t="s">
        <v>1051</v>
      </c>
      <c r="R10" s="404" t="s">
        <v>1051</v>
      </c>
      <c r="S10" s="404" t="s">
        <v>1051</v>
      </c>
      <c r="T10" s="404" t="s">
        <v>1051</v>
      </c>
      <c r="U10" s="404" t="s">
        <v>1051</v>
      </c>
      <c r="V10" s="404" t="s">
        <v>1051</v>
      </c>
      <c r="W10" s="404" t="s">
        <v>1051</v>
      </c>
      <c r="X10" s="404" t="s">
        <v>1051</v>
      </c>
      <c r="Y10" s="404" t="s">
        <v>1051</v>
      </c>
    </row>
    <row r="11" spans="3:25">
      <c r="C11" s="68" t="str">
        <f>'G-1 All Habitats'!B9</f>
        <v>Cropland - Horticulture</v>
      </c>
      <c r="D11" s="404" t="s">
        <v>1051</v>
      </c>
      <c r="E11" s="404" t="s">
        <v>1051</v>
      </c>
      <c r="F11" s="404" t="s">
        <v>1051</v>
      </c>
      <c r="G11" s="404" t="s">
        <v>1051</v>
      </c>
      <c r="H11" s="404" t="s">
        <v>1051</v>
      </c>
      <c r="I11" s="404" t="s">
        <v>1051</v>
      </c>
      <c r="J11" s="404" t="s">
        <v>1051</v>
      </c>
      <c r="K11" s="404" t="s">
        <v>1051</v>
      </c>
      <c r="L11" s="404" t="s">
        <v>1051</v>
      </c>
      <c r="M11" s="404" t="s">
        <v>1051</v>
      </c>
      <c r="N11" s="404" t="s">
        <v>1051</v>
      </c>
      <c r="O11" s="404" t="s">
        <v>1051</v>
      </c>
      <c r="P11" s="404" t="s">
        <v>1051</v>
      </c>
      <c r="Q11" s="404" t="s">
        <v>1051</v>
      </c>
      <c r="R11" s="404" t="s">
        <v>1051</v>
      </c>
      <c r="S11" s="404" t="s">
        <v>1051</v>
      </c>
      <c r="T11" s="404" t="s">
        <v>1051</v>
      </c>
      <c r="U11" s="404" t="s">
        <v>1051</v>
      </c>
      <c r="V11" s="404" t="s">
        <v>1051</v>
      </c>
      <c r="W11" s="404" t="s">
        <v>1051</v>
      </c>
      <c r="X11" s="404" t="s">
        <v>1051</v>
      </c>
      <c r="Y11" s="404" t="s">
        <v>1051</v>
      </c>
    </row>
    <row r="12" spans="3:25">
      <c r="C12" s="68" t="str">
        <f>'G-1 All Habitats'!B10</f>
        <v>Cropland - Intensive orchards</v>
      </c>
      <c r="D12" s="404" t="s">
        <v>1051</v>
      </c>
      <c r="E12" s="404" t="s">
        <v>1051</v>
      </c>
      <c r="F12" s="404" t="s">
        <v>1051</v>
      </c>
      <c r="G12" s="404" t="s">
        <v>1051</v>
      </c>
      <c r="H12" s="404" t="s">
        <v>1051</v>
      </c>
      <c r="I12" s="404" t="s">
        <v>1051</v>
      </c>
      <c r="J12" s="404" t="s">
        <v>1051</v>
      </c>
      <c r="K12" s="404" t="s">
        <v>1051</v>
      </c>
      <c r="L12" s="404" t="s">
        <v>1051</v>
      </c>
      <c r="M12" s="404" t="s">
        <v>1051</v>
      </c>
      <c r="N12" s="404" t="s">
        <v>1051</v>
      </c>
      <c r="O12" s="404" t="s">
        <v>1051</v>
      </c>
      <c r="P12" s="404" t="s">
        <v>1051</v>
      </c>
      <c r="Q12" s="404" t="s">
        <v>1051</v>
      </c>
      <c r="R12" s="404" t="s">
        <v>1051</v>
      </c>
      <c r="S12" s="404" t="s">
        <v>1051</v>
      </c>
      <c r="T12" s="404" t="s">
        <v>1051</v>
      </c>
      <c r="U12" s="404" t="s">
        <v>1051</v>
      </c>
      <c r="V12" s="404" t="s">
        <v>1051</v>
      </c>
      <c r="W12" s="404" t="s">
        <v>1051</v>
      </c>
      <c r="X12" s="404" t="s">
        <v>1051</v>
      </c>
      <c r="Y12" s="404" t="s">
        <v>1051</v>
      </c>
    </row>
    <row r="13" spans="3:25">
      <c r="C13" s="68" t="str">
        <f>'G-1 All Habitats'!B11</f>
        <v>Cropland - Non-cereal crops</v>
      </c>
      <c r="D13" s="404" t="s">
        <v>1051</v>
      </c>
      <c r="E13" s="404" t="s">
        <v>1051</v>
      </c>
      <c r="F13" s="404" t="s">
        <v>1051</v>
      </c>
      <c r="G13" s="404" t="s">
        <v>1051</v>
      </c>
      <c r="H13" s="404" t="s">
        <v>1051</v>
      </c>
      <c r="I13" s="404" t="s">
        <v>1051</v>
      </c>
      <c r="J13" s="404" t="s">
        <v>1051</v>
      </c>
      <c r="K13" s="404" t="s">
        <v>1051</v>
      </c>
      <c r="L13" s="404" t="s">
        <v>1051</v>
      </c>
      <c r="M13" s="404" t="s">
        <v>1051</v>
      </c>
      <c r="N13" s="404" t="s">
        <v>1051</v>
      </c>
      <c r="O13" s="404" t="s">
        <v>1051</v>
      </c>
      <c r="P13" s="404" t="s">
        <v>1051</v>
      </c>
      <c r="Q13" s="404" t="s">
        <v>1051</v>
      </c>
      <c r="R13" s="404" t="s">
        <v>1051</v>
      </c>
      <c r="S13" s="404" t="s">
        <v>1051</v>
      </c>
      <c r="T13" s="404" t="s">
        <v>1051</v>
      </c>
      <c r="U13" s="404" t="s">
        <v>1051</v>
      </c>
      <c r="V13" s="404" t="s">
        <v>1051</v>
      </c>
      <c r="W13" s="404" t="s">
        <v>1051</v>
      </c>
      <c r="X13" s="404" t="s">
        <v>1051</v>
      </c>
      <c r="Y13" s="404" t="s">
        <v>1051</v>
      </c>
    </row>
    <row r="14" spans="3:25">
      <c r="C14" s="68" t="str">
        <f>'G-1 All Habitats'!B12</f>
        <v>Cropland - Temporary grass and clover leys</v>
      </c>
      <c r="D14" s="404" t="s">
        <v>1051</v>
      </c>
      <c r="E14" s="404" t="s">
        <v>1051</v>
      </c>
      <c r="F14" s="404" t="s">
        <v>1051</v>
      </c>
      <c r="G14" s="404" t="s">
        <v>1051</v>
      </c>
      <c r="H14" s="404" t="s">
        <v>1051</v>
      </c>
      <c r="I14" s="404" t="s">
        <v>1051</v>
      </c>
      <c r="J14" s="404" t="s">
        <v>1051</v>
      </c>
      <c r="K14" s="404" t="s">
        <v>1051</v>
      </c>
      <c r="L14" s="404" t="s">
        <v>1051</v>
      </c>
      <c r="M14" s="404" t="s">
        <v>1051</v>
      </c>
      <c r="N14" s="404" t="s">
        <v>1051</v>
      </c>
      <c r="O14" s="404" t="s">
        <v>1051</v>
      </c>
      <c r="P14" s="404" t="s">
        <v>1051</v>
      </c>
      <c r="Q14" s="404" t="s">
        <v>1051</v>
      </c>
      <c r="R14" s="404" t="s">
        <v>1051</v>
      </c>
      <c r="S14" s="404" t="s">
        <v>1051</v>
      </c>
      <c r="T14" s="404" t="s">
        <v>1051</v>
      </c>
      <c r="U14" s="404" t="s">
        <v>1051</v>
      </c>
      <c r="V14" s="404" t="s">
        <v>1051</v>
      </c>
      <c r="W14" s="404" t="s">
        <v>1051</v>
      </c>
      <c r="X14" s="404" t="s">
        <v>1051</v>
      </c>
      <c r="Y14" s="404" t="s">
        <v>1051</v>
      </c>
    </row>
    <row r="15" spans="3:25">
      <c r="C15" s="68" t="str">
        <f>'G-1 All Habitats'!B13</f>
        <v>Grassland - Traditional orchards</v>
      </c>
      <c r="D15" s="404" t="s">
        <v>1051</v>
      </c>
      <c r="E15" s="404" t="s">
        <v>1051</v>
      </c>
      <c r="F15" s="404">
        <v>5</v>
      </c>
      <c r="G15" s="404">
        <v>10</v>
      </c>
      <c r="H15" s="404">
        <v>20</v>
      </c>
      <c r="I15" s="404">
        <v>25</v>
      </c>
      <c r="J15" s="404">
        <v>30</v>
      </c>
      <c r="K15" s="404" t="s">
        <v>1051</v>
      </c>
      <c r="L15" s="404" t="s">
        <v>1051</v>
      </c>
      <c r="M15" s="404" t="s">
        <v>1051</v>
      </c>
      <c r="N15" s="404" t="s">
        <v>1051</v>
      </c>
      <c r="O15" s="404">
        <v>5</v>
      </c>
      <c r="P15" s="404">
        <v>15</v>
      </c>
      <c r="Q15" s="404">
        <v>20</v>
      </c>
      <c r="R15" s="404">
        <v>25</v>
      </c>
      <c r="S15" s="404">
        <v>10</v>
      </c>
      <c r="T15" s="404">
        <v>15</v>
      </c>
      <c r="U15" s="404">
        <v>20</v>
      </c>
      <c r="V15" s="404">
        <v>5</v>
      </c>
      <c r="W15" s="404">
        <v>10</v>
      </c>
      <c r="X15" s="404">
        <v>5</v>
      </c>
      <c r="Y15" s="404" t="s">
        <v>1051</v>
      </c>
    </row>
    <row r="16" spans="3:25">
      <c r="C16" s="68" t="str">
        <f>'G-1 All Habitats'!B14</f>
        <v>Grassland - Bracken</v>
      </c>
      <c r="D16" s="404" t="s">
        <v>1051</v>
      </c>
      <c r="E16" s="404" t="s">
        <v>1051</v>
      </c>
      <c r="F16" s="404">
        <v>1</v>
      </c>
      <c r="G16" s="404" t="s">
        <v>1051</v>
      </c>
      <c r="H16" s="404" t="s">
        <v>1051</v>
      </c>
      <c r="I16" s="404" t="s">
        <v>1051</v>
      </c>
      <c r="J16" s="404" t="s">
        <v>1051</v>
      </c>
      <c r="K16" s="404" t="s">
        <v>1051</v>
      </c>
      <c r="L16" s="404" t="s">
        <v>1051</v>
      </c>
      <c r="M16" s="404" t="s">
        <v>1051</v>
      </c>
      <c r="N16" s="404" t="s">
        <v>1051</v>
      </c>
      <c r="O16" s="404" t="s">
        <v>1051</v>
      </c>
      <c r="P16" s="404" t="s">
        <v>1051</v>
      </c>
      <c r="Q16" s="404" t="s">
        <v>1051</v>
      </c>
      <c r="R16" s="404" t="s">
        <v>1051</v>
      </c>
      <c r="S16" s="404" t="s">
        <v>1051</v>
      </c>
      <c r="T16" s="404" t="s">
        <v>1051</v>
      </c>
      <c r="U16" s="404" t="s">
        <v>1051</v>
      </c>
      <c r="V16" s="404" t="s">
        <v>1051</v>
      </c>
      <c r="W16" s="404" t="s">
        <v>1051</v>
      </c>
      <c r="X16" s="404" t="s">
        <v>1051</v>
      </c>
      <c r="Y16" s="404" t="s">
        <v>1051</v>
      </c>
    </row>
    <row r="17" spans="3:25">
      <c r="C17" s="68" t="str">
        <f>'G-1 All Habitats'!B15</f>
        <v>Grassland - Floodplain wetland mosaic and CFGM</v>
      </c>
      <c r="D17" s="404" t="s">
        <v>1051</v>
      </c>
      <c r="E17" s="404" t="s">
        <v>1051</v>
      </c>
      <c r="F17" s="404">
        <v>5</v>
      </c>
      <c r="G17" s="404">
        <v>8</v>
      </c>
      <c r="H17" s="404">
        <v>10</v>
      </c>
      <c r="I17" s="404">
        <v>12</v>
      </c>
      <c r="J17" s="404">
        <v>15</v>
      </c>
      <c r="K17" s="404" t="s">
        <v>1051</v>
      </c>
      <c r="L17" s="404" t="s">
        <v>1051</v>
      </c>
      <c r="M17" s="404" t="s">
        <v>1051</v>
      </c>
      <c r="N17" s="404" t="s">
        <v>1051</v>
      </c>
      <c r="O17" s="404">
        <v>8</v>
      </c>
      <c r="P17" s="404">
        <v>10</v>
      </c>
      <c r="Q17" s="404">
        <v>12</v>
      </c>
      <c r="R17" s="404">
        <v>15</v>
      </c>
      <c r="S17" s="404">
        <v>2</v>
      </c>
      <c r="T17" s="404">
        <v>4</v>
      </c>
      <c r="U17" s="404">
        <v>7</v>
      </c>
      <c r="V17" s="404">
        <v>2</v>
      </c>
      <c r="W17" s="404">
        <v>4</v>
      </c>
      <c r="X17" s="404">
        <v>3</v>
      </c>
      <c r="Y17" s="404" t="s">
        <v>1051</v>
      </c>
    </row>
    <row r="18" spans="3:25">
      <c r="C18" s="68" t="str">
        <f>'G-1 All Habitats'!B16</f>
        <v>Grassland - Lowland calcareous grassland</v>
      </c>
      <c r="D18" s="404" t="s">
        <v>1051</v>
      </c>
      <c r="E18" s="404" t="s">
        <v>1051</v>
      </c>
      <c r="F18" s="404">
        <v>10</v>
      </c>
      <c r="G18" s="404">
        <v>15</v>
      </c>
      <c r="H18" s="404">
        <v>20</v>
      </c>
      <c r="I18" s="404">
        <v>25</v>
      </c>
      <c r="J18" s="404">
        <v>30</v>
      </c>
      <c r="K18" s="404" t="s">
        <v>1051</v>
      </c>
      <c r="L18" s="404" t="s">
        <v>1051</v>
      </c>
      <c r="M18" s="404" t="s">
        <v>1051</v>
      </c>
      <c r="N18" s="404" t="s">
        <v>1051</v>
      </c>
      <c r="O18" s="404">
        <v>5</v>
      </c>
      <c r="P18" s="404">
        <v>10</v>
      </c>
      <c r="Q18" s="404">
        <v>15</v>
      </c>
      <c r="R18" s="404">
        <v>20</v>
      </c>
      <c r="S18" s="404">
        <v>5</v>
      </c>
      <c r="T18" s="404">
        <v>10</v>
      </c>
      <c r="U18" s="404">
        <v>15</v>
      </c>
      <c r="V18" s="404">
        <v>5</v>
      </c>
      <c r="W18" s="404">
        <v>10</v>
      </c>
      <c r="X18" s="404">
        <v>5</v>
      </c>
      <c r="Y18" s="404" t="s">
        <v>1051</v>
      </c>
    </row>
    <row r="19" spans="3:25">
      <c r="C19" s="68" t="str">
        <f>'G-1 All Habitats'!B17</f>
        <v>Grassland - Lowland dry acid grassland</v>
      </c>
      <c r="D19" s="404" t="s">
        <v>1051</v>
      </c>
      <c r="E19" s="404" t="s">
        <v>1051</v>
      </c>
      <c r="F19" s="404">
        <v>10</v>
      </c>
      <c r="G19" s="404">
        <v>15</v>
      </c>
      <c r="H19" s="404">
        <v>20</v>
      </c>
      <c r="I19" s="404">
        <v>25</v>
      </c>
      <c r="J19" s="404" t="s">
        <v>1052</v>
      </c>
      <c r="K19" s="404" t="s">
        <v>1051</v>
      </c>
      <c r="L19" s="404" t="s">
        <v>1051</v>
      </c>
      <c r="M19" s="404" t="s">
        <v>1051</v>
      </c>
      <c r="N19" s="404" t="s">
        <v>1051</v>
      </c>
      <c r="O19" s="404">
        <v>5</v>
      </c>
      <c r="P19" s="404">
        <v>15</v>
      </c>
      <c r="Q19" s="404">
        <v>20</v>
      </c>
      <c r="R19" s="404" t="s">
        <v>1052</v>
      </c>
      <c r="S19" s="404">
        <v>8</v>
      </c>
      <c r="T19" s="404">
        <v>15</v>
      </c>
      <c r="U19" s="404">
        <v>25</v>
      </c>
      <c r="V19" s="404">
        <v>10</v>
      </c>
      <c r="W19" s="404">
        <v>20</v>
      </c>
      <c r="X19" s="404">
        <v>10</v>
      </c>
      <c r="Y19" s="404" t="s">
        <v>1051</v>
      </c>
    </row>
    <row r="20" spans="3:25">
      <c r="C20" s="68" t="str">
        <f>'G-1 All Habitats'!B18</f>
        <v>Grassland - Lowland meadows</v>
      </c>
      <c r="D20" s="404" t="s">
        <v>1051</v>
      </c>
      <c r="E20" s="404" t="s">
        <v>1051</v>
      </c>
      <c r="F20" s="404">
        <v>5</v>
      </c>
      <c r="G20" s="404">
        <v>8</v>
      </c>
      <c r="H20" s="404">
        <v>10</v>
      </c>
      <c r="I20" s="404">
        <v>12</v>
      </c>
      <c r="J20" s="404">
        <v>15</v>
      </c>
      <c r="K20" s="404" t="s">
        <v>1051</v>
      </c>
      <c r="L20" s="404" t="s">
        <v>1051</v>
      </c>
      <c r="M20" s="404" t="s">
        <v>1051</v>
      </c>
      <c r="N20" s="404" t="s">
        <v>1051</v>
      </c>
      <c r="O20" s="404">
        <v>4</v>
      </c>
      <c r="P20" s="404">
        <v>8</v>
      </c>
      <c r="Q20" s="404">
        <v>11</v>
      </c>
      <c r="R20" s="404">
        <v>15</v>
      </c>
      <c r="S20" s="404">
        <v>4</v>
      </c>
      <c r="T20" s="404">
        <v>8</v>
      </c>
      <c r="U20" s="404">
        <v>11</v>
      </c>
      <c r="V20" s="404">
        <v>4</v>
      </c>
      <c r="W20" s="404">
        <v>8</v>
      </c>
      <c r="X20" s="404">
        <v>4</v>
      </c>
      <c r="Y20" s="404" t="s">
        <v>1051</v>
      </c>
    </row>
    <row r="21" spans="3:25">
      <c r="C21" s="68" t="str">
        <f>'G-1 All Habitats'!B19</f>
        <v>Grassland - Modified grassland</v>
      </c>
      <c r="D21" s="404" t="s">
        <v>1051</v>
      </c>
      <c r="E21" s="404">
        <v>1</v>
      </c>
      <c r="F21" s="404">
        <v>1</v>
      </c>
      <c r="G21" s="404">
        <v>5</v>
      </c>
      <c r="H21" s="404">
        <v>10</v>
      </c>
      <c r="I21" s="404">
        <v>12</v>
      </c>
      <c r="J21" s="404">
        <v>15</v>
      </c>
      <c r="K21" s="404" t="s">
        <v>1051</v>
      </c>
      <c r="L21" s="404" t="s">
        <v>1051</v>
      </c>
      <c r="M21" s="404" t="s">
        <v>1051</v>
      </c>
      <c r="N21" s="404" t="s">
        <v>1051</v>
      </c>
      <c r="O21" s="404">
        <v>5</v>
      </c>
      <c r="P21" s="404">
        <v>10</v>
      </c>
      <c r="Q21" s="404">
        <v>12</v>
      </c>
      <c r="R21" s="404">
        <v>15</v>
      </c>
      <c r="S21" s="404">
        <v>8</v>
      </c>
      <c r="T21" s="404">
        <v>10</v>
      </c>
      <c r="U21" s="404">
        <v>12</v>
      </c>
      <c r="V21" s="404">
        <v>8</v>
      </c>
      <c r="W21" s="404">
        <v>10</v>
      </c>
      <c r="X21" s="404">
        <v>8</v>
      </c>
      <c r="Y21" s="404" t="s">
        <v>1051</v>
      </c>
    </row>
    <row r="22" spans="3:25">
      <c r="C22" s="68" t="str">
        <f>'G-1 All Habitats'!B20</f>
        <v>Grassland - Other lowland acid grassland</v>
      </c>
      <c r="D22" s="404" t="s">
        <v>1051</v>
      </c>
      <c r="E22" s="404" t="s">
        <v>1051</v>
      </c>
      <c r="F22" s="404">
        <v>1</v>
      </c>
      <c r="G22" s="404">
        <v>5</v>
      </c>
      <c r="H22" s="404">
        <v>10</v>
      </c>
      <c r="I22" s="404">
        <v>12</v>
      </c>
      <c r="J22" s="404">
        <v>15</v>
      </c>
      <c r="K22" s="404" t="s">
        <v>1051</v>
      </c>
      <c r="L22" s="404" t="s">
        <v>1051</v>
      </c>
      <c r="M22" s="404" t="s">
        <v>1051</v>
      </c>
      <c r="N22" s="404" t="s">
        <v>1051</v>
      </c>
      <c r="O22" s="404">
        <v>5</v>
      </c>
      <c r="P22" s="404">
        <v>10</v>
      </c>
      <c r="Q22" s="404">
        <v>12</v>
      </c>
      <c r="R22" s="404">
        <v>15</v>
      </c>
      <c r="S22" s="404">
        <v>8</v>
      </c>
      <c r="T22" s="404">
        <v>10</v>
      </c>
      <c r="U22" s="404">
        <v>12</v>
      </c>
      <c r="V22" s="404">
        <v>8</v>
      </c>
      <c r="W22" s="404">
        <v>10</v>
      </c>
      <c r="X22" s="404">
        <v>8</v>
      </c>
      <c r="Y22" s="404" t="s">
        <v>1051</v>
      </c>
    </row>
    <row r="23" spans="3:25">
      <c r="C23" s="68" t="str">
        <f>'G-1 All Habitats'!B21</f>
        <v>Grassland - Other neutral grassland</v>
      </c>
      <c r="D23" s="404" t="s">
        <v>1051</v>
      </c>
      <c r="E23" s="404" t="s">
        <v>1051</v>
      </c>
      <c r="F23" s="404">
        <v>1</v>
      </c>
      <c r="G23" s="404">
        <v>5</v>
      </c>
      <c r="H23" s="404">
        <v>10</v>
      </c>
      <c r="I23" s="404">
        <v>12</v>
      </c>
      <c r="J23" s="404">
        <v>15</v>
      </c>
      <c r="K23" s="404" t="s">
        <v>1051</v>
      </c>
      <c r="L23" s="404" t="s">
        <v>1051</v>
      </c>
      <c r="M23" s="404" t="s">
        <v>1051</v>
      </c>
      <c r="N23" s="404" t="s">
        <v>1051</v>
      </c>
      <c r="O23" s="404">
        <v>5</v>
      </c>
      <c r="P23" s="404">
        <v>10</v>
      </c>
      <c r="Q23" s="404">
        <v>12</v>
      </c>
      <c r="R23" s="404">
        <v>15</v>
      </c>
      <c r="S23" s="404">
        <v>8</v>
      </c>
      <c r="T23" s="404">
        <v>10</v>
      </c>
      <c r="U23" s="404">
        <v>12</v>
      </c>
      <c r="V23" s="404">
        <v>8</v>
      </c>
      <c r="W23" s="404">
        <v>10</v>
      </c>
      <c r="X23" s="404">
        <v>8</v>
      </c>
      <c r="Y23" s="404" t="s">
        <v>1051</v>
      </c>
    </row>
    <row r="24" spans="3:25">
      <c r="C24" s="68" t="str">
        <f>'G-1 All Habitats'!B22</f>
        <v>Grassland - Tall herb communities (H6430)</v>
      </c>
      <c r="D24" s="404" t="s">
        <v>1051</v>
      </c>
      <c r="E24" s="404" t="s">
        <v>1051</v>
      </c>
      <c r="F24" s="404">
        <v>10</v>
      </c>
      <c r="G24" s="404">
        <v>15</v>
      </c>
      <c r="H24" s="404">
        <v>20</v>
      </c>
      <c r="I24" s="404">
        <v>25</v>
      </c>
      <c r="J24" s="404">
        <v>30</v>
      </c>
      <c r="K24" s="404" t="s">
        <v>1051</v>
      </c>
      <c r="L24" s="404" t="s">
        <v>1051</v>
      </c>
      <c r="M24" s="404" t="s">
        <v>1051</v>
      </c>
      <c r="N24" s="404" t="s">
        <v>1051</v>
      </c>
      <c r="O24" s="404">
        <v>10</v>
      </c>
      <c r="P24" s="404">
        <v>20</v>
      </c>
      <c r="Q24" s="404">
        <v>25</v>
      </c>
      <c r="R24" s="404">
        <v>30</v>
      </c>
      <c r="S24" s="404">
        <v>10</v>
      </c>
      <c r="T24" s="404">
        <v>10</v>
      </c>
      <c r="U24" s="404">
        <v>15</v>
      </c>
      <c r="V24" s="404">
        <v>5</v>
      </c>
      <c r="W24" s="404">
        <v>10</v>
      </c>
      <c r="X24" s="404">
        <v>5</v>
      </c>
      <c r="Y24" s="404" t="s">
        <v>1051</v>
      </c>
    </row>
    <row r="25" spans="3:25">
      <c r="C25" s="68" t="str">
        <f>'G-1 All Habitats'!B23</f>
        <v>Grassland - Upland acid grassland</v>
      </c>
      <c r="D25" s="404" t="s">
        <v>1051</v>
      </c>
      <c r="E25" s="404" t="s">
        <v>1051</v>
      </c>
      <c r="F25" s="404">
        <v>1</v>
      </c>
      <c r="G25" s="404">
        <v>5</v>
      </c>
      <c r="H25" s="404">
        <v>10</v>
      </c>
      <c r="I25" s="404">
        <v>12</v>
      </c>
      <c r="J25" s="404">
        <v>15</v>
      </c>
      <c r="K25" s="404" t="s">
        <v>1051</v>
      </c>
      <c r="L25" s="404" t="s">
        <v>1051</v>
      </c>
      <c r="M25" s="404" t="s">
        <v>1051</v>
      </c>
      <c r="N25" s="404" t="s">
        <v>1051</v>
      </c>
      <c r="O25" s="404">
        <v>5</v>
      </c>
      <c r="P25" s="404">
        <v>10</v>
      </c>
      <c r="Q25" s="404">
        <v>12</v>
      </c>
      <c r="R25" s="404">
        <v>15</v>
      </c>
      <c r="S25" s="404">
        <v>8</v>
      </c>
      <c r="T25" s="404">
        <v>10</v>
      </c>
      <c r="U25" s="404">
        <v>12</v>
      </c>
      <c r="V25" s="404">
        <v>8</v>
      </c>
      <c r="W25" s="404">
        <v>10</v>
      </c>
      <c r="X25" s="404">
        <v>8</v>
      </c>
      <c r="Y25" s="404" t="s">
        <v>1051</v>
      </c>
    </row>
    <row r="26" spans="3:25">
      <c r="C26" s="68" t="str">
        <f>'G-1 All Habitats'!B24</f>
        <v>Grassland - Upland calcareous grassland</v>
      </c>
      <c r="D26" s="404" t="s">
        <v>1051</v>
      </c>
      <c r="E26" s="404" t="s">
        <v>1051</v>
      </c>
      <c r="F26" s="404">
        <v>10</v>
      </c>
      <c r="G26" s="404">
        <v>12</v>
      </c>
      <c r="H26" s="404">
        <v>15</v>
      </c>
      <c r="I26" s="404">
        <v>20</v>
      </c>
      <c r="J26" s="404">
        <v>25</v>
      </c>
      <c r="K26" s="404" t="s">
        <v>1051</v>
      </c>
      <c r="L26" s="404" t="s">
        <v>1051</v>
      </c>
      <c r="M26" s="404" t="s">
        <v>1051</v>
      </c>
      <c r="N26" s="404" t="s">
        <v>1051</v>
      </c>
      <c r="O26" s="404">
        <v>10</v>
      </c>
      <c r="P26" s="404">
        <v>15</v>
      </c>
      <c r="Q26" s="404">
        <v>18</v>
      </c>
      <c r="R26" s="404">
        <v>20</v>
      </c>
      <c r="S26" s="404">
        <v>10</v>
      </c>
      <c r="T26" s="404">
        <v>15</v>
      </c>
      <c r="U26" s="404">
        <v>18</v>
      </c>
      <c r="V26" s="404">
        <v>10</v>
      </c>
      <c r="W26" s="404">
        <v>10</v>
      </c>
      <c r="X26" s="404">
        <v>10</v>
      </c>
      <c r="Y26" s="404" t="s">
        <v>1051</v>
      </c>
    </row>
    <row r="27" spans="3:25">
      <c r="C27" s="68" t="str">
        <f>'G-1 All Habitats'!B25</f>
        <v>Grassland - Upland hay meadows</v>
      </c>
      <c r="D27" s="404" t="s">
        <v>1051</v>
      </c>
      <c r="E27" s="404" t="s">
        <v>1051</v>
      </c>
      <c r="F27" s="404">
        <v>10</v>
      </c>
      <c r="G27" s="404">
        <v>12</v>
      </c>
      <c r="H27" s="404">
        <v>15</v>
      </c>
      <c r="I27" s="404">
        <v>18</v>
      </c>
      <c r="J27" s="404">
        <v>20</v>
      </c>
      <c r="K27" s="404" t="s">
        <v>1051</v>
      </c>
      <c r="L27" s="404" t="s">
        <v>1051</v>
      </c>
      <c r="M27" s="404" t="s">
        <v>1051</v>
      </c>
      <c r="N27" s="404" t="s">
        <v>1051</v>
      </c>
      <c r="O27" s="404">
        <v>10</v>
      </c>
      <c r="P27" s="404">
        <v>15</v>
      </c>
      <c r="Q27" s="404">
        <v>18</v>
      </c>
      <c r="R27" s="404">
        <v>20</v>
      </c>
      <c r="S27" s="404">
        <v>10</v>
      </c>
      <c r="T27" s="404">
        <v>15</v>
      </c>
      <c r="U27" s="404">
        <v>18</v>
      </c>
      <c r="V27" s="404">
        <v>10</v>
      </c>
      <c r="W27" s="404">
        <v>15</v>
      </c>
      <c r="X27" s="404">
        <v>10</v>
      </c>
      <c r="Y27" s="404" t="s">
        <v>1051</v>
      </c>
    </row>
    <row r="28" spans="3:25">
      <c r="C28" s="68" t="str">
        <f>'G-1 All Habitats'!B26</f>
        <v>Heathland and shrub - Blackthorn scrub</v>
      </c>
      <c r="D28" s="404" t="s">
        <v>1051</v>
      </c>
      <c r="E28" s="404" t="s">
        <v>1051</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1051</v>
      </c>
    </row>
    <row r="29" spans="3:25">
      <c r="C29" s="68" t="str">
        <f>'G-1 All Habitats'!B27</f>
        <v>Heathland and shrub - Bramble scrub</v>
      </c>
      <c r="D29" s="404" t="s">
        <v>1051</v>
      </c>
      <c r="E29" s="404" t="s">
        <v>1051</v>
      </c>
      <c r="F29" s="404">
        <v>1</v>
      </c>
      <c r="G29" s="404" t="s">
        <v>1051</v>
      </c>
      <c r="H29" s="404" t="s">
        <v>1051</v>
      </c>
      <c r="I29" s="404" t="s">
        <v>1051</v>
      </c>
      <c r="J29" s="404" t="s">
        <v>1051</v>
      </c>
      <c r="K29" s="404" t="s">
        <v>1051</v>
      </c>
      <c r="L29" s="404" t="s">
        <v>1051</v>
      </c>
      <c r="M29" s="404" t="s">
        <v>1051</v>
      </c>
      <c r="N29" s="404" t="s">
        <v>1051</v>
      </c>
      <c r="O29" s="404" t="s">
        <v>1051</v>
      </c>
      <c r="P29" s="404" t="s">
        <v>1051</v>
      </c>
      <c r="Q29" s="404" t="s">
        <v>1051</v>
      </c>
      <c r="R29" s="404" t="s">
        <v>1051</v>
      </c>
      <c r="S29" s="404" t="s">
        <v>1051</v>
      </c>
      <c r="T29" s="404" t="s">
        <v>1051</v>
      </c>
      <c r="U29" s="404" t="s">
        <v>1051</v>
      </c>
      <c r="V29" s="404" t="s">
        <v>1051</v>
      </c>
      <c r="W29" s="404" t="s">
        <v>1051</v>
      </c>
      <c r="X29" s="404" t="s">
        <v>1051</v>
      </c>
      <c r="Y29" s="404" t="s">
        <v>1051</v>
      </c>
    </row>
    <row r="30" spans="3:25">
      <c r="C30" s="68" t="str">
        <f>'G-1 All Habitats'!B28</f>
        <v>Heathland and shrub - Gorse scrub</v>
      </c>
      <c r="D30" s="404" t="s">
        <v>1051</v>
      </c>
      <c r="E30" s="404" t="s">
        <v>1051</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1051</v>
      </c>
    </row>
    <row r="31" spans="3:25">
      <c r="C31" s="68" t="str">
        <f>'G-1 All Habitats'!B29</f>
        <v>Heathland and shrub - Hawthorn scrub</v>
      </c>
      <c r="D31" s="404" t="s">
        <v>1051</v>
      </c>
      <c r="E31" s="404" t="s">
        <v>1051</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1051</v>
      </c>
    </row>
    <row r="32" spans="3:25">
      <c r="C32" s="68" t="str">
        <f>'G-1 All Habitats'!B30</f>
        <v>Heathland and shrub - Hazel scrub</v>
      </c>
      <c r="D32" s="404" t="s">
        <v>1051</v>
      </c>
      <c r="E32" s="404" t="s">
        <v>1051</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1051</v>
      </c>
    </row>
    <row r="33" spans="3:25">
      <c r="C33" s="68" t="s">
        <v>609</v>
      </c>
      <c r="D33" s="404" t="s">
        <v>1051</v>
      </c>
      <c r="E33" s="404" t="s">
        <v>1051</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1051</v>
      </c>
    </row>
    <row r="34" spans="3:25">
      <c r="C34" s="68" t="str">
        <f>'G-1 All Habitats'!B31</f>
        <v>Heathland and shrub - Lowland heathland</v>
      </c>
      <c r="D34" s="404" t="s">
        <v>1051</v>
      </c>
      <c r="E34" s="404" t="s">
        <v>1051</v>
      </c>
      <c r="F34" s="404">
        <v>10</v>
      </c>
      <c r="G34" s="404">
        <v>15</v>
      </c>
      <c r="H34" s="404">
        <v>20</v>
      </c>
      <c r="I34" s="404">
        <v>25</v>
      </c>
      <c r="J34" s="404" t="s">
        <v>1052</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1051</v>
      </c>
    </row>
    <row r="35" spans="3:25">
      <c r="C35" s="68" t="str">
        <f>'G-1 All Habitats'!B32</f>
        <v>Heathland and shrub - Mixed scrub</v>
      </c>
      <c r="D35" s="404" t="s">
        <v>1051</v>
      </c>
      <c r="E35" s="404" t="s">
        <v>1051</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1051</v>
      </c>
    </row>
    <row r="36" spans="3:25">
      <c r="C36" s="68" t="str">
        <f>'G-1 All Habitats'!B33</f>
        <v>Heathland and shrub - Mountain heaths and willow scrub</v>
      </c>
      <c r="D36" s="404" t="s">
        <v>1051</v>
      </c>
      <c r="E36" s="404" t="s">
        <v>1051</v>
      </c>
      <c r="F36" s="404">
        <v>15</v>
      </c>
      <c r="G36" s="404">
        <v>23</v>
      </c>
      <c r="H36" s="404">
        <v>25</v>
      </c>
      <c r="I36" s="404" t="s">
        <v>1052</v>
      </c>
      <c r="J36" s="404" t="s">
        <v>1052</v>
      </c>
      <c r="K36" s="404">
        <v>20</v>
      </c>
      <c r="L36" s="404" t="s">
        <v>1052</v>
      </c>
      <c r="M36" s="404" t="s">
        <v>1052</v>
      </c>
      <c r="N36" s="404" t="s">
        <v>1052</v>
      </c>
      <c r="O36" s="404">
        <v>20</v>
      </c>
      <c r="P36" s="404" t="s">
        <v>1052</v>
      </c>
      <c r="Q36" s="404" t="s">
        <v>1052</v>
      </c>
      <c r="R36" s="404" t="s">
        <v>1052</v>
      </c>
      <c r="S36" s="404">
        <v>20</v>
      </c>
      <c r="T36" s="404" t="s">
        <v>1052</v>
      </c>
      <c r="U36" s="404" t="s">
        <v>1052</v>
      </c>
      <c r="V36" s="404">
        <v>20</v>
      </c>
      <c r="W36" s="404" t="s">
        <v>1052</v>
      </c>
      <c r="X36" s="404">
        <v>20</v>
      </c>
      <c r="Y36" s="404" t="s">
        <v>1051</v>
      </c>
    </row>
    <row r="37" spans="3:25">
      <c r="C37" s="68" t="str">
        <f>'G-1 All Habitats'!B34</f>
        <v>Heathland and shrub - Rhododendron scrub</v>
      </c>
      <c r="D37" s="404" t="s">
        <v>1051</v>
      </c>
      <c r="E37" s="404" t="s">
        <v>1051</v>
      </c>
      <c r="F37" s="404">
        <v>1</v>
      </c>
      <c r="G37" s="404" t="s">
        <v>1051</v>
      </c>
      <c r="H37" s="404" t="s">
        <v>1051</v>
      </c>
      <c r="I37" s="404" t="s">
        <v>1051</v>
      </c>
      <c r="J37" s="404" t="s">
        <v>1051</v>
      </c>
      <c r="K37" s="404" t="s">
        <v>1051</v>
      </c>
      <c r="L37" s="404" t="s">
        <v>1051</v>
      </c>
      <c r="M37" s="404" t="s">
        <v>1051</v>
      </c>
      <c r="N37" s="404" t="s">
        <v>1051</v>
      </c>
      <c r="O37" s="404" t="s">
        <v>1051</v>
      </c>
      <c r="P37" s="404" t="s">
        <v>1051</v>
      </c>
      <c r="Q37" s="404" t="s">
        <v>1051</v>
      </c>
      <c r="R37" s="404" t="s">
        <v>1051</v>
      </c>
      <c r="S37" s="404" t="s">
        <v>1051</v>
      </c>
      <c r="T37" s="404" t="s">
        <v>1051</v>
      </c>
      <c r="U37" s="404" t="s">
        <v>1051</v>
      </c>
      <c r="V37" s="404" t="s">
        <v>1051</v>
      </c>
      <c r="W37" s="404" t="s">
        <v>1051</v>
      </c>
      <c r="X37" s="404" t="s">
        <v>1051</v>
      </c>
      <c r="Y37" s="404" t="s">
        <v>1051</v>
      </c>
    </row>
    <row r="38" spans="3:25">
      <c r="C38" s="68" t="str">
        <f>'G-1 All Habitats'!B35</f>
        <v>Heathland and shrub - Dunes with sea buckthorn (H2160)</v>
      </c>
      <c r="D38" s="404" t="s">
        <v>1051</v>
      </c>
      <c r="E38" s="404" t="s">
        <v>1051</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1051</v>
      </c>
    </row>
    <row r="39" spans="3:25">
      <c r="C39" s="68" t="str">
        <f>'G-1 All Habitats'!B36</f>
        <v>Heathland and shrub - Other sea buckthorn scrub</v>
      </c>
      <c r="D39" s="404" t="s">
        <v>1051</v>
      </c>
      <c r="E39" s="404" t="s">
        <v>1051</v>
      </c>
      <c r="F39" s="404" t="s">
        <v>1051</v>
      </c>
      <c r="G39" s="404" t="s">
        <v>1051</v>
      </c>
      <c r="H39" s="404" t="s">
        <v>1051</v>
      </c>
      <c r="I39" s="404" t="s">
        <v>1051</v>
      </c>
      <c r="J39" s="404" t="s">
        <v>1051</v>
      </c>
      <c r="K39" s="404" t="s">
        <v>1051</v>
      </c>
      <c r="L39" s="404" t="s">
        <v>1051</v>
      </c>
      <c r="M39" s="404" t="s">
        <v>1051</v>
      </c>
      <c r="N39" s="404" t="s">
        <v>1051</v>
      </c>
      <c r="O39" s="404" t="s">
        <v>1051</v>
      </c>
      <c r="P39" s="404" t="s">
        <v>1051</v>
      </c>
      <c r="Q39" s="404" t="s">
        <v>1051</v>
      </c>
      <c r="R39" s="404" t="s">
        <v>1051</v>
      </c>
      <c r="S39" s="404" t="s">
        <v>1051</v>
      </c>
      <c r="T39" s="404" t="s">
        <v>1051</v>
      </c>
      <c r="U39" s="404" t="s">
        <v>1051</v>
      </c>
      <c r="V39" s="404" t="s">
        <v>1051</v>
      </c>
      <c r="W39" s="404" t="s">
        <v>1051</v>
      </c>
      <c r="X39" s="404" t="s">
        <v>1051</v>
      </c>
      <c r="Y39" s="404" t="s">
        <v>1051</v>
      </c>
    </row>
    <row r="40" spans="3:25">
      <c r="C40" s="68" t="str">
        <f>'G-1 All Habitats'!B38</f>
        <v>Heathland and shrub - Upland heathland</v>
      </c>
      <c r="D40" s="404" t="s">
        <v>1051</v>
      </c>
      <c r="E40" s="404" t="s">
        <v>1051</v>
      </c>
      <c r="F40" s="404">
        <v>10</v>
      </c>
      <c r="G40" s="404">
        <v>15</v>
      </c>
      <c r="H40" s="404">
        <v>20</v>
      </c>
      <c r="I40" s="404">
        <v>25</v>
      </c>
      <c r="J40" s="404">
        <v>30</v>
      </c>
      <c r="K40" s="404" t="s">
        <v>1051</v>
      </c>
      <c r="L40" s="404" t="s">
        <v>1051</v>
      </c>
      <c r="M40" s="404" t="s">
        <v>1051</v>
      </c>
      <c r="N40" s="404" t="s">
        <v>1051</v>
      </c>
      <c r="O40" s="404">
        <v>10</v>
      </c>
      <c r="P40" s="404">
        <v>20</v>
      </c>
      <c r="Q40" s="404">
        <v>30</v>
      </c>
      <c r="R40" s="404" t="s">
        <v>1052</v>
      </c>
      <c r="S40" s="404">
        <v>10</v>
      </c>
      <c r="T40" s="404">
        <v>20</v>
      </c>
      <c r="U40" s="404">
        <v>30</v>
      </c>
      <c r="V40" s="404">
        <v>10</v>
      </c>
      <c r="W40" s="404">
        <v>20</v>
      </c>
      <c r="X40" s="404">
        <v>10</v>
      </c>
      <c r="Y40" s="404" t="s">
        <v>1051</v>
      </c>
    </row>
    <row r="41" spans="3:25">
      <c r="C41" s="68" t="str">
        <f>'G-1 All Habitats'!B39</f>
        <v>Lakes - Aquifer fed naturally fluctuating water bodies</v>
      </c>
      <c r="D41" s="404" t="s">
        <v>1051</v>
      </c>
      <c r="E41" s="404" t="s">
        <v>1051</v>
      </c>
      <c r="F41" s="404">
        <v>1</v>
      </c>
      <c r="G41" s="404">
        <v>10</v>
      </c>
      <c r="H41" s="404">
        <v>15</v>
      </c>
      <c r="I41" s="404">
        <v>20</v>
      </c>
      <c r="J41" s="404">
        <v>30</v>
      </c>
      <c r="K41" s="404" t="s">
        <v>1051</v>
      </c>
      <c r="L41" s="404" t="s">
        <v>1051</v>
      </c>
      <c r="M41" s="404" t="s">
        <v>1051</v>
      </c>
      <c r="N41" s="404" t="s">
        <v>1051</v>
      </c>
      <c r="O41" s="404">
        <v>5</v>
      </c>
      <c r="P41" s="404">
        <v>10</v>
      </c>
      <c r="Q41" s="404">
        <v>15</v>
      </c>
      <c r="R41" s="404">
        <v>30</v>
      </c>
      <c r="S41" s="404">
        <v>5</v>
      </c>
      <c r="T41" s="404">
        <v>15</v>
      </c>
      <c r="U41" s="404">
        <v>25</v>
      </c>
      <c r="V41" s="404">
        <v>5</v>
      </c>
      <c r="W41" s="404">
        <v>20</v>
      </c>
      <c r="X41" s="404">
        <v>5</v>
      </c>
      <c r="Y41" s="404" t="s">
        <v>1051</v>
      </c>
    </row>
    <row r="42" spans="3:25">
      <c r="C42" s="68" t="str">
        <f>'G-1 All Habitats'!B41</f>
        <v>Lakes - High alkalinity lakes</v>
      </c>
      <c r="D42" s="404" t="s">
        <v>1051</v>
      </c>
      <c r="E42" s="404" t="s">
        <v>1051</v>
      </c>
      <c r="F42" s="404">
        <v>2</v>
      </c>
      <c r="G42" s="404">
        <v>3</v>
      </c>
      <c r="H42" s="404">
        <v>5</v>
      </c>
      <c r="I42" s="404">
        <v>7</v>
      </c>
      <c r="J42" s="404">
        <v>10</v>
      </c>
      <c r="K42" s="404" t="s">
        <v>1051</v>
      </c>
      <c r="L42" s="404" t="s">
        <v>1051</v>
      </c>
      <c r="M42" s="404" t="s">
        <v>1051</v>
      </c>
      <c r="N42" s="404" t="s">
        <v>1051</v>
      </c>
      <c r="O42" s="404">
        <v>5</v>
      </c>
      <c r="P42" s="404">
        <v>10</v>
      </c>
      <c r="Q42" s="404">
        <v>15</v>
      </c>
      <c r="R42" s="404">
        <v>30</v>
      </c>
      <c r="S42" s="404">
        <v>5</v>
      </c>
      <c r="T42" s="404">
        <v>15</v>
      </c>
      <c r="U42" s="404">
        <v>25</v>
      </c>
      <c r="V42" s="404">
        <v>10</v>
      </c>
      <c r="W42" s="404">
        <v>20</v>
      </c>
      <c r="X42" s="404">
        <v>10</v>
      </c>
      <c r="Y42" s="404" t="s">
        <v>1051</v>
      </c>
    </row>
    <row r="43" spans="3:25">
      <c r="C43" s="68" t="str">
        <f>'G-1 All Habitats'!B42</f>
        <v>Lakes - Low alkalinity lakes</v>
      </c>
      <c r="D43" s="404" t="s">
        <v>1051</v>
      </c>
      <c r="E43" s="404" t="s">
        <v>1051</v>
      </c>
      <c r="F43" s="404">
        <v>5</v>
      </c>
      <c r="G43" s="404">
        <v>10</v>
      </c>
      <c r="H43" s="404">
        <v>15</v>
      </c>
      <c r="I43" s="404">
        <v>20</v>
      </c>
      <c r="J43" s="404">
        <v>30</v>
      </c>
      <c r="K43" s="404" t="s">
        <v>1051</v>
      </c>
      <c r="L43" s="404" t="s">
        <v>1051</v>
      </c>
      <c r="M43" s="404" t="s">
        <v>1051</v>
      </c>
      <c r="N43" s="404" t="s">
        <v>1051</v>
      </c>
      <c r="O43" s="404">
        <v>5</v>
      </c>
      <c r="P43" s="404">
        <v>10</v>
      </c>
      <c r="Q43" s="404">
        <v>15</v>
      </c>
      <c r="R43" s="404">
        <v>20</v>
      </c>
      <c r="S43" s="404">
        <v>5</v>
      </c>
      <c r="T43" s="404">
        <v>10</v>
      </c>
      <c r="U43" s="404">
        <v>15</v>
      </c>
      <c r="V43" s="404">
        <v>5</v>
      </c>
      <c r="W43" s="404">
        <v>10</v>
      </c>
      <c r="X43" s="404">
        <v>5</v>
      </c>
      <c r="Y43" s="404" t="s">
        <v>1051</v>
      </c>
    </row>
    <row r="44" spans="3:25">
      <c r="C44" s="68" t="str">
        <f>'G-1 All Habitats'!B43</f>
        <v>Lakes - Marl lakes</v>
      </c>
      <c r="D44" s="404" t="s">
        <v>1051</v>
      </c>
      <c r="E44" s="404" t="s">
        <v>1051</v>
      </c>
      <c r="F44" s="404">
        <v>5</v>
      </c>
      <c r="G44" s="404">
        <v>7</v>
      </c>
      <c r="H44" s="404">
        <v>10</v>
      </c>
      <c r="I44" s="404">
        <v>15</v>
      </c>
      <c r="J44" s="404">
        <v>20</v>
      </c>
      <c r="K44" s="404" t="s">
        <v>1051</v>
      </c>
      <c r="L44" s="404" t="s">
        <v>1051</v>
      </c>
      <c r="M44" s="404" t="s">
        <v>1051</v>
      </c>
      <c r="N44" s="404" t="s">
        <v>1051</v>
      </c>
      <c r="O44" s="404">
        <v>5</v>
      </c>
      <c r="P44" s="404">
        <v>10</v>
      </c>
      <c r="Q44" s="404">
        <v>15</v>
      </c>
      <c r="R44" s="404">
        <v>30</v>
      </c>
      <c r="S44" s="404">
        <v>5</v>
      </c>
      <c r="T44" s="404">
        <v>15</v>
      </c>
      <c r="U44" s="404">
        <v>25</v>
      </c>
      <c r="V44" s="404">
        <v>10</v>
      </c>
      <c r="W44" s="404">
        <v>20</v>
      </c>
      <c r="X44" s="404">
        <v>10</v>
      </c>
      <c r="Y44" s="404" t="s">
        <v>1051</v>
      </c>
    </row>
    <row r="45" spans="3:25">
      <c r="C45" s="68" t="str">
        <f>'G-1 All Habitats'!B44</f>
        <v>Lakes - Moderate alkalinity lakes</v>
      </c>
      <c r="D45" s="404" t="s">
        <v>1051</v>
      </c>
      <c r="E45" s="404" t="s">
        <v>1051</v>
      </c>
      <c r="F45" s="404">
        <v>5</v>
      </c>
      <c r="G45" s="404">
        <v>7</v>
      </c>
      <c r="H45" s="404">
        <v>10</v>
      </c>
      <c r="I45" s="404">
        <v>15</v>
      </c>
      <c r="J45" s="404">
        <v>20</v>
      </c>
      <c r="K45" s="404" t="s">
        <v>1051</v>
      </c>
      <c r="L45" s="404" t="s">
        <v>1051</v>
      </c>
      <c r="M45" s="404" t="s">
        <v>1051</v>
      </c>
      <c r="N45" s="404" t="s">
        <v>1051</v>
      </c>
      <c r="O45" s="404">
        <v>5</v>
      </c>
      <c r="P45" s="404">
        <v>10</v>
      </c>
      <c r="Q45" s="404">
        <v>15</v>
      </c>
      <c r="R45" s="404">
        <v>30</v>
      </c>
      <c r="S45" s="404">
        <v>5</v>
      </c>
      <c r="T45" s="404">
        <v>15</v>
      </c>
      <c r="U45" s="404">
        <v>25</v>
      </c>
      <c r="V45" s="404">
        <v>10</v>
      </c>
      <c r="W45" s="404">
        <v>20</v>
      </c>
      <c r="X45" s="404">
        <v>10</v>
      </c>
      <c r="Y45" s="404" t="s">
        <v>1051</v>
      </c>
    </row>
    <row r="46" spans="3:25">
      <c r="C46" s="68" t="str">
        <f>'G-1 All Habitats'!B45</f>
        <v>Lakes - Peat lakes</v>
      </c>
      <c r="D46" s="404" t="s">
        <v>1051</v>
      </c>
      <c r="E46" s="404" t="s">
        <v>1051</v>
      </c>
      <c r="F46" s="404">
        <v>5</v>
      </c>
      <c r="G46" s="404">
        <v>10</v>
      </c>
      <c r="H46" s="404">
        <v>15</v>
      </c>
      <c r="I46" s="404">
        <v>20</v>
      </c>
      <c r="J46" s="404">
        <v>30</v>
      </c>
      <c r="K46" s="404" t="s">
        <v>1051</v>
      </c>
      <c r="L46" s="404" t="s">
        <v>1051</v>
      </c>
      <c r="M46" s="404" t="s">
        <v>1051</v>
      </c>
      <c r="N46" s="404" t="s">
        <v>1051</v>
      </c>
      <c r="O46" s="404">
        <v>5</v>
      </c>
      <c r="P46" s="404">
        <v>10</v>
      </c>
      <c r="Q46" s="404">
        <v>15</v>
      </c>
      <c r="R46" s="404">
        <v>30</v>
      </c>
      <c r="S46" s="404">
        <v>5</v>
      </c>
      <c r="T46" s="404">
        <v>15</v>
      </c>
      <c r="U46" s="404">
        <v>25</v>
      </c>
      <c r="V46" s="404">
        <v>10</v>
      </c>
      <c r="W46" s="404">
        <v>20</v>
      </c>
      <c r="X46" s="404">
        <v>10</v>
      </c>
      <c r="Y46" s="404" t="s">
        <v>1051</v>
      </c>
    </row>
    <row r="47" spans="3:25">
      <c r="C47" s="68" t="str">
        <f>'G-1 All Habitats'!B46</f>
        <v>Lakes - Ponds (priority habitat)</v>
      </c>
      <c r="D47" s="404" t="s">
        <v>1051</v>
      </c>
      <c r="E47" s="404" t="s">
        <v>1051</v>
      </c>
      <c r="F47" s="404">
        <v>2</v>
      </c>
      <c r="G47" s="404">
        <v>3</v>
      </c>
      <c r="H47" s="404">
        <v>5</v>
      </c>
      <c r="I47" s="404">
        <v>7</v>
      </c>
      <c r="J47" s="404">
        <v>10</v>
      </c>
      <c r="K47" s="404" t="s">
        <v>1051</v>
      </c>
      <c r="L47" s="404" t="s">
        <v>1051</v>
      </c>
      <c r="M47" s="404" t="s">
        <v>1051</v>
      </c>
      <c r="N47" s="404" t="s">
        <v>1051</v>
      </c>
      <c r="O47" s="404">
        <v>2</v>
      </c>
      <c r="P47" s="404">
        <v>4</v>
      </c>
      <c r="Q47" s="404">
        <v>6</v>
      </c>
      <c r="R47" s="404">
        <v>8</v>
      </c>
      <c r="S47" s="404">
        <v>2</v>
      </c>
      <c r="T47" s="404">
        <v>4</v>
      </c>
      <c r="U47" s="404">
        <v>6</v>
      </c>
      <c r="V47" s="404">
        <v>2</v>
      </c>
      <c r="W47" s="404">
        <v>4</v>
      </c>
      <c r="X47" s="404">
        <v>2</v>
      </c>
      <c r="Y47" s="404" t="s">
        <v>1051</v>
      </c>
    </row>
    <row r="48" spans="3:25">
      <c r="C48" s="68" t="str">
        <f>'G-1 All Habitats'!B47</f>
        <v>Lakes - Ponds (non-priority habitat)</v>
      </c>
      <c r="D48" s="404" t="s">
        <v>1051</v>
      </c>
      <c r="E48" s="404" t="s">
        <v>1051</v>
      </c>
      <c r="F48" s="404">
        <v>1</v>
      </c>
      <c r="G48" s="404">
        <v>2</v>
      </c>
      <c r="H48" s="404">
        <v>3</v>
      </c>
      <c r="I48" s="404">
        <v>4</v>
      </c>
      <c r="J48" s="404">
        <v>5</v>
      </c>
      <c r="K48" s="404" t="s">
        <v>1051</v>
      </c>
      <c r="L48" s="404" t="s">
        <v>1051</v>
      </c>
      <c r="M48" s="404" t="s">
        <v>1051</v>
      </c>
      <c r="N48" s="404" t="s">
        <v>1051</v>
      </c>
      <c r="O48" s="404">
        <v>2</v>
      </c>
      <c r="P48" s="404">
        <v>4</v>
      </c>
      <c r="Q48" s="404">
        <v>6</v>
      </c>
      <c r="R48" s="404">
        <v>8</v>
      </c>
      <c r="S48" s="404">
        <v>2</v>
      </c>
      <c r="T48" s="404">
        <v>4</v>
      </c>
      <c r="U48" s="404">
        <v>6</v>
      </c>
      <c r="V48" s="404">
        <v>2</v>
      </c>
      <c r="W48" s="404">
        <v>4</v>
      </c>
      <c r="X48" s="404">
        <v>2</v>
      </c>
      <c r="Y48" s="404" t="s">
        <v>1051</v>
      </c>
    </row>
    <row r="49" spans="3:25">
      <c r="C49" s="68" t="str">
        <f>'G-1 All Habitats'!B48</f>
        <v>Lakes - Reservoirs</v>
      </c>
      <c r="D49" s="404" t="s">
        <v>1051</v>
      </c>
      <c r="E49" s="404" t="s">
        <v>1051</v>
      </c>
      <c r="F49" s="404">
        <v>1</v>
      </c>
      <c r="G49" s="404">
        <v>3</v>
      </c>
      <c r="H49" s="404">
        <v>5</v>
      </c>
      <c r="I49" s="404">
        <v>7</v>
      </c>
      <c r="J49" s="404">
        <v>10</v>
      </c>
      <c r="K49" s="404" t="s">
        <v>1051</v>
      </c>
      <c r="L49" s="404" t="s">
        <v>1051</v>
      </c>
      <c r="M49" s="404" t="s">
        <v>1051</v>
      </c>
      <c r="N49" s="404" t="s">
        <v>1051</v>
      </c>
      <c r="O49" s="404">
        <v>5</v>
      </c>
      <c r="P49" s="404">
        <v>10</v>
      </c>
      <c r="Q49" s="404">
        <v>15</v>
      </c>
      <c r="R49" s="404">
        <v>30</v>
      </c>
      <c r="S49" s="404">
        <v>5</v>
      </c>
      <c r="T49" s="404">
        <v>15</v>
      </c>
      <c r="U49" s="404">
        <v>25</v>
      </c>
      <c r="V49" s="404">
        <v>10</v>
      </c>
      <c r="W49" s="404">
        <v>20</v>
      </c>
      <c r="X49" s="404">
        <v>10</v>
      </c>
      <c r="Y49" s="404" t="s">
        <v>1051</v>
      </c>
    </row>
    <row r="50" spans="3:25">
      <c r="C50" s="68" t="str">
        <f>'G-1 All Habitats'!B49</f>
        <v>Lakes - Temporary lakes ponds and pools (H3170)</v>
      </c>
      <c r="D50" s="404" t="s">
        <v>1051</v>
      </c>
      <c r="E50" s="404" t="s">
        <v>1051</v>
      </c>
      <c r="F50" s="404">
        <v>2</v>
      </c>
      <c r="G50" s="404">
        <v>3</v>
      </c>
      <c r="H50" s="404">
        <v>5</v>
      </c>
      <c r="I50" s="404">
        <v>7</v>
      </c>
      <c r="J50" s="404">
        <v>10</v>
      </c>
      <c r="K50" s="404" t="s">
        <v>1051</v>
      </c>
      <c r="L50" s="404" t="s">
        <v>1051</v>
      </c>
      <c r="M50" s="404" t="s">
        <v>1051</v>
      </c>
      <c r="N50" s="404" t="s">
        <v>1051</v>
      </c>
      <c r="O50" s="404">
        <v>2</v>
      </c>
      <c r="P50" s="404">
        <v>4</v>
      </c>
      <c r="Q50" s="404">
        <v>6</v>
      </c>
      <c r="R50" s="404">
        <v>8</v>
      </c>
      <c r="S50" s="404">
        <v>2</v>
      </c>
      <c r="T50" s="404">
        <v>4</v>
      </c>
      <c r="U50" s="404">
        <v>6</v>
      </c>
      <c r="V50" s="404">
        <v>2</v>
      </c>
      <c r="W50" s="404">
        <v>4</v>
      </c>
      <c r="X50" s="404">
        <v>2</v>
      </c>
      <c r="Y50" s="404" t="s">
        <v>1051</v>
      </c>
    </row>
    <row r="51" spans="3:25">
      <c r="C51" s="68" t="str">
        <f>'G-1 All Habitats'!B50</f>
        <v>Sparsely vegetated land - Calaminarian grasslands</v>
      </c>
      <c r="D51" s="404" t="s">
        <v>1051</v>
      </c>
      <c r="E51" s="404" t="s">
        <v>1051</v>
      </c>
      <c r="F51" s="404">
        <v>2</v>
      </c>
      <c r="G51" s="404">
        <v>3</v>
      </c>
      <c r="H51" s="404">
        <v>5</v>
      </c>
      <c r="I51" s="404">
        <v>7</v>
      </c>
      <c r="J51" s="404">
        <v>10</v>
      </c>
      <c r="K51" s="404" t="s">
        <v>1051</v>
      </c>
      <c r="L51" s="404" t="s">
        <v>1051</v>
      </c>
      <c r="M51" s="404" t="s">
        <v>1051</v>
      </c>
      <c r="N51" s="404" t="s">
        <v>1051</v>
      </c>
      <c r="O51" s="404">
        <v>1</v>
      </c>
      <c r="P51" s="404">
        <v>3</v>
      </c>
      <c r="Q51" s="404">
        <v>5</v>
      </c>
      <c r="R51" s="404">
        <v>8</v>
      </c>
      <c r="S51" s="404">
        <v>1</v>
      </c>
      <c r="T51" s="404">
        <v>4</v>
      </c>
      <c r="U51" s="404">
        <v>7</v>
      </c>
      <c r="V51" s="404">
        <v>2</v>
      </c>
      <c r="W51" s="404">
        <v>5</v>
      </c>
      <c r="X51" s="404">
        <v>3</v>
      </c>
      <c r="Y51" s="404" t="s">
        <v>1051</v>
      </c>
    </row>
    <row r="52" spans="3:25">
      <c r="C52" s="68" t="str">
        <f>'G-1 All Habitats'!B51</f>
        <v>Sparsely vegetated land - Coastal sand dunes</v>
      </c>
      <c r="D52" s="404" t="s">
        <v>1051</v>
      </c>
      <c r="E52" s="404" t="s">
        <v>1051</v>
      </c>
      <c r="F52" s="404">
        <v>5</v>
      </c>
      <c r="G52" s="404">
        <v>7</v>
      </c>
      <c r="H52" s="404">
        <v>10</v>
      </c>
      <c r="I52" s="404">
        <v>15</v>
      </c>
      <c r="J52" s="404">
        <v>20</v>
      </c>
      <c r="K52" s="404" t="s">
        <v>1051</v>
      </c>
      <c r="L52" s="404" t="s">
        <v>1051</v>
      </c>
      <c r="M52" s="404" t="s">
        <v>1051</v>
      </c>
      <c r="N52" s="404" t="s">
        <v>1051</v>
      </c>
      <c r="O52" s="404">
        <v>5</v>
      </c>
      <c r="P52" s="404">
        <v>8</v>
      </c>
      <c r="Q52" s="404">
        <v>15</v>
      </c>
      <c r="R52" s="404">
        <v>20</v>
      </c>
      <c r="S52" s="404">
        <v>5</v>
      </c>
      <c r="T52" s="404">
        <v>10</v>
      </c>
      <c r="U52" s="404">
        <v>18</v>
      </c>
      <c r="V52" s="404">
        <v>7</v>
      </c>
      <c r="W52" s="404">
        <v>12</v>
      </c>
      <c r="X52" s="404">
        <v>8</v>
      </c>
      <c r="Y52" s="404" t="s">
        <v>1051</v>
      </c>
    </row>
    <row r="53" spans="3:25">
      <c r="C53" s="68" t="str">
        <f>'G-1 All Habitats'!B52</f>
        <v>Sparsely vegetated land - Coastal vegetated shingle</v>
      </c>
      <c r="D53" s="404" t="s">
        <v>1051</v>
      </c>
      <c r="E53" s="404" t="s">
        <v>1051</v>
      </c>
      <c r="F53" s="404">
        <v>5</v>
      </c>
      <c r="G53" s="404">
        <v>7</v>
      </c>
      <c r="H53" s="404">
        <v>10</v>
      </c>
      <c r="I53" s="404">
        <v>15</v>
      </c>
      <c r="J53" s="404">
        <v>20</v>
      </c>
      <c r="K53" s="404" t="s">
        <v>1051</v>
      </c>
      <c r="L53" s="404" t="s">
        <v>1051</v>
      </c>
      <c r="M53" s="404" t="s">
        <v>1051</v>
      </c>
      <c r="N53" s="404" t="s">
        <v>1051</v>
      </c>
      <c r="O53" s="404">
        <v>5</v>
      </c>
      <c r="P53" s="404">
        <v>8</v>
      </c>
      <c r="Q53" s="404">
        <v>15</v>
      </c>
      <c r="R53" s="404">
        <v>20</v>
      </c>
      <c r="S53" s="404">
        <v>5</v>
      </c>
      <c r="T53" s="404">
        <v>10</v>
      </c>
      <c r="U53" s="404">
        <v>18</v>
      </c>
      <c r="V53" s="404">
        <v>7</v>
      </c>
      <c r="W53" s="404">
        <v>12</v>
      </c>
      <c r="X53" s="404">
        <v>8</v>
      </c>
      <c r="Y53" s="404" t="s">
        <v>1051</v>
      </c>
    </row>
    <row r="54" spans="3:25">
      <c r="C54" s="68" t="str">
        <f>'G-1 All Habitats'!B53</f>
        <v>Sparsely vegetated land - Ruderal/Ephemeral</v>
      </c>
      <c r="D54" s="404" t="s">
        <v>1051</v>
      </c>
      <c r="E54" s="404" t="s">
        <v>1051</v>
      </c>
      <c r="F54" s="404" t="s">
        <v>1051</v>
      </c>
      <c r="G54" s="404" t="s">
        <v>1051</v>
      </c>
      <c r="H54" s="404" t="s">
        <v>1051</v>
      </c>
      <c r="I54" s="404" t="s">
        <v>1051</v>
      </c>
      <c r="J54" s="404" t="s">
        <v>1051</v>
      </c>
      <c r="K54" s="404" t="s">
        <v>1051</v>
      </c>
      <c r="L54" s="404" t="s">
        <v>1051</v>
      </c>
      <c r="M54" s="404" t="s">
        <v>1051</v>
      </c>
      <c r="N54" s="404" t="s">
        <v>1051</v>
      </c>
      <c r="O54" s="404">
        <v>1</v>
      </c>
      <c r="P54" s="404">
        <v>2</v>
      </c>
      <c r="Q54" s="404">
        <v>3</v>
      </c>
      <c r="R54" s="404">
        <v>5</v>
      </c>
      <c r="S54" s="404">
        <v>1</v>
      </c>
      <c r="T54" s="404">
        <v>2</v>
      </c>
      <c r="U54" s="404">
        <v>3</v>
      </c>
      <c r="V54" s="404">
        <v>1</v>
      </c>
      <c r="W54" s="404">
        <v>2</v>
      </c>
      <c r="X54" s="404">
        <v>1</v>
      </c>
      <c r="Y54" s="404" t="s">
        <v>1051</v>
      </c>
    </row>
    <row r="55" spans="3:25">
      <c r="C55" s="68" t="s">
        <v>667</v>
      </c>
      <c r="D55" s="404" t="s">
        <v>1051</v>
      </c>
      <c r="E55" s="404" t="s">
        <v>1051</v>
      </c>
      <c r="F55" s="404" t="s">
        <v>1051</v>
      </c>
      <c r="G55" s="404" t="s">
        <v>1051</v>
      </c>
      <c r="H55" s="404" t="s">
        <v>1051</v>
      </c>
      <c r="I55" s="404" t="s">
        <v>1051</v>
      </c>
      <c r="J55" s="404" t="s">
        <v>1051</v>
      </c>
      <c r="K55" s="404" t="s">
        <v>1051</v>
      </c>
      <c r="L55" s="404" t="s">
        <v>1051</v>
      </c>
      <c r="M55" s="404" t="s">
        <v>1051</v>
      </c>
      <c r="N55" s="404" t="s">
        <v>1051</v>
      </c>
      <c r="O55" s="404">
        <v>1</v>
      </c>
      <c r="P55" s="404">
        <v>2</v>
      </c>
      <c r="Q55" s="404">
        <v>3</v>
      </c>
      <c r="R55" s="404">
        <v>5</v>
      </c>
      <c r="S55" s="404">
        <v>1</v>
      </c>
      <c r="T55" s="404">
        <v>2</v>
      </c>
      <c r="U55" s="404">
        <v>3</v>
      </c>
      <c r="V55" s="404">
        <v>1</v>
      </c>
      <c r="W55" s="404">
        <v>2</v>
      </c>
      <c r="X55" s="404">
        <v>1</v>
      </c>
      <c r="Y55" s="404" t="s">
        <v>1051</v>
      </c>
    </row>
    <row r="56" spans="3:25">
      <c r="C56" s="68" t="str">
        <f>'G-1 All Habitats'!B55</f>
        <v>Sparsely vegetated land - Inland rock outcrop and scree habitats</v>
      </c>
      <c r="D56" s="404" t="s">
        <v>1051</v>
      </c>
      <c r="E56" s="404" t="s">
        <v>1051</v>
      </c>
      <c r="F56" s="404">
        <v>10</v>
      </c>
      <c r="G56" s="404">
        <v>15</v>
      </c>
      <c r="H56" s="404">
        <v>20</v>
      </c>
      <c r="I56" s="404">
        <v>25</v>
      </c>
      <c r="J56" s="404" t="s">
        <v>1052</v>
      </c>
      <c r="K56" s="404" t="s">
        <v>1051</v>
      </c>
      <c r="L56" s="404" t="s">
        <v>1051</v>
      </c>
      <c r="M56" s="404" t="s">
        <v>1051</v>
      </c>
      <c r="N56" s="404" t="s">
        <v>1051</v>
      </c>
      <c r="O56" s="404">
        <v>10</v>
      </c>
      <c r="P56" s="404">
        <v>15</v>
      </c>
      <c r="Q56" s="404">
        <v>25</v>
      </c>
      <c r="R56" s="404" t="s">
        <v>1052</v>
      </c>
      <c r="S56" s="404">
        <v>20</v>
      </c>
      <c r="T56" s="404">
        <v>25</v>
      </c>
      <c r="U56" s="404">
        <v>27</v>
      </c>
      <c r="V56" s="404">
        <v>15</v>
      </c>
      <c r="W56" s="404">
        <v>20</v>
      </c>
      <c r="X56" s="404">
        <v>15</v>
      </c>
      <c r="Y56" s="404" t="s">
        <v>1051</v>
      </c>
    </row>
    <row r="57" spans="3:25">
      <c r="C57" s="68" t="str">
        <f>'G-1 All Habitats'!B56</f>
        <v>Sparsely vegetated land - Limestone pavement</v>
      </c>
      <c r="D57" s="404" t="s">
        <v>1051</v>
      </c>
      <c r="E57" s="404" t="s">
        <v>1051</v>
      </c>
      <c r="F57" s="404" t="s">
        <v>1052</v>
      </c>
      <c r="G57" s="404" t="s">
        <v>1052</v>
      </c>
      <c r="H57" s="404" t="s">
        <v>1052</v>
      </c>
      <c r="I57" s="404" t="s">
        <v>1052</v>
      </c>
      <c r="J57" s="404" t="s">
        <v>1052</v>
      </c>
      <c r="K57" s="404" t="s">
        <v>1051</v>
      </c>
      <c r="L57" s="404" t="s">
        <v>1051</v>
      </c>
      <c r="M57" s="404" t="s">
        <v>1051</v>
      </c>
      <c r="N57" s="404" t="s">
        <v>1051</v>
      </c>
      <c r="O57" s="404">
        <v>5</v>
      </c>
      <c r="P57" s="404">
        <v>10</v>
      </c>
      <c r="Q57" s="404">
        <v>15</v>
      </c>
      <c r="R57" s="404">
        <v>20</v>
      </c>
      <c r="S57" s="404">
        <v>5</v>
      </c>
      <c r="T57" s="404">
        <v>10</v>
      </c>
      <c r="U57" s="404">
        <v>15</v>
      </c>
      <c r="V57" s="404">
        <v>5</v>
      </c>
      <c r="W57" s="404">
        <v>10</v>
      </c>
      <c r="X57" s="404">
        <v>5</v>
      </c>
      <c r="Y57" s="404" t="s">
        <v>1051</v>
      </c>
    </row>
    <row r="58" spans="3:25">
      <c r="C58" s="68" t="str">
        <f>'G-1 All Habitats'!B57</f>
        <v>Sparsely vegetated land - Maritime cliff and slopes</v>
      </c>
      <c r="D58" s="404" t="s">
        <v>1051</v>
      </c>
      <c r="E58" s="404" t="s">
        <v>1051</v>
      </c>
      <c r="F58" s="404">
        <v>10</v>
      </c>
      <c r="G58" s="404">
        <v>15</v>
      </c>
      <c r="H58" s="404">
        <v>20</v>
      </c>
      <c r="I58" s="404">
        <v>25</v>
      </c>
      <c r="J58" s="404" t="s">
        <v>1052</v>
      </c>
      <c r="K58" s="404" t="s">
        <v>1051</v>
      </c>
      <c r="L58" s="404" t="s">
        <v>1051</v>
      </c>
      <c r="M58" s="404" t="s">
        <v>1051</v>
      </c>
      <c r="N58" s="404" t="s">
        <v>1051</v>
      </c>
      <c r="O58" s="404">
        <v>5</v>
      </c>
      <c r="P58" s="404">
        <v>8</v>
      </c>
      <c r="Q58" s="404">
        <v>15</v>
      </c>
      <c r="R58" s="404">
        <v>20</v>
      </c>
      <c r="S58" s="404">
        <v>5</v>
      </c>
      <c r="T58" s="404">
        <v>10</v>
      </c>
      <c r="U58" s="404">
        <v>18</v>
      </c>
      <c r="V58" s="404">
        <v>7</v>
      </c>
      <c r="W58" s="404">
        <v>12</v>
      </c>
      <c r="X58" s="404">
        <v>8</v>
      </c>
      <c r="Y58" s="404" t="s">
        <v>1051</v>
      </c>
    </row>
    <row r="59" spans="3:25">
      <c r="C59" s="68" t="str">
        <f>'G-1 All Habitats'!B58</f>
        <v>Sparsely vegetated land - Other inland rock and scree</v>
      </c>
      <c r="D59" s="404" t="s">
        <v>1051</v>
      </c>
      <c r="E59" s="404" t="s">
        <v>1051</v>
      </c>
      <c r="F59" s="404">
        <v>3</v>
      </c>
      <c r="G59" s="404">
        <v>5</v>
      </c>
      <c r="H59" s="404">
        <v>10</v>
      </c>
      <c r="I59" s="404">
        <v>15</v>
      </c>
      <c r="J59" s="404">
        <v>20</v>
      </c>
      <c r="K59" s="404" t="s">
        <v>1051</v>
      </c>
      <c r="L59" s="404" t="s">
        <v>1051</v>
      </c>
      <c r="M59" s="404" t="s">
        <v>1051</v>
      </c>
      <c r="N59" s="404" t="s">
        <v>1051</v>
      </c>
      <c r="O59" s="404">
        <v>5</v>
      </c>
      <c r="P59" s="404">
        <v>10</v>
      </c>
      <c r="Q59" s="404">
        <v>15</v>
      </c>
      <c r="R59" s="404">
        <v>20</v>
      </c>
      <c r="S59" s="404">
        <v>5</v>
      </c>
      <c r="T59" s="404">
        <v>10</v>
      </c>
      <c r="U59" s="404">
        <v>15</v>
      </c>
      <c r="V59" s="404">
        <v>5</v>
      </c>
      <c r="W59" s="404">
        <v>10</v>
      </c>
      <c r="X59" s="404">
        <v>5</v>
      </c>
      <c r="Y59" s="404" t="s">
        <v>1051</v>
      </c>
    </row>
    <row r="60" spans="3:25">
      <c r="C60" s="68" t="str">
        <f>'G-1 All Habitats'!B59</f>
        <v>Urban - Allotments</v>
      </c>
      <c r="D60" s="404" t="s">
        <v>1051</v>
      </c>
      <c r="E60" s="404" t="s">
        <v>1051</v>
      </c>
      <c r="F60" s="404">
        <v>1</v>
      </c>
      <c r="G60" s="404">
        <v>1</v>
      </c>
      <c r="H60" s="404">
        <v>1</v>
      </c>
      <c r="I60" s="404">
        <v>1</v>
      </c>
      <c r="J60" s="404">
        <v>1</v>
      </c>
      <c r="K60" s="404" t="s">
        <v>1051</v>
      </c>
      <c r="L60" s="404" t="s">
        <v>1051</v>
      </c>
      <c r="M60" s="404" t="s">
        <v>1051</v>
      </c>
      <c r="N60" s="404" t="s">
        <v>1051</v>
      </c>
      <c r="O60" s="404">
        <v>1</v>
      </c>
      <c r="P60" s="404">
        <v>1</v>
      </c>
      <c r="Q60" s="404">
        <v>1</v>
      </c>
      <c r="R60" s="404">
        <v>1</v>
      </c>
      <c r="S60" s="404">
        <v>1</v>
      </c>
      <c r="T60" s="404">
        <v>1</v>
      </c>
      <c r="U60" s="404">
        <v>1</v>
      </c>
      <c r="V60" s="404">
        <v>1</v>
      </c>
      <c r="W60" s="404">
        <v>1</v>
      </c>
      <c r="X60" s="404">
        <v>1</v>
      </c>
      <c r="Y60" s="404" t="s">
        <v>1051</v>
      </c>
    </row>
    <row r="61" spans="3:25">
      <c r="C61" s="68" t="str">
        <f>'G-1 All Habitats'!B40</f>
        <v>Lakes - Ornamental lake or pond</v>
      </c>
      <c r="D61" s="404" t="s">
        <v>1051</v>
      </c>
      <c r="E61" s="404" t="s">
        <v>1051</v>
      </c>
      <c r="F61" s="404">
        <v>1</v>
      </c>
      <c r="G61" s="404">
        <v>2</v>
      </c>
      <c r="H61" s="404">
        <v>3</v>
      </c>
      <c r="I61" s="404">
        <v>4</v>
      </c>
      <c r="J61" s="404">
        <v>5</v>
      </c>
      <c r="K61" s="404" t="s">
        <v>1051</v>
      </c>
      <c r="L61" s="404" t="s">
        <v>1051</v>
      </c>
      <c r="M61" s="404" t="s">
        <v>1051</v>
      </c>
      <c r="N61" s="404" t="s">
        <v>1051</v>
      </c>
      <c r="O61" s="404">
        <v>2</v>
      </c>
      <c r="P61" s="404">
        <v>4</v>
      </c>
      <c r="Q61" s="404">
        <v>6</v>
      </c>
      <c r="R61" s="404">
        <v>8</v>
      </c>
      <c r="S61" s="404">
        <v>2</v>
      </c>
      <c r="T61" s="404">
        <v>4</v>
      </c>
      <c r="U61" s="404">
        <v>6</v>
      </c>
      <c r="V61" s="404">
        <v>2</v>
      </c>
      <c r="W61" s="404">
        <v>4</v>
      </c>
      <c r="X61" s="404">
        <v>2</v>
      </c>
      <c r="Y61" s="404" t="s">
        <v>1051</v>
      </c>
    </row>
    <row r="62" spans="3:25">
      <c r="C62" s="68" t="str">
        <f>'G-1 All Habitats'!B60</f>
        <v>Urban - Artificial unvegetated, unsealed surface</v>
      </c>
      <c r="D62" s="404" t="s">
        <v>1051</v>
      </c>
      <c r="E62" s="404" t="s">
        <v>1051</v>
      </c>
      <c r="F62" s="404" t="s">
        <v>1051</v>
      </c>
      <c r="G62" s="404" t="s">
        <v>1051</v>
      </c>
      <c r="H62" s="404" t="s">
        <v>1051</v>
      </c>
      <c r="I62" s="404" t="s">
        <v>1051</v>
      </c>
      <c r="J62" s="404" t="s">
        <v>1051</v>
      </c>
      <c r="K62" s="404" t="s">
        <v>1051</v>
      </c>
      <c r="L62" s="404" t="s">
        <v>1051</v>
      </c>
      <c r="M62" s="404" t="s">
        <v>1051</v>
      </c>
      <c r="N62" s="404" t="s">
        <v>1051</v>
      </c>
      <c r="O62" s="404" t="s">
        <v>1051</v>
      </c>
      <c r="P62" s="404" t="s">
        <v>1051</v>
      </c>
      <c r="Q62" s="404" t="s">
        <v>1051</v>
      </c>
      <c r="R62" s="404" t="s">
        <v>1051</v>
      </c>
      <c r="S62" s="404" t="s">
        <v>1051</v>
      </c>
      <c r="T62" s="404" t="s">
        <v>1051</v>
      </c>
      <c r="U62" s="404" t="s">
        <v>1051</v>
      </c>
      <c r="V62" s="404" t="s">
        <v>1051</v>
      </c>
      <c r="W62" s="404" t="s">
        <v>1051</v>
      </c>
      <c r="X62" s="404" t="s">
        <v>1051</v>
      </c>
      <c r="Y62" s="404" t="s">
        <v>1051</v>
      </c>
    </row>
    <row r="63" spans="3:25">
      <c r="C63" s="68" t="str">
        <f>'G-1 All Habitats'!B61</f>
        <v>Urban - Bioswale</v>
      </c>
      <c r="D63" s="404" t="s">
        <v>1051</v>
      </c>
      <c r="E63" s="404" t="s">
        <v>1051</v>
      </c>
      <c r="F63" s="404">
        <v>1</v>
      </c>
      <c r="G63" s="404">
        <v>1</v>
      </c>
      <c r="H63" s="404">
        <v>1</v>
      </c>
      <c r="I63" s="404">
        <v>2</v>
      </c>
      <c r="J63" s="404">
        <v>3</v>
      </c>
      <c r="K63" s="404" t="s">
        <v>1051</v>
      </c>
      <c r="L63" s="404" t="s">
        <v>1051</v>
      </c>
      <c r="M63" s="404" t="s">
        <v>1051</v>
      </c>
      <c r="N63" s="404" t="s">
        <v>1051</v>
      </c>
      <c r="O63" s="404">
        <v>1</v>
      </c>
      <c r="P63" s="404">
        <v>2</v>
      </c>
      <c r="Q63" s="404">
        <v>2</v>
      </c>
      <c r="R63" s="404">
        <v>3</v>
      </c>
      <c r="S63" s="404">
        <v>1</v>
      </c>
      <c r="T63" s="404">
        <v>3</v>
      </c>
      <c r="U63" s="404">
        <v>3</v>
      </c>
      <c r="V63" s="404">
        <v>2</v>
      </c>
      <c r="W63" s="404">
        <v>2</v>
      </c>
      <c r="X63" s="404">
        <v>2</v>
      </c>
      <c r="Y63" s="404" t="s">
        <v>1051</v>
      </c>
    </row>
    <row r="64" spans="3:25">
      <c r="C64" s="68" t="str">
        <f>'G-1 All Habitats'!B62</f>
        <v>Urban - Intensive green roof</v>
      </c>
      <c r="D64" s="404" t="s">
        <v>1051</v>
      </c>
      <c r="E64" s="404" t="s">
        <v>1051</v>
      </c>
      <c r="F64" s="404">
        <v>1</v>
      </c>
      <c r="G64" s="404">
        <v>2</v>
      </c>
      <c r="H64" s="404">
        <v>3</v>
      </c>
      <c r="I64" s="404">
        <v>4</v>
      </c>
      <c r="J64" s="404">
        <v>5</v>
      </c>
      <c r="K64" s="404" t="s">
        <v>1051</v>
      </c>
      <c r="L64" s="404" t="s">
        <v>1051</v>
      </c>
      <c r="M64" s="404" t="s">
        <v>1051</v>
      </c>
      <c r="N64" s="404" t="s">
        <v>1051</v>
      </c>
      <c r="O64" s="404">
        <v>1</v>
      </c>
      <c r="P64" s="404">
        <v>2</v>
      </c>
      <c r="Q64" s="404">
        <v>3</v>
      </c>
      <c r="R64" s="404">
        <v>5</v>
      </c>
      <c r="S64" s="404">
        <v>1</v>
      </c>
      <c r="T64" s="404">
        <v>2</v>
      </c>
      <c r="U64" s="404">
        <v>3</v>
      </c>
      <c r="V64" s="404">
        <v>1</v>
      </c>
      <c r="W64" s="404">
        <v>2</v>
      </c>
      <c r="X64" s="404">
        <v>1</v>
      </c>
      <c r="Y64" s="404" t="s">
        <v>1051</v>
      </c>
    </row>
    <row r="65" spans="3:25">
      <c r="C65" s="68" t="str">
        <f>'G-1 All Habitats'!B63</f>
        <v>Urban - Built linear features</v>
      </c>
      <c r="D65" s="404" t="s">
        <v>1051</v>
      </c>
      <c r="E65" s="404" t="s">
        <v>1051</v>
      </c>
      <c r="F65" s="404" t="s">
        <v>1051</v>
      </c>
      <c r="G65" s="404" t="s">
        <v>1051</v>
      </c>
      <c r="H65" s="404" t="s">
        <v>1051</v>
      </c>
      <c r="I65" s="404" t="s">
        <v>1051</v>
      </c>
      <c r="J65" s="404" t="s">
        <v>1051</v>
      </c>
      <c r="K65" s="404" t="s">
        <v>1051</v>
      </c>
      <c r="L65" s="404" t="s">
        <v>1051</v>
      </c>
      <c r="M65" s="404" t="s">
        <v>1051</v>
      </c>
      <c r="N65" s="404" t="s">
        <v>1051</v>
      </c>
      <c r="O65" s="404" t="s">
        <v>1051</v>
      </c>
      <c r="P65" s="404" t="s">
        <v>1051</v>
      </c>
      <c r="Q65" s="404" t="s">
        <v>1051</v>
      </c>
      <c r="R65" s="404" t="s">
        <v>1051</v>
      </c>
      <c r="S65" s="404" t="s">
        <v>1051</v>
      </c>
      <c r="T65" s="404" t="s">
        <v>1051</v>
      </c>
      <c r="U65" s="404" t="s">
        <v>1051</v>
      </c>
      <c r="V65" s="404" t="s">
        <v>1051</v>
      </c>
      <c r="W65" s="404" t="s">
        <v>1051</v>
      </c>
      <c r="X65" s="404" t="s">
        <v>1051</v>
      </c>
      <c r="Y65" s="404" t="s">
        <v>1051</v>
      </c>
    </row>
    <row r="66" spans="3:25">
      <c r="C66" s="68" t="str">
        <f>'G-1 All Habitats'!B64</f>
        <v>Urban - Cemeteries and churchyards</v>
      </c>
      <c r="D66" s="404" t="s">
        <v>1051</v>
      </c>
      <c r="E66" s="404" t="s">
        <v>1051</v>
      </c>
      <c r="F66" s="404">
        <v>10</v>
      </c>
      <c r="G66" s="404">
        <v>12</v>
      </c>
      <c r="H66" s="404">
        <v>15</v>
      </c>
      <c r="I66" s="404">
        <v>17</v>
      </c>
      <c r="J66" s="404">
        <v>20</v>
      </c>
      <c r="K66" s="404" t="s">
        <v>1051</v>
      </c>
      <c r="L66" s="404" t="s">
        <v>1051</v>
      </c>
      <c r="M66" s="404" t="s">
        <v>1051</v>
      </c>
      <c r="N66" s="404" t="s">
        <v>1051</v>
      </c>
      <c r="O66" s="404">
        <v>5</v>
      </c>
      <c r="P66" s="404">
        <v>10</v>
      </c>
      <c r="Q66" s="404">
        <v>15</v>
      </c>
      <c r="R66" s="404">
        <v>20</v>
      </c>
      <c r="S66" s="404">
        <v>10</v>
      </c>
      <c r="T66" s="404">
        <v>15</v>
      </c>
      <c r="U66" s="404">
        <v>20</v>
      </c>
      <c r="V66" s="404">
        <v>10</v>
      </c>
      <c r="W66" s="404">
        <v>15</v>
      </c>
      <c r="X66" s="404">
        <v>5</v>
      </c>
      <c r="Y66" s="404" t="s">
        <v>1051</v>
      </c>
    </row>
    <row r="67" spans="3:25">
      <c r="C67" s="68" t="str">
        <f>'G-1 All Habitats'!B65</f>
        <v>Urban - Developed land; sealed surface</v>
      </c>
      <c r="D67" s="404" t="s">
        <v>1051</v>
      </c>
      <c r="E67" s="404" t="s">
        <v>1051</v>
      </c>
      <c r="F67" s="404" t="s">
        <v>1051</v>
      </c>
      <c r="G67" s="404" t="s">
        <v>1051</v>
      </c>
      <c r="H67" s="404" t="s">
        <v>1051</v>
      </c>
      <c r="I67" s="404" t="s">
        <v>1051</v>
      </c>
      <c r="J67" s="404" t="s">
        <v>1051</v>
      </c>
      <c r="K67" s="404" t="s">
        <v>1051</v>
      </c>
      <c r="L67" s="404" t="s">
        <v>1051</v>
      </c>
      <c r="M67" s="404" t="s">
        <v>1051</v>
      </c>
      <c r="N67" s="404" t="s">
        <v>1051</v>
      </c>
      <c r="O67" s="404" t="s">
        <v>1051</v>
      </c>
      <c r="P67" s="404" t="s">
        <v>1051</v>
      </c>
      <c r="Q67" s="404" t="s">
        <v>1051</v>
      </c>
      <c r="R67" s="404" t="s">
        <v>1051</v>
      </c>
      <c r="S67" s="404" t="s">
        <v>1051</v>
      </c>
      <c r="T67" s="404" t="s">
        <v>1051</v>
      </c>
      <c r="U67" s="404" t="s">
        <v>1051</v>
      </c>
      <c r="V67" s="404" t="s">
        <v>1051</v>
      </c>
      <c r="W67" s="404" t="s">
        <v>1051</v>
      </c>
      <c r="X67" s="404" t="s">
        <v>1051</v>
      </c>
      <c r="Y67" s="404" t="s">
        <v>1051</v>
      </c>
    </row>
    <row r="68" spans="3:25">
      <c r="C68" s="68" t="str">
        <f>'G-1 All Habitats'!B66</f>
        <v>Urban - Other green roof</v>
      </c>
      <c r="D68" s="404" t="s">
        <v>1051</v>
      </c>
      <c r="E68" s="404" t="s">
        <v>1051</v>
      </c>
      <c r="F68" s="404" t="s">
        <v>1051</v>
      </c>
      <c r="G68" s="404" t="s">
        <v>1051</v>
      </c>
      <c r="H68" s="404" t="s">
        <v>1051</v>
      </c>
      <c r="I68" s="404" t="s">
        <v>1051</v>
      </c>
      <c r="J68" s="404" t="s">
        <v>1051</v>
      </c>
      <c r="K68" s="404" t="s">
        <v>1051</v>
      </c>
      <c r="L68" s="404" t="s">
        <v>1051</v>
      </c>
      <c r="M68" s="404" t="s">
        <v>1051</v>
      </c>
      <c r="N68" s="404" t="s">
        <v>1051</v>
      </c>
      <c r="O68" s="404" t="s">
        <v>1051</v>
      </c>
      <c r="P68" s="404" t="s">
        <v>1051</v>
      </c>
      <c r="Q68" s="404" t="s">
        <v>1051</v>
      </c>
      <c r="R68" s="404" t="s">
        <v>1051</v>
      </c>
      <c r="S68" s="404" t="s">
        <v>1051</v>
      </c>
      <c r="T68" s="404" t="s">
        <v>1051</v>
      </c>
      <c r="U68" s="404" t="s">
        <v>1051</v>
      </c>
      <c r="V68" s="404" t="s">
        <v>1051</v>
      </c>
      <c r="W68" s="404" t="s">
        <v>1051</v>
      </c>
      <c r="X68" s="404" t="s">
        <v>1051</v>
      </c>
      <c r="Y68" s="404" t="s">
        <v>1051</v>
      </c>
    </row>
    <row r="69" spans="3:25">
      <c r="C69" s="68" t="str">
        <f>'G-1 All Habitats'!B67</f>
        <v>Urban - Facade-bound green wall</v>
      </c>
      <c r="D69" s="404" t="s">
        <v>1051</v>
      </c>
      <c r="E69" s="404" t="s">
        <v>1051</v>
      </c>
      <c r="F69" s="404">
        <v>1</v>
      </c>
      <c r="G69" s="404">
        <v>2</v>
      </c>
      <c r="H69" s="404">
        <v>3</v>
      </c>
      <c r="I69" s="404">
        <v>4</v>
      </c>
      <c r="J69" s="404">
        <v>5</v>
      </c>
      <c r="K69" s="404" t="s">
        <v>1051</v>
      </c>
      <c r="L69" s="404" t="s">
        <v>1051</v>
      </c>
      <c r="M69" s="404" t="s">
        <v>1051</v>
      </c>
      <c r="N69" s="404" t="s">
        <v>1051</v>
      </c>
      <c r="O69" s="404">
        <v>1</v>
      </c>
      <c r="P69" s="404">
        <v>2</v>
      </c>
      <c r="Q69" s="404">
        <v>3</v>
      </c>
      <c r="R69" s="404">
        <v>5</v>
      </c>
      <c r="S69" s="404">
        <v>1</v>
      </c>
      <c r="T69" s="404">
        <v>2</v>
      </c>
      <c r="U69" s="404">
        <v>3</v>
      </c>
      <c r="V69" s="404">
        <v>1</v>
      </c>
      <c r="W69" s="404">
        <v>2</v>
      </c>
      <c r="X69" s="404">
        <v>1</v>
      </c>
      <c r="Y69" s="404" t="s">
        <v>1051</v>
      </c>
    </row>
    <row r="70" spans="3:25">
      <c r="C70" s="68" t="str">
        <f>'G-1 All Habitats'!B68</f>
        <v>Urban - Ground based green wall</v>
      </c>
      <c r="D70" s="404" t="s">
        <v>1051</v>
      </c>
      <c r="E70" s="404" t="s">
        <v>1051</v>
      </c>
      <c r="F70" s="404">
        <v>1</v>
      </c>
      <c r="G70" s="404">
        <v>2</v>
      </c>
      <c r="H70" s="404">
        <v>3</v>
      </c>
      <c r="I70" s="404">
        <v>4</v>
      </c>
      <c r="J70" s="404">
        <v>5</v>
      </c>
      <c r="K70" s="404" t="s">
        <v>1051</v>
      </c>
      <c r="L70" s="404" t="s">
        <v>1051</v>
      </c>
      <c r="M70" s="404" t="s">
        <v>1051</v>
      </c>
      <c r="N70" s="404" t="s">
        <v>1051</v>
      </c>
      <c r="O70" s="404">
        <v>1</v>
      </c>
      <c r="P70" s="404">
        <v>2</v>
      </c>
      <c r="Q70" s="404">
        <v>3</v>
      </c>
      <c r="R70" s="404">
        <v>5</v>
      </c>
      <c r="S70" s="404">
        <v>1</v>
      </c>
      <c r="T70" s="404">
        <v>2</v>
      </c>
      <c r="U70" s="404">
        <v>3</v>
      </c>
      <c r="V70" s="404">
        <v>1</v>
      </c>
      <c r="W70" s="404">
        <v>2</v>
      </c>
      <c r="X70" s="404">
        <v>1</v>
      </c>
      <c r="Y70" s="404" t="s">
        <v>1051</v>
      </c>
    </row>
    <row r="71" spans="3:25">
      <c r="C71" s="68" t="str">
        <f>'G-1 All Habitats'!B69</f>
        <v>Urban - Ground level planters</v>
      </c>
      <c r="D71" s="404" t="s">
        <v>1051</v>
      </c>
      <c r="E71" s="404" t="s">
        <v>1051</v>
      </c>
      <c r="F71" s="404" t="s">
        <v>1051</v>
      </c>
      <c r="G71" s="404" t="s">
        <v>1051</v>
      </c>
      <c r="H71" s="404" t="s">
        <v>1051</v>
      </c>
      <c r="I71" s="404" t="s">
        <v>1051</v>
      </c>
      <c r="J71" s="404" t="s">
        <v>1051</v>
      </c>
      <c r="K71" s="404" t="s">
        <v>1051</v>
      </c>
      <c r="L71" s="404" t="s">
        <v>1051</v>
      </c>
      <c r="M71" s="404" t="s">
        <v>1051</v>
      </c>
      <c r="N71" s="404" t="s">
        <v>1051</v>
      </c>
      <c r="O71" s="404" t="s">
        <v>1051</v>
      </c>
      <c r="P71" s="404" t="s">
        <v>1051</v>
      </c>
      <c r="Q71" s="404" t="s">
        <v>1051</v>
      </c>
      <c r="R71" s="404" t="s">
        <v>1051</v>
      </c>
      <c r="S71" s="404" t="s">
        <v>1051</v>
      </c>
      <c r="T71" s="404" t="s">
        <v>1051</v>
      </c>
      <c r="U71" s="404" t="s">
        <v>1051</v>
      </c>
      <c r="V71" s="404" t="s">
        <v>1051</v>
      </c>
      <c r="W71" s="404" t="s">
        <v>1051</v>
      </c>
      <c r="X71" s="404" t="s">
        <v>1051</v>
      </c>
      <c r="Y71" s="404" t="s">
        <v>1051</v>
      </c>
    </row>
    <row r="72" spans="3:25">
      <c r="C72" s="68" t="str">
        <f>'G-1 All Habitats'!B70</f>
        <v>Urban - Biodiverse green roof</v>
      </c>
      <c r="D72" s="404" t="s">
        <v>1051</v>
      </c>
      <c r="E72" s="404" t="s">
        <v>1051</v>
      </c>
      <c r="F72" s="404">
        <v>1</v>
      </c>
      <c r="G72" s="404">
        <v>3</v>
      </c>
      <c r="H72" s="404">
        <v>5</v>
      </c>
      <c r="I72" s="404">
        <v>8</v>
      </c>
      <c r="J72" s="404">
        <v>10</v>
      </c>
      <c r="K72" s="404" t="s">
        <v>1051</v>
      </c>
      <c r="L72" s="404" t="s">
        <v>1051</v>
      </c>
      <c r="M72" s="404" t="s">
        <v>1051</v>
      </c>
      <c r="N72" s="404" t="s">
        <v>1051</v>
      </c>
      <c r="O72" s="404">
        <v>3</v>
      </c>
      <c r="P72" s="404">
        <v>5</v>
      </c>
      <c r="Q72" s="404">
        <v>8</v>
      </c>
      <c r="R72" s="404">
        <v>10</v>
      </c>
      <c r="S72" s="404">
        <v>3</v>
      </c>
      <c r="T72" s="404">
        <v>8</v>
      </c>
      <c r="U72" s="404">
        <v>8</v>
      </c>
      <c r="V72" s="404">
        <v>3</v>
      </c>
      <c r="W72" s="404">
        <v>5</v>
      </c>
      <c r="X72" s="404">
        <v>2</v>
      </c>
      <c r="Y72" s="404" t="s">
        <v>1051</v>
      </c>
    </row>
    <row r="73" spans="3:25">
      <c r="C73" s="68" t="str">
        <f>'G-1 All Habitats'!B71</f>
        <v>Urban - Introduced shrub</v>
      </c>
      <c r="D73" s="404" t="s">
        <v>1051</v>
      </c>
      <c r="E73" s="404" t="s">
        <v>1051</v>
      </c>
      <c r="F73" s="404" t="s">
        <v>1051</v>
      </c>
      <c r="G73" s="404" t="s">
        <v>1051</v>
      </c>
      <c r="H73" s="404" t="s">
        <v>1051</v>
      </c>
      <c r="I73" s="404" t="s">
        <v>1051</v>
      </c>
      <c r="J73" s="404" t="s">
        <v>1051</v>
      </c>
      <c r="K73" s="404" t="s">
        <v>1051</v>
      </c>
      <c r="L73" s="404" t="s">
        <v>1051</v>
      </c>
      <c r="M73" s="404" t="s">
        <v>1051</v>
      </c>
      <c r="N73" s="404" t="s">
        <v>1051</v>
      </c>
      <c r="O73" s="404" t="s">
        <v>1051</v>
      </c>
      <c r="P73" s="404" t="s">
        <v>1051</v>
      </c>
      <c r="Q73" s="404" t="s">
        <v>1051</v>
      </c>
      <c r="R73" s="404" t="s">
        <v>1051</v>
      </c>
      <c r="S73" s="404" t="s">
        <v>1051</v>
      </c>
      <c r="T73" s="404" t="s">
        <v>1051</v>
      </c>
      <c r="U73" s="404" t="s">
        <v>1051</v>
      </c>
      <c r="V73" s="404" t="s">
        <v>1051</v>
      </c>
      <c r="W73" s="404" t="s">
        <v>1051</v>
      </c>
      <c r="X73" s="404" t="s">
        <v>1051</v>
      </c>
      <c r="Y73" s="404" t="s">
        <v>1051</v>
      </c>
    </row>
    <row r="74" spans="3:25">
      <c r="C74" s="68" t="str">
        <f>'G-1 All Habitats'!B72</f>
        <v>Urban - Open mosaic habitats on previously developed land</v>
      </c>
      <c r="D74" s="404" t="s">
        <v>1051</v>
      </c>
      <c r="E74" s="404" t="s">
        <v>1051</v>
      </c>
      <c r="F74" s="404">
        <v>0</v>
      </c>
      <c r="G74" s="404">
        <v>2</v>
      </c>
      <c r="H74" s="404">
        <v>4</v>
      </c>
      <c r="I74" s="404">
        <v>7</v>
      </c>
      <c r="J74" s="404">
        <v>10</v>
      </c>
      <c r="K74" s="404" t="s">
        <v>1051</v>
      </c>
      <c r="L74" s="404" t="s">
        <v>1051</v>
      </c>
      <c r="M74" s="404" t="s">
        <v>1051</v>
      </c>
      <c r="N74" s="404" t="s">
        <v>1051</v>
      </c>
      <c r="O74" s="404">
        <v>2</v>
      </c>
      <c r="P74" s="404">
        <v>4</v>
      </c>
      <c r="Q74" s="404">
        <v>7</v>
      </c>
      <c r="R74" s="404">
        <v>10</v>
      </c>
      <c r="S74" s="404">
        <v>2</v>
      </c>
      <c r="T74" s="404">
        <v>5</v>
      </c>
      <c r="U74" s="404">
        <v>8</v>
      </c>
      <c r="V74" s="404">
        <v>3</v>
      </c>
      <c r="W74" s="404">
        <v>4</v>
      </c>
      <c r="X74" s="404">
        <v>3</v>
      </c>
      <c r="Y74" s="404" t="s">
        <v>1051</v>
      </c>
    </row>
    <row r="75" spans="3:25">
      <c r="C75" s="68" t="str">
        <f>'G-1 All Habitats'!B73</f>
        <v>Urban - Rain garden</v>
      </c>
      <c r="D75" s="404" t="s">
        <v>1051</v>
      </c>
      <c r="E75" s="404" t="s">
        <v>1051</v>
      </c>
      <c r="F75" s="404">
        <v>1</v>
      </c>
      <c r="G75" s="404">
        <v>1</v>
      </c>
      <c r="H75" s="404">
        <v>1</v>
      </c>
      <c r="I75" s="404">
        <v>1</v>
      </c>
      <c r="J75" s="404">
        <v>1</v>
      </c>
      <c r="K75" s="404" t="s">
        <v>1051</v>
      </c>
      <c r="L75" s="404" t="s">
        <v>1051</v>
      </c>
      <c r="M75" s="404" t="s">
        <v>1051</v>
      </c>
      <c r="N75" s="404" t="s">
        <v>1051</v>
      </c>
      <c r="O75" s="404">
        <v>1</v>
      </c>
      <c r="P75" s="404">
        <v>1</v>
      </c>
      <c r="Q75" s="404">
        <v>1</v>
      </c>
      <c r="R75" s="404">
        <v>1</v>
      </c>
      <c r="S75" s="404">
        <v>1</v>
      </c>
      <c r="T75" s="404">
        <v>1</v>
      </c>
      <c r="U75" s="404">
        <v>1</v>
      </c>
      <c r="V75" s="404">
        <v>1</v>
      </c>
      <c r="W75" s="404">
        <v>1</v>
      </c>
      <c r="X75" s="404">
        <v>1</v>
      </c>
      <c r="Y75" s="404" t="s">
        <v>1051</v>
      </c>
    </row>
    <row r="76" spans="3:25">
      <c r="C76" s="68" t="str">
        <f>'G-1 All Habitats'!B74</f>
        <v>Urban - Actively worked sand pit quarry or open cast mine</v>
      </c>
      <c r="D76" s="404" t="s">
        <v>1051</v>
      </c>
      <c r="E76" s="404" t="s">
        <v>1051</v>
      </c>
      <c r="F76" s="404">
        <v>1</v>
      </c>
      <c r="G76" s="404" t="s">
        <v>1051</v>
      </c>
      <c r="H76" s="404" t="s">
        <v>1051</v>
      </c>
      <c r="I76" s="404" t="s">
        <v>1051</v>
      </c>
      <c r="J76" s="404" t="s">
        <v>1051</v>
      </c>
      <c r="K76" s="404" t="s">
        <v>1051</v>
      </c>
      <c r="L76" s="404" t="s">
        <v>1051</v>
      </c>
      <c r="M76" s="404" t="s">
        <v>1051</v>
      </c>
      <c r="N76" s="404" t="s">
        <v>1051</v>
      </c>
      <c r="O76" s="404" t="s">
        <v>1051</v>
      </c>
      <c r="P76" s="404" t="s">
        <v>1051</v>
      </c>
      <c r="Q76" s="404" t="s">
        <v>1051</v>
      </c>
      <c r="R76" s="404" t="s">
        <v>1051</v>
      </c>
      <c r="S76" s="404" t="s">
        <v>1051</v>
      </c>
      <c r="T76" s="404" t="s">
        <v>1051</v>
      </c>
      <c r="U76" s="404" t="s">
        <v>1051</v>
      </c>
      <c r="V76" s="404" t="s">
        <v>1051</v>
      </c>
      <c r="W76" s="404" t="s">
        <v>1051</v>
      </c>
      <c r="X76" s="404" t="s">
        <v>1051</v>
      </c>
      <c r="Y76" s="404" t="s">
        <v>1051</v>
      </c>
    </row>
    <row r="77" spans="3:25">
      <c r="C77" s="68" t="str">
        <f>'G-1 All Habitats'!B80</f>
        <v>Individual trees - Urban tree</v>
      </c>
      <c r="D77" s="404" t="s">
        <v>1051</v>
      </c>
      <c r="E77" s="404" t="s">
        <v>1051</v>
      </c>
      <c r="F77" s="404" t="s">
        <v>1051</v>
      </c>
      <c r="G77" s="404" t="s">
        <v>1051</v>
      </c>
      <c r="H77" s="404" t="s">
        <v>1051</v>
      </c>
      <c r="I77" s="404" t="s">
        <v>1051</v>
      </c>
      <c r="J77" s="404" t="s">
        <v>1051</v>
      </c>
      <c r="K77" s="404" t="s">
        <v>1051</v>
      </c>
      <c r="L77" s="404" t="s">
        <v>1051</v>
      </c>
      <c r="M77" s="404" t="s">
        <v>1051</v>
      </c>
      <c r="N77" s="404" t="s">
        <v>1051</v>
      </c>
      <c r="O77" s="404">
        <v>8</v>
      </c>
      <c r="P77" s="404">
        <v>16</v>
      </c>
      <c r="Q77" s="404">
        <v>24</v>
      </c>
      <c r="R77" s="404" t="s">
        <v>1052</v>
      </c>
      <c r="S77" s="404">
        <v>8</v>
      </c>
      <c r="T77" s="404">
        <v>16</v>
      </c>
      <c r="U77" s="404">
        <v>24</v>
      </c>
      <c r="V77" s="404">
        <v>8</v>
      </c>
      <c r="W77" s="404">
        <v>16</v>
      </c>
      <c r="X77" s="404">
        <v>8</v>
      </c>
      <c r="Y77" s="404" t="s">
        <v>1051</v>
      </c>
    </row>
    <row r="78" spans="3:25">
      <c r="C78" s="68" t="str">
        <f>'G-1 All Habitats'!B75</f>
        <v>Urban - Sustainable drainage system</v>
      </c>
      <c r="D78" s="404" t="s">
        <v>1051</v>
      </c>
      <c r="E78" s="404" t="s">
        <v>1051</v>
      </c>
      <c r="F78" s="404">
        <v>1</v>
      </c>
      <c r="G78" s="404">
        <v>2</v>
      </c>
      <c r="H78" s="404">
        <v>3</v>
      </c>
      <c r="I78" s="404">
        <v>4</v>
      </c>
      <c r="J78" s="404">
        <v>5</v>
      </c>
      <c r="K78" s="404" t="s">
        <v>1051</v>
      </c>
      <c r="L78" s="404" t="s">
        <v>1051</v>
      </c>
      <c r="M78" s="404" t="s">
        <v>1051</v>
      </c>
      <c r="N78" s="404" t="s">
        <v>1051</v>
      </c>
      <c r="O78" s="404">
        <v>1</v>
      </c>
      <c r="P78" s="404">
        <v>2</v>
      </c>
      <c r="Q78" s="404">
        <v>3</v>
      </c>
      <c r="R78" s="404">
        <v>5</v>
      </c>
      <c r="S78" s="404">
        <v>1</v>
      </c>
      <c r="T78" s="404">
        <v>2</v>
      </c>
      <c r="U78" s="404">
        <v>3</v>
      </c>
      <c r="V78" s="404">
        <v>1</v>
      </c>
      <c r="W78" s="404">
        <v>2</v>
      </c>
      <c r="X78" s="404">
        <v>1</v>
      </c>
      <c r="Y78" s="404" t="s">
        <v>1051</v>
      </c>
    </row>
    <row r="79" spans="3:25">
      <c r="C79" s="68" t="str">
        <f>'G-1 All Habitats'!B76</f>
        <v>Urban - Unvegetated garden</v>
      </c>
      <c r="D79" s="404" t="s">
        <v>1051</v>
      </c>
      <c r="E79" s="404" t="s">
        <v>1051</v>
      </c>
      <c r="F79" s="404" t="s">
        <v>1051</v>
      </c>
      <c r="G79" s="404" t="s">
        <v>1051</v>
      </c>
      <c r="H79" s="404" t="s">
        <v>1051</v>
      </c>
      <c r="I79" s="404" t="s">
        <v>1051</v>
      </c>
      <c r="J79" s="404" t="s">
        <v>1051</v>
      </c>
      <c r="K79" s="404" t="s">
        <v>1051</v>
      </c>
      <c r="L79" s="404" t="s">
        <v>1051</v>
      </c>
      <c r="M79" s="404" t="s">
        <v>1051</v>
      </c>
      <c r="N79" s="404" t="s">
        <v>1051</v>
      </c>
      <c r="O79" s="404" t="s">
        <v>1051</v>
      </c>
      <c r="P79" s="404" t="s">
        <v>1051</v>
      </c>
      <c r="Q79" s="404" t="s">
        <v>1051</v>
      </c>
      <c r="R79" s="404" t="s">
        <v>1051</v>
      </c>
      <c r="S79" s="404" t="s">
        <v>1051</v>
      </c>
      <c r="T79" s="404" t="s">
        <v>1051</v>
      </c>
      <c r="U79" s="404" t="s">
        <v>1051</v>
      </c>
      <c r="V79" s="404" t="s">
        <v>1051</v>
      </c>
      <c r="W79" s="404" t="s">
        <v>1051</v>
      </c>
      <c r="X79" s="404" t="s">
        <v>1051</v>
      </c>
      <c r="Y79" s="404" t="s">
        <v>1051</v>
      </c>
    </row>
    <row r="80" spans="3:25">
      <c r="C80" s="68" t="str">
        <f>'G-1 All Habitats'!B77</f>
        <v>Urban - Vacant or derelict land</v>
      </c>
      <c r="D80" s="404" t="s">
        <v>1051</v>
      </c>
      <c r="E80" s="404" t="s">
        <v>1051</v>
      </c>
      <c r="F80" s="404">
        <v>1</v>
      </c>
      <c r="G80" s="404">
        <v>1</v>
      </c>
      <c r="H80" s="404">
        <v>1</v>
      </c>
      <c r="I80" s="404">
        <v>1</v>
      </c>
      <c r="J80" s="404">
        <v>1</v>
      </c>
      <c r="K80" s="404" t="s">
        <v>1051</v>
      </c>
      <c r="L80" s="404" t="s">
        <v>1051</v>
      </c>
      <c r="M80" s="404" t="s">
        <v>1051</v>
      </c>
      <c r="N80" s="404" t="s">
        <v>1051</v>
      </c>
      <c r="O80" s="404">
        <v>1</v>
      </c>
      <c r="P80" s="404">
        <v>1</v>
      </c>
      <c r="Q80" s="404">
        <v>1</v>
      </c>
      <c r="R80" s="404">
        <v>1</v>
      </c>
      <c r="S80" s="404">
        <v>1</v>
      </c>
      <c r="T80" s="404">
        <v>1</v>
      </c>
      <c r="U80" s="404">
        <v>1</v>
      </c>
      <c r="V80" s="404">
        <v>1</v>
      </c>
      <c r="W80" s="404">
        <v>1</v>
      </c>
      <c r="X80" s="404">
        <v>1</v>
      </c>
      <c r="Y80" s="404" t="s">
        <v>1051</v>
      </c>
    </row>
    <row r="81" spans="3:25">
      <c r="C81" s="68" t="s">
        <v>738</v>
      </c>
      <c r="D81" s="404" t="s">
        <v>1051</v>
      </c>
      <c r="E81" s="404" t="s">
        <v>1051</v>
      </c>
      <c r="F81" s="404">
        <v>1</v>
      </c>
      <c r="G81" s="404">
        <v>1</v>
      </c>
      <c r="H81" s="404">
        <v>1</v>
      </c>
      <c r="I81" s="404">
        <v>1</v>
      </c>
      <c r="J81" s="404">
        <v>1</v>
      </c>
      <c r="K81" s="404" t="s">
        <v>1051</v>
      </c>
      <c r="L81" s="404" t="s">
        <v>1051</v>
      </c>
      <c r="M81" s="404" t="s">
        <v>1051</v>
      </c>
      <c r="N81" s="404" t="s">
        <v>1051</v>
      </c>
      <c r="O81" s="404">
        <v>1</v>
      </c>
      <c r="P81" s="404">
        <v>1</v>
      </c>
      <c r="Q81" s="404">
        <v>1</v>
      </c>
      <c r="R81" s="404">
        <v>1</v>
      </c>
      <c r="S81" s="404">
        <v>1</v>
      </c>
      <c r="T81" s="404">
        <v>1</v>
      </c>
      <c r="U81" s="404">
        <v>1</v>
      </c>
      <c r="V81" s="404">
        <v>1</v>
      </c>
      <c r="W81" s="404">
        <v>1</v>
      </c>
      <c r="X81" s="404">
        <v>1</v>
      </c>
      <c r="Y81" s="404" t="s">
        <v>1051</v>
      </c>
    </row>
    <row r="82" spans="3:25">
      <c r="C82" s="68" t="str">
        <f>'G-1 All Habitats'!B79</f>
        <v>Urban - Vegetated garden</v>
      </c>
      <c r="D82" s="404" t="s">
        <v>1051</v>
      </c>
      <c r="E82" s="404" t="s">
        <v>1051</v>
      </c>
      <c r="F82" s="404">
        <v>1</v>
      </c>
      <c r="G82" s="404">
        <v>2</v>
      </c>
      <c r="H82" s="404">
        <v>3</v>
      </c>
      <c r="I82" s="404">
        <v>4</v>
      </c>
      <c r="J82" s="404">
        <v>5</v>
      </c>
      <c r="K82" s="404" t="s">
        <v>1051</v>
      </c>
      <c r="L82" s="404" t="s">
        <v>1051</v>
      </c>
      <c r="M82" s="404" t="s">
        <v>1051</v>
      </c>
      <c r="N82" s="404" t="s">
        <v>1051</v>
      </c>
      <c r="O82" s="404">
        <v>1</v>
      </c>
      <c r="P82" s="404">
        <v>2</v>
      </c>
      <c r="Q82" s="404">
        <v>3</v>
      </c>
      <c r="R82" s="404">
        <v>5</v>
      </c>
      <c r="S82" s="404">
        <v>1</v>
      </c>
      <c r="T82" s="404">
        <v>2</v>
      </c>
      <c r="U82" s="404">
        <v>3</v>
      </c>
      <c r="V82" s="404">
        <v>1</v>
      </c>
      <c r="W82" s="404">
        <v>2</v>
      </c>
      <c r="X82" s="404">
        <v>1</v>
      </c>
      <c r="Y82" s="404" t="s">
        <v>1051</v>
      </c>
    </row>
    <row r="83" spans="3:25">
      <c r="C83" s="68" t="str">
        <f>'G-1 All Habitats'!B82</f>
        <v>Wetland - Blanket bog</v>
      </c>
      <c r="D83" s="404" t="s">
        <v>1051</v>
      </c>
      <c r="E83" s="404" t="s">
        <v>1051</v>
      </c>
      <c r="F83" s="404">
        <v>15</v>
      </c>
      <c r="G83" s="404">
        <v>25</v>
      </c>
      <c r="H83" s="404">
        <v>30</v>
      </c>
      <c r="I83" s="404" t="s">
        <v>1052</v>
      </c>
      <c r="J83" s="404" t="s">
        <v>1052</v>
      </c>
      <c r="K83" s="404" t="s">
        <v>1051</v>
      </c>
      <c r="L83" s="404" t="s">
        <v>1051</v>
      </c>
      <c r="M83" s="404" t="s">
        <v>1051</v>
      </c>
      <c r="N83" s="404" t="s">
        <v>1051</v>
      </c>
      <c r="O83" s="404">
        <v>10</v>
      </c>
      <c r="P83" s="404">
        <v>20</v>
      </c>
      <c r="Q83" s="404" t="s">
        <v>1052</v>
      </c>
      <c r="R83" s="404">
        <v>30</v>
      </c>
      <c r="S83" s="404">
        <v>10</v>
      </c>
      <c r="T83" s="404" t="s">
        <v>1052</v>
      </c>
      <c r="U83" s="404" t="s">
        <v>1052</v>
      </c>
      <c r="V83" s="404">
        <v>30</v>
      </c>
      <c r="W83" s="404" t="s">
        <v>1052</v>
      </c>
      <c r="X83" s="404">
        <v>30</v>
      </c>
      <c r="Y83" s="404" t="s">
        <v>1051</v>
      </c>
    </row>
    <row r="84" spans="3:25">
      <c r="C84" s="68" t="str">
        <f>'G-1 All Habitats'!B83</f>
        <v>Wetland - Depressions on peat substrates (H7150)</v>
      </c>
      <c r="D84" s="404" t="s">
        <v>1051</v>
      </c>
      <c r="E84" s="404" t="s">
        <v>1051</v>
      </c>
      <c r="F84" s="404">
        <v>15</v>
      </c>
      <c r="G84" s="404">
        <v>25</v>
      </c>
      <c r="H84" s="404">
        <v>30</v>
      </c>
      <c r="I84" s="404" t="s">
        <v>1052</v>
      </c>
      <c r="J84" s="404" t="s">
        <v>1052</v>
      </c>
      <c r="K84" s="404" t="s">
        <v>1051</v>
      </c>
      <c r="L84" s="404" t="s">
        <v>1051</v>
      </c>
      <c r="M84" s="404" t="s">
        <v>1051</v>
      </c>
      <c r="N84" s="404" t="s">
        <v>1051</v>
      </c>
      <c r="O84" s="404">
        <v>10</v>
      </c>
      <c r="P84" s="404">
        <v>20</v>
      </c>
      <c r="Q84" s="404">
        <v>25</v>
      </c>
      <c r="R84" s="404">
        <v>30</v>
      </c>
      <c r="S84" s="404">
        <v>10</v>
      </c>
      <c r="T84" s="404">
        <v>20</v>
      </c>
      <c r="U84" s="404">
        <v>25</v>
      </c>
      <c r="V84" s="404">
        <v>10</v>
      </c>
      <c r="W84" s="404">
        <v>20</v>
      </c>
      <c r="X84" s="404">
        <v>10</v>
      </c>
      <c r="Y84" s="404" t="s">
        <v>1051</v>
      </c>
    </row>
    <row r="85" spans="3:25">
      <c r="C85" s="68" t="str">
        <f>'G-1 All Habitats'!B84</f>
        <v>Wetland - Fens (upland and lowland)</v>
      </c>
      <c r="D85" s="404" t="s">
        <v>1051</v>
      </c>
      <c r="E85" s="404" t="s">
        <v>1051</v>
      </c>
      <c r="F85" s="404">
        <v>10</v>
      </c>
      <c r="G85" s="404">
        <v>12</v>
      </c>
      <c r="H85" s="404">
        <v>15</v>
      </c>
      <c r="I85" s="404">
        <v>25</v>
      </c>
      <c r="J85" s="404">
        <v>30</v>
      </c>
      <c r="K85" s="404" t="s">
        <v>1051</v>
      </c>
      <c r="L85" s="404" t="s">
        <v>1051</v>
      </c>
      <c r="M85" s="404" t="s">
        <v>1051</v>
      </c>
      <c r="N85" s="404" t="s">
        <v>1051</v>
      </c>
      <c r="O85" s="404">
        <v>10</v>
      </c>
      <c r="P85" s="404">
        <v>12</v>
      </c>
      <c r="Q85" s="404">
        <v>15</v>
      </c>
      <c r="R85" s="404">
        <v>18</v>
      </c>
      <c r="S85" s="404">
        <v>10</v>
      </c>
      <c r="T85" s="404">
        <v>12</v>
      </c>
      <c r="U85" s="404">
        <v>15</v>
      </c>
      <c r="V85" s="404">
        <v>10</v>
      </c>
      <c r="W85" s="404">
        <v>12</v>
      </c>
      <c r="X85" s="404">
        <v>10</v>
      </c>
      <c r="Y85" s="404" t="s">
        <v>1051</v>
      </c>
    </row>
    <row r="86" spans="3:25">
      <c r="C86" s="68" t="str">
        <f>'G-1 All Habitats'!B85</f>
        <v>Wetland - Lowland raised bog</v>
      </c>
      <c r="D86" s="404" t="s">
        <v>1051</v>
      </c>
      <c r="E86" s="404" t="s">
        <v>1051</v>
      </c>
      <c r="F86" s="404">
        <v>15</v>
      </c>
      <c r="G86" s="404">
        <v>20</v>
      </c>
      <c r="H86" s="404">
        <v>30</v>
      </c>
      <c r="I86" s="404" t="s">
        <v>1052</v>
      </c>
      <c r="J86" s="404" t="s">
        <v>1052</v>
      </c>
      <c r="K86" s="404" t="s">
        <v>1051</v>
      </c>
      <c r="L86" s="404" t="s">
        <v>1051</v>
      </c>
      <c r="M86" s="404" t="s">
        <v>1051</v>
      </c>
      <c r="N86" s="404" t="s">
        <v>1051</v>
      </c>
      <c r="O86" s="404">
        <v>10</v>
      </c>
      <c r="P86" s="404">
        <v>20</v>
      </c>
      <c r="Q86" s="404">
        <v>25</v>
      </c>
      <c r="R86" s="404">
        <v>30</v>
      </c>
      <c r="S86" s="404">
        <v>10</v>
      </c>
      <c r="T86" s="404">
        <v>20</v>
      </c>
      <c r="U86" s="404">
        <v>20</v>
      </c>
      <c r="V86" s="404">
        <v>10</v>
      </c>
      <c r="W86" s="404">
        <v>15</v>
      </c>
      <c r="X86" s="404">
        <v>10</v>
      </c>
      <c r="Y86" s="404" t="s">
        <v>1051</v>
      </c>
    </row>
    <row r="87" spans="3:25">
      <c r="C87" s="68" t="str">
        <f>'G-1 All Habitats'!B86</f>
        <v>Wetland - Oceanic valley mire[1] (D2.1)</v>
      </c>
      <c r="D87" s="404" t="s">
        <v>1051</v>
      </c>
      <c r="E87" s="404" t="s">
        <v>1051</v>
      </c>
      <c r="F87" s="404">
        <v>15</v>
      </c>
      <c r="G87" s="404">
        <v>20</v>
      </c>
      <c r="H87" s="404">
        <v>30</v>
      </c>
      <c r="I87" s="404" t="s">
        <v>1052</v>
      </c>
      <c r="J87" s="404" t="s">
        <v>1052</v>
      </c>
      <c r="K87" s="404" t="s">
        <v>1051</v>
      </c>
      <c r="L87" s="404" t="s">
        <v>1051</v>
      </c>
      <c r="M87" s="404" t="s">
        <v>1051</v>
      </c>
      <c r="N87" s="404" t="s">
        <v>1051</v>
      </c>
      <c r="O87" s="404">
        <v>10</v>
      </c>
      <c r="P87" s="404">
        <v>20</v>
      </c>
      <c r="Q87" s="404">
        <v>25</v>
      </c>
      <c r="R87" s="404">
        <v>30</v>
      </c>
      <c r="S87" s="404">
        <v>10</v>
      </c>
      <c r="T87" s="404">
        <v>20</v>
      </c>
      <c r="U87" s="404">
        <v>20</v>
      </c>
      <c r="V87" s="404">
        <v>10</v>
      </c>
      <c r="W87" s="404">
        <v>15</v>
      </c>
      <c r="X87" s="404">
        <v>10</v>
      </c>
      <c r="Y87" s="404" t="s">
        <v>1051</v>
      </c>
    </row>
    <row r="88" spans="3:25">
      <c r="C88" s="68" t="str">
        <f>'G-1 All Habitats'!B87</f>
        <v>Wetland - Purple moor grass and rush pastures</v>
      </c>
      <c r="D88" s="404" t="s">
        <v>1051</v>
      </c>
      <c r="E88" s="404" t="s">
        <v>1051</v>
      </c>
      <c r="F88" s="404">
        <v>10</v>
      </c>
      <c r="G88" s="404">
        <v>12</v>
      </c>
      <c r="H88" s="404">
        <v>15</v>
      </c>
      <c r="I88" s="404">
        <v>17</v>
      </c>
      <c r="J88" s="404">
        <v>20</v>
      </c>
      <c r="K88" s="404" t="s">
        <v>1051</v>
      </c>
      <c r="L88" s="404" t="s">
        <v>1051</v>
      </c>
      <c r="M88" s="404" t="s">
        <v>1051</v>
      </c>
      <c r="N88" s="404" t="s">
        <v>1051</v>
      </c>
      <c r="O88" s="404">
        <v>10</v>
      </c>
      <c r="P88" s="404">
        <v>10</v>
      </c>
      <c r="Q88" s="404">
        <v>15</v>
      </c>
      <c r="R88" s="404">
        <v>20</v>
      </c>
      <c r="S88" s="404">
        <v>10</v>
      </c>
      <c r="T88" s="404">
        <v>15</v>
      </c>
      <c r="U88" s="404">
        <v>20</v>
      </c>
      <c r="V88" s="404">
        <v>10</v>
      </c>
      <c r="W88" s="404">
        <v>15</v>
      </c>
      <c r="X88" s="404">
        <v>10</v>
      </c>
      <c r="Y88" s="404" t="s">
        <v>1051</v>
      </c>
    </row>
    <row r="89" spans="3:25">
      <c r="C89" s="68" t="str">
        <f>'G-1 All Habitats'!B88</f>
        <v>Wetland - Reedbeds</v>
      </c>
      <c r="D89" s="404" t="s">
        <v>1051</v>
      </c>
      <c r="E89" s="404" t="s">
        <v>1051</v>
      </c>
      <c r="F89" s="404">
        <v>5</v>
      </c>
      <c r="G89" s="404">
        <v>7</v>
      </c>
      <c r="H89" s="404">
        <v>10</v>
      </c>
      <c r="I89" s="404">
        <v>12</v>
      </c>
      <c r="J89" s="404">
        <v>15</v>
      </c>
      <c r="K89" s="404" t="s">
        <v>1051</v>
      </c>
      <c r="L89" s="404" t="s">
        <v>1051</v>
      </c>
      <c r="M89" s="404" t="s">
        <v>1051</v>
      </c>
      <c r="N89" s="404" t="s">
        <v>1051</v>
      </c>
      <c r="O89" s="404">
        <v>5</v>
      </c>
      <c r="P89" s="404">
        <v>7</v>
      </c>
      <c r="Q89" s="404">
        <v>10</v>
      </c>
      <c r="R89" s="404">
        <v>12</v>
      </c>
      <c r="S89" s="404">
        <v>5</v>
      </c>
      <c r="T89" s="404">
        <v>7</v>
      </c>
      <c r="U89" s="404">
        <v>10</v>
      </c>
      <c r="V89" s="404">
        <v>5</v>
      </c>
      <c r="W89" s="404">
        <v>7</v>
      </c>
      <c r="X89" s="404">
        <v>5</v>
      </c>
      <c r="Y89" s="404" t="s">
        <v>1051</v>
      </c>
    </row>
    <row r="90" spans="3:25">
      <c r="C90" s="68" t="str">
        <f>'G-1 All Habitats'!B89</f>
        <v>Wetland - Transition mires and quaking bogs (H7140)</v>
      </c>
      <c r="D90" s="404" t="s">
        <v>1051</v>
      </c>
      <c r="E90" s="404" t="s">
        <v>1051</v>
      </c>
      <c r="F90" s="404">
        <v>15</v>
      </c>
      <c r="G90" s="404">
        <v>25</v>
      </c>
      <c r="H90" s="404">
        <v>30</v>
      </c>
      <c r="I90" s="404" t="s">
        <v>1052</v>
      </c>
      <c r="J90" s="404" t="s">
        <v>1052</v>
      </c>
      <c r="K90" s="404" t="s">
        <v>1051</v>
      </c>
      <c r="L90" s="404" t="s">
        <v>1051</v>
      </c>
      <c r="M90" s="404" t="s">
        <v>1051</v>
      </c>
      <c r="N90" s="404" t="s">
        <v>1051</v>
      </c>
      <c r="O90" s="404">
        <v>10</v>
      </c>
      <c r="P90" s="404">
        <v>20</v>
      </c>
      <c r="Q90" s="404">
        <v>25</v>
      </c>
      <c r="R90" s="404">
        <v>30</v>
      </c>
      <c r="S90" s="404">
        <v>10</v>
      </c>
      <c r="T90" s="404">
        <v>20</v>
      </c>
      <c r="U90" s="404">
        <v>20</v>
      </c>
      <c r="V90" s="404">
        <v>10</v>
      </c>
      <c r="W90" s="404">
        <v>15</v>
      </c>
      <c r="X90" s="404">
        <v>10</v>
      </c>
      <c r="Y90" s="404" t="s">
        <v>1051</v>
      </c>
    </row>
    <row r="91" spans="3:25">
      <c r="C91" s="68" t="str">
        <f>'G-1 All Habitats'!B90</f>
        <v>Woodland and forest - Felled</v>
      </c>
      <c r="D91" s="404" t="s">
        <v>1051</v>
      </c>
      <c r="E91" s="404" t="s">
        <v>1051</v>
      </c>
      <c r="F91" s="404" t="s">
        <v>1051</v>
      </c>
      <c r="G91" s="404" t="s">
        <v>1051</v>
      </c>
      <c r="H91" s="404" t="s">
        <v>1051</v>
      </c>
      <c r="I91" s="404" t="s">
        <v>1051</v>
      </c>
      <c r="J91" s="404" t="s">
        <v>1051</v>
      </c>
      <c r="K91" s="404" t="s">
        <v>1051</v>
      </c>
      <c r="L91" s="404" t="s">
        <v>1051</v>
      </c>
      <c r="M91" s="404" t="s">
        <v>1051</v>
      </c>
      <c r="N91" s="404" t="s">
        <v>1051</v>
      </c>
      <c r="O91" s="404" t="s">
        <v>1051</v>
      </c>
      <c r="P91" s="404" t="s">
        <v>1051</v>
      </c>
      <c r="Q91" s="404" t="s">
        <v>1051</v>
      </c>
      <c r="R91" s="404" t="s">
        <v>1051</v>
      </c>
      <c r="S91" s="404" t="s">
        <v>1051</v>
      </c>
      <c r="T91" s="404" t="s">
        <v>1051</v>
      </c>
      <c r="U91" s="404" t="s">
        <v>1051</v>
      </c>
      <c r="V91" s="404" t="s">
        <v>1051</v>
      </c>
      <c r="W91" s="404" t="s">
        <v>1051</v>
      </c>
      <c r="X91" s="404" t="s">
        <v>1051</v>
      </c>
      <c r="Y91" s="404" t="s">
        <v>1051</v>
      </c>
    </row>
    <row r="92" spans="3:25">
      <c r="C92" s="68" t="str">
        <f>'G-1 All Habitats'!B91</f>
        <v>Woodland and forest - Lowland beech and yew woodland</v>
      </c>
      <c r="D92" s="404" t="s">
        <v>1051</v>
      </c>
      <c r="E92" s="404" t="s">
        <v>1051</v>
      </c>
      <c r="F92" s="404">
        <v>10</v>
      </c>
      <c r="G92" s="404">
        <v>25</v>
      </c>
      <c r="H92" s="404" t="s">
        <v>1052</v>
      </c>
      <c r="I92" s="404" t="s">
        <v>1052</v>
      </c>
      <c r="J92" s="404" t="s">
        <v>1052</v>
      </c>
      <c r="K92" s="404" t="s">
        <v>1051</v>
      </c>
      <c r="L92" s="404" t="s">
        <v>1051</v>
      </c>
      <c r="M92" s="404" t="s">
        <v>1051</v>
      </c>
      <c r="N92" s="404" t="s">
        <v>1051</v>
      </c>
      <c r="O92" s="404">
        <v>25</v>
      </c>
      <c r="P92" s="404" t="s">
        <v>1052</v>
      </c>
      <c r="Q92" s="404" t="s">
        <v>1052</v>
      </c>
      <c r="R92" s="404" t="s">
        <v>1052</v>
      </c>
      <c r="S92" s="404" t="s">
        <v>1052</v>
      </c>
      <c r="T92" s="404" t="s">
        <v>1052</v>
      </c>
      <c r="U92" s="404" t="s">
        <v>1052</v>
      </c>
      <c r="V92" s="404" t="s">
        <v>1052</v>
      </c>
      <c r="W92" s="404" t="s">
        <v>1052</v>
      </c>
      <c r="X92" s="404" t="s">
        <v>1052</v>
      </c>
      <c r="Y92" s="404" t="s">
        <v>1051</v>
      </c>
    </row>
    <row r="93" spans="3:25">
      <c r="C93" s="68" t="str">
        <f>'G-1 All Habitats'!B92</f>
        <v>Woodland and forest - Lowland mixed deciduous woodland</v>
      </c>
      <c r="D93" s="404" t="s">
        <v>1051</v>
      </c>
      <c r="E93" s="404" t="s">
        <v>1051</v>
      </c>
      <c r="F93" s="404">
        <v>10</v>
      </c>
      <c r="G93" s="404">
        <v>25</v>
      </c>
      <c r="H93" s="404" t="s">
        <v>1052</v>
      </c>
      <c r="I93" s="404" t="s">
        <v>1052</v>
      </c>
      <c r="J93" s="404" t="s">
        <v>1052</v>
      </c>
      <c r="K93" s="404" t="s">
        <v>1051</v>
      </c>
      <c r="L93" s="404" t="s">
        <v>1051</v>
      </c>
      <c r="M93" s="404" t="s">
        <v>1051</v>
      </c>
      <c r="N93" s="404" t="s">
        <v>1051</v>
      </c>
      <c r="O93" s="404">
        <v>10</v>
      </c>
      <c r="P93" s="404">
        <v>20</v>
      </c>
      <c r="Q93" s="404">
        <v>25</v>
      </c>
      <c r="R93" s="404" t="s">
        <v>1052</v>
      </c>
      <c r="S93" s="404">
        <v>10</v>
      </c>
      <c r="T93" s="404">
        <v>20</v>
      </c>
      <c r="U93" s="404">
        <v>25</v>
      </c>
      <c r="V93" s="404">
        <v>10</v>
      </c>
      <c r="W93" s="404">
        <v>20</v>
      </c>
      <c r="X93" s="404">
        <v>10</v>
      </c>
      <c r="Y93" s="404" t="s">
        <v>1051</v>
      </c>
    </row>
    <row r="94" spans="3:25">
      <c r="C94" s="68" t="str">
        <f>'G-1 All Habitats'!B93</f>
        <v>Woodland and forest - Native pine woodlands</v>
      </c>
      <c r="D94" s="404" t="s">
        <v>1051</v>
      </c>
      <c r="E94" s="404" t="s">
        <v>1051</v>
      </c>
      <c r="F94" s="404">
        <v>25</v>
      </c>
      <c r="G94" s="404">
        <v>30</v>
      </c>
      <c r="H94" s="404" t="s">
        <v>1052</v>
      </c>
      <c r="I94" s="404" t="s">
        <v>1052</v>
      </c>
      <c r="J94" s="404" t="s">
        <v>1052</v>
      </c>
      <c r="K94" s="404" t="s">
        <v>1051</v>
      </c>
      <c r="L94" s="404" t="s">
        <v>1051</v>
      </c>
      <c r="M94" s="404" t="s">
        <v>1051</v>
      </c>
      <c r="N94" s="404" t="s">
        <v>1051</v>
      </c>
      <c r="O94" s="404">
        <v>10</v>
      </c>
      <c r="P94" s="404">
        <v>15</v>
      </c>
      <c r="Q94" s="404">
        <v>20</v>
      </c>
      <c r="R94" s="404" t="s">
        <v>1052</v>
      </c>
      <c r="S94" s="404">
        <v>15</v>
      </c>
      <c r="T94" s="404">
        <v>20</v>
      </c>
      <c r="U94" s="404">
        <v>25</v>
      </c>
      <c r="V94" s="404">
        <v>10</v>
      </c>
      <c r="W94" s="404">
        <v>15</v>
      </c>
      <c r="X94" s="404">
        <v>10</v>
      </c>
      <c r="Y94" s="404" t="s">
        <v>1051</v>
      </c>
    </row>
    <row r="95" spans="3:25">
      <c r="C95" s="68" t="str">
        <f>'G-1 All Habitats'!B94</f>
        <v>Woodland and forest - Other coniferous woodland</v>
      </c>
      <c r="D95" s="404" t="s">
        <v>1051</v>
      </c>
      <c r="E95" s="404" t="s">
        <v>1051</v>
      </c>
      <c r="F95" s="404" t="s">
        <v>1051</v>
      </c>
      <c r="G95" s="404" t="s">
        <v>1051</v>
      </c>
      <c r="H95" s="404" t="s">
        <v>1051</v>
      </c>
      <c r="I95" s="404" t="s">
        <v>1051</v>
      </c>
      <c r="J95" s="404" t="s">
        <v>1051</v>
      </c>
      <c r="K95" s="404" t="s">
        <v>1051</v>
      </c>
      <c r="L95" s="404" t="s">
        <v>1051</v>
      </c>
      <c r="M95" s="404" t="s">
        <v>1051</v>
      </c>
      <c r="N95" s="404" t="s">
        <v>1051</v>
      </c>
      <c r="O95" s="404">
        <v>5</v>
      </c>
      <c r="P95" s="404">
        <v>25</v>
      </c>
      <c r="Q95" s="404" t="s">
        <v>1052</v>
      </c>
      <c r="R95" s="404" t="s">
        <v>1052</v>
      </c>
      <c r="S95" s="404">
        <v>20</v>
      </c>
      <c r="T95" s="404">
        <v>15</v>
      </c>
      <c r="U95" s="404">
        <v>25</v>
      </c>
      <c r="V95" s="404">
        <v>5</v>
      </c>
      <c r="W95" s="404">
        <v>7</v>
      </c>
      <c r="X95" s="404">
        <v>10</v>
      </c>
      <c r="Y95" s="404" t="s">
        <v>1051</v>
      </c>
    </row>
    <row r="96" spans="3:25">
      <c r="C96" s="68" t="str">
        <f>'G-1 All Habitats'!B95</f>
        <v>Woodland and forest - Other Scot's pine woodland</v>
      </c>
      <c r="D96" s="404" t="s">
        <v>1051</v>
      </c>
      <c r="E96" s="404" t="s">
        <v>1051</v>
      </c>
      <c r="F96" s="404">
        <v>20</v>
      </c>
      <c r="G96" s="404">
        <v>25</v>
      </c>
      <c r="H96" s="404" t="s">
        <v>1052</v>
      </c>
      <c r="I96" s="404" t="s">
        <v>1052</v>
      </c>
      <c r="J96" s="404" t="s">
        <v>1052</v>
      </c>
      <c r="K96" s="404" t="s">
        <v>1051</v>
      </c>
      <c r="L96" s="404" t="s">
        <v>1051</v>
      </c>
      <c r="M96" s="404" t="s">
        <v>1051</v>
      </c>
      <c r="N96" s="404" t="s">
        <v>1051</v>
      </c>
      <c r="O96" s="404">
        <v>10</v>
      </c>
      <c r="P96" s="404">
        <v>15</v>
      </c>
      <c r="Q96" s="404">
        <v>20</v>
      </c>
      <c r="R96" s="404" t="s">
        <v>1052</v>
      </c>
      <c r="S96" s="404">
        <v>15</v>
      </c>
      <c r="T96" s="404">
        <v>20</v>
      </c>
      <c r="U96" s="404">
        <v>25</v>
      </c>
      <c r="V96" s="404">
        <v>10</v>
      </c>
      <c r="W96" s="404">
        <v>15</v>
      </c>
      <c r="X96" s="404">
        <v>10</v>
      </c>
      <c r="Y96" s="404" t="s">
        <v>1051</v>
      </c>
    </row>
    <row r="97" spans="3:25">
      <c r="C97" s="68" t="str">
        <f>'G-1 All Habitats'!B96</f>
        <v>Woodland and forest - Other woodland; broadleaved</v>
      </c>
      <c r="D97" s="404" t="s">
        <v>1051</v>
      </c>
      <c r="E97" s="404" t="s">
        <v>1051</v>
      </c>
      <c r="F97" s="404">
        <v>5</v>
      </c>
      <c r="G97" s="404">
        <v>10</v>
      </c>
      <c r="H97" s="404">
        <v>15</v>
      </c>
      <c r="I97" s="404">
        <v>20</v>
      </c>
      <c r="J97" s="404">
        <v>25</v>
      </c>
      <c r="K97" s="404" t="s">
        <v>1051</v>
      </c>
      <c r="L97" s="404" t="s">
        <v>1051</v>
      </c>
      <c r="M97" s="404" t="s">
        <v>1051</v>
      </c>
      <c r="N97" s="404" t="s">
        <v>1051</v>
      </c>
      <c r="O97" s="404">
        <v>5</v>
      </c>
      <c r="P97" s="404">
        <v>10</v>
      </c>
      <c r="Q97" s="404">
        <v>15</v>
      </c>
      <c r="R97" s="404">
        <v>20</v>
      </c>
      <c r="S97" s="404">
        <v>5</v>
      </c>
      <c r="T97" s="404">
        <v>10</v>
      </c>
      <c r="U97" s="404">
        <v>15</v>
      </c>
      <c r="V97" s="404">
        <v>5</v>
      </c>
      <c r="W97" s="404">
        <v>10</v>
      </c>
      <c r="X97" s="404">
        <v>5</v>
      </c>
      <c r="Y97" s="404" t="s">
        <v>1051</v>
      </c>
    </row>
    <row r="98" spans="3:25">
      <c r="C98" s="68" t="str">
        <f>'G-1 All Habitats'!B97</f>
        <v>Woodland and forest - Other woodland; mixed</v>
      </c>
      <c r="D98" s="404" t="s">
        <v>1051</v>
      </c>
      <c r="E98" s="404" t="s">
        <v>1051</v>
      </c>
      <c r="F98" s="404">
        <v>5</v>
      </c>
      <c r="G98" s="404">
        <v>10</v>
      </c>
      <c r="H98" s="404">
        <v>15</v>
      </c>
      <c r="I98" s="404">
        <v>20</v>
      </c>
      <c r="J98" s="404">
        <v>25</v>
      </c>
      <c r="K98" s="404" t="s">
        <v>1051</v>
      </c>
      <c r="L98" s="404" t="s">
        <v>1051</v>
      </c>
      <c r="M98" s="404" t="s">
        <v>1051</v>
      </c>
      <c r="N98" s="404" t="s">
        <v>1051</v>
      </c>
      <c r="O98" s="404">
        <v>5</v>
      </c>
      <c r="P98" s="404">
        <v>10</v>
      </c>
      <c r="Q98" s="404">
        <v>15</v>
      </c>
      <c r="R98" s="404">
        <v>20</v>
      </c>
      <c r="S98" s="404">
        <v>5</v>
      </c>
      <c r="T98" s="404">
        <v>10</v>
      </c>
      <c r="U98" s="404">
        <v>15</v>
      </c>
      <c r="V98" s="404">
        <v>5</v>
      </c>
      <c r="W98" s="404">
        <v>10</v>
      </c>
      <c r="X98" s="404">
        <v>5</v>
      </c>
      <c r="Y98" s="404" t="s">
        <v>1051</v>
      </c>
    </row>
    <row r="99" spans="3:25">
      <c r="C99" s="68" t="str">
        <f>'G-1 All Habitats'!B98</f>
        <v>Woodland and forest - Upland birchwoods</v>
      </c>
      <c r="D99" s="404" t="s">
        <v>1051</v>
      </c>
      <c r="E99" s="404" t="s">
        <v>1051</v>
      </c>
      <c r="F99" s="404">
        <v>10</v>
      </c>
      <c r="G99" s="404">
        <v>20</v>
      </c>
      <c r="H99" s="404">
        <v>25</v>
      </c>
      <c r="I99" s="404">
        <v>30</v>
      </c>
      <c r="J99" s="404" t="s">
        <v>1052</v>
      </c>
      <c r="K99" s="404" t="s">
        <v>1051</v>
      </c>
      <c r="L99" s="404" t="s">
        <v>1051</v>
      </c>
      <c r="M99" s="404" t="s">
        <v>1051</v>
      </c>
      <c r="N99" s="404" t="s">
        <v>1051</v>
      </c>
      <c r="O99" s="404">
        <v>10</v>
      </c>
      <c r="P99" s="404">
        <v>15</v>
      </c>
      <c r="Q99" s="404">
        <v>20</v>
      </c>
      <c r="R99" s="404" t="s">
        <v>1052</v>
      </c>
      <c r="S99" s="404">
        <v>15</v>
      </c>
      <c r="T99" s="404">
        <v>20</v>
      </c>
      <c r="U99" s="404">
        <v>25</v>
      </c>
      <c r="V99" s="404">
        <v>10</v>
      </c>
      <c r="W99" s="404">
        <v>15</v>
      </c>
      <c r="X99" s="404">
        <v>10</v>
      </c>
      <c r="Y99" s="404" t="s">
        <v>1051</v>
      </c>
    </row>
    <row r="100" spans="3:25">
      <c r="C100" s="68" t="str">
        <f>'G-1 All Habitats'!B99</f>
        <v>Woodland and forest - Upland mixed ashwoods</v>
      </c>
      <c r="D100" s="404" t="s">
        <v>1051</v>
      </c>
      <c r="E100" s="404" t="s">
        <v>1051</v>
      </c>
      <c r="F100" s="404">
        <v>10</v>
      </c>
      <c r="G100" s="404">
        <v>25</v>
      </c>
      <c r="H100" s="404" t="s">
        <v>1052</v>
      </c>
      <c r="I100" s="404" t="s">
        <v>1052</v>
      </c>
      <c r="J100" s="404" t="s">
        <v>1052</v>
      </c>
      <c r="K100" s="404" t="s">
        <v>1051</v>
      </c>
      <c r="L100" s="404" t="s">
        <v>1051</v>
      </c>
      <c r="M100" s="404" t="s">
        <v>1051</v>
      </c>
      <c r="N100" s="404" t="s">
        <v>1051</v>
      </c>
      <c r="O100" s="404">
        <v>10</v>
      </c>
      <c r="P100" s="404">
        <v>15</v>
      </c>
      <c r="Q100" s="404">
        <v>20</v>
      </c>
      <c r="R100" s="404" t="s">
        <v>1052</v>
      </c>
      <c r="S100" s="404">
        <v>15</v>
      </c>
      <c r="T100" s="404">
        <v>20</v>
      </c>
      <c r="U100" s="404">
        <v>25</v>
      </c>
      <c r="V100" s="404">
        <v>10</v>
      </c>
      <c r="W100" s="404">
        <v>15</v>
      </c>
      <c r="X100" s="404">
        <v>10</v>
      </c>
      <c r="Y100" s="404" t="s">
        <v>1051</v>
      </c>
    </row>
    <row r="101" spans="3:25">
      <c r="C101" s="68" t="str">
        <f>'G-1 All Habitats'!B100</f>
        <v>Woodland and forest - Upland oakwood</v>
      </c>
      <c r="D101" s="404" t="s">
        <v>1051</v>
      </c>
      <c r="E101" s="404" t="s">
        <v>1051</v>
      </c>
      <c r="F101" s="404">
        <v>10</v>
      </c>
      <c r="G101" s="404">
        <v>25</v>
      </c>
      <c r="H101" s="404" t="s">
        <v>1052</v>
      </c>
      <c r="I101" s="404" t="s">
        <v>1052</v>
      </c>
      <c r="J101" s="404" t="s">
        <v>1052</v>
      </c>
      <c r="K101" s="404" t="s">
        <v>1051</v>
      </c>
      <c r="L101" s="404" t="s">
        <v>1051</v>
      </c>
      <c r="M101" s="404" t="s">
        <v>1051</v>
      </c>
      <c r="N101" s="404" t="s">
        <v>1051</v>
      </c>
      <c r="O101" s="404">
        <v>25</v>
      </c>
      <c r="P101" s="404" t="s">
        <v>1052</v>
      </c>
      <c r="Q101" s="404" t="s">
        <v>1052</v>
      </c>
      <c r="R101" s="404" t="s">
        <v>1052</v>
      </c>
      <c r="S101" s="404" t="s">
        <v>1052</v>
      </c>
      <c r="T101" s="404" t="s">
        <v>1052</v>
      </c>
      <c r="U101" s="404" t="s">
        <v>1052</v>
      </c>
      <c r="V101" s="404" t="s">
        <v>1052</v>
      </c>
      <c r="W101" s="404" t="s">
        <v>1052</v>
      </c>
      <c r="X101" s="404" t="s">
        <v>1052</v>
      </c>
      <c r="Y101" s="404" t="s">
        <v>1051</v>
      </c>
    </row>
    <row r="102" spans="3:25">
      <c r="C102" s="68" t="str">
        <f>'G-1 All Habitats'!B101</f>
        <v>Woodland and forest - Wet woodland</v>
      </c>
      <c r="D102" s="404" t="s">
        <v>1051</v>
      </c>
      <c r="E102" s="404" t="s">
        <v>1051</v>
      </c>
      <c r="F102" s="404">
        <v>10</v>
      </c>
      <c r="G102" s="404">
        <v>20</v>
      </c>
      <c r="H102" s="404">
        <v>25</v>
      </c>
      <c r="I102" s="404">
        <v>30</v>
      </c>
      <c r="J102" s="404" t="s">
        <v>1052</v>
      </c>
      <c r="K102" s="404" t="s">
        <v>1051</v>
      </c>
      <c r="L102" s="404" t="s">
        <v>1051</v>
      </c>
      <c r="M102" s="404" t="s">
        <v>1051</v>
      </c>
      <c r="N102" s="404" t="s">
        <v>1051</v>
      </c>
      <c r="O102" s="404">
        <v>10</v>
      </c>
      <c r="P102" s="404">
        <v>10</v>
      </c>
      <c r="Q102" s="404">
        <v>15</v>
      </c>
      <c r="R102" s="404" t="s">
        <v>1052</v>
      </c>
      <c r="S102" s="404">
        <v>15</v>
      </c>
      <c r="T102" s="404">
        <v>20</v>
      </c>
      <c r="U102" s="404">
        <v>25</v>
      </c>
      <c r="V102" s="404">
        <v>10</v>
      </c>
      <c r="W102" s="404">
        <v>15</v>
      </c>
      <c r="X102" s="404">
        <v>10</v>
      </c>
      <c r="Y102" s="404" t="s">
        <v>1051</v>
      </c>
    </row>
    <row r="103" spans="3:25">
      <c r="C103" s="68" t="str">
        <f>'G-1 All Habitats'!B102</f>
        <v>Woodland and forest - Wood-pasture and parkland</v>
      </c>
      <c r="D103" s="404" t="s">
        <v>1051</v>
      </c>
      <c r="E103" s="404" t="s">
        <v>1051</v>
      </c>
      <c r="F103" s="404">
        <v>10</v>
      </c>
      <c r="G103" s="404">
        <v>25</v>
      </c>
      <c r="H103" s="404" t="s">
        <v>1052</v>
      </c>
      <c r="I103" s="404" t="s">
        <v>1052</v>
      </c>
      <c r="J103" s="404" t="s">
        <v>1052</v>
      </c>
      <c r="K103" s="404" t="s">
        <v>1051</v>
      </c>
      <c r="L103" s="404" t="s">
        <v>1051</v>
      </c>
      <c r="M103" s="404" t="s">
        <v>1051</v>
      </c>
      <c r="N103" s="404" t="s">
        <v>1051</v>
      </c>
      <c r="O103" s="404">
        <v>25</v>
      </c>
      <c r="P103" s="404" t="s">
        <v>1052</v>
      </c>
      <c r="Q103" s="404" t="s">
        <v>1052</v>
      </c>
      <c r="R103" s="404" t="s">
        <v>1052</v>
      </c>
      <c r="S103" s="404" t="s">
        <v>1052</v>
      </c>
      <c r="T103" s="404" t="s">
        <v>1052</v>
      </c>
      <c r="U103" s="404" t="s">
        <v>1052</v>
      </c>
      <c r="V103" s="404" t="s">
        <v>1052</v>
      </c>
      <c r="W103" s="404" t="s">
        <v>1052</v>
      </c>
      <c r="X103" s="404" t="s">
        <v>1052</v>
      </c>
      <c r="Y103" s="404" t="s">
        <v>1051</v>
      </c>
    </row>
    <row r="104" spans="3:25">
      <c r="C104" s="68" t="str">
        <f>'G-1 All Habitats'!B103</f>
        <v>Coastal lagoons - Coastal lagoons</v>
      </c>
      <c r="D104" s="404" t="s">
        <v>1051</v>
      </c>
      <c r="E104" s="404" t="s">
        <v>1051</v>
      </c>
      <c r="F104" s="404" t="s">
        <v>1051</v>
      </c>
      <c r="G104" s="404" t="s">
        <v>1051</v>
      </c>
      <c r="H104" s="404" t="s">
        <v>1051</v>
      </c>
      <c r="I104" s="404" t="s">
        <v>1051</v>
      </c>
      <c r="J104" s="404" t="s">
        <v>1051</v>
      </c>
      <c r="K104" s="404" t="s">
        <v>1051</v>
      </c>
      <c r="L104" s="404" t="s">
        <v>1051</v>
      </c>
      <c r="M104" s="404" t="s">
        <v>1051</v>
      </c>
      <c r="N104" s="404" t="s">
        <v>1051</v>
      </c>
      <c r="O104" s="404">
        <v>1</v>
      </c>
      <c r="P104" s="404">
        <v>4</v>
      </c>
      <c r="Q104" s="404">
        <v>8</v>
      </c>
      <c r="R104" s="404">
        <v>12</v>
      </c>
      <c r="S104" s="404">
        <v>3</v>
      </c>
      <c r="T104" s="404">
        <v>7</v>
      </c>
      <c r="U104" s="404">
        <v>11</v>
      </c>
      <c r="V104" s="404">
        <v>4</v>
      </c>
      <c r="W104" s="404">
        <v>8</v>
      </c>
      <c r="X104" s="404">
        <v>4</v>
      </c>
      <c r="Y104" s="404" t="s">
        <v>1051</v>
      </c>
    </row>
    <row r="105" spans="3:25">
      <c r="C105" s="68" t="str">
        <f>'G-1 All Habitats'!B104</f>
        <v>Rocky shore - High energy littoral rock</v>
      </c>
      <c r="D105" s="404" t="s">
        <v>1051</v>
      </c>
      <c r="E105" s="404" t="s">
        <v>1051</v>
      </c>
      <c r="F105" s="404" t="s">
        <v>1051</v>
      </c>
      <c r="G105" s="404" t="s">
        <v>1051</v>
      </c>
      <c r="H105" s="404" t="s">
        <v>1051</v>
      </c>
      <c r="I105" s="404" t="s">
        <v>1051</v>
      </c>
      <c r="J105" s="404" t="s">
        <v>1051</v>
      </c>
      <c r="K105" s="404" t="s">
        <v>1051</v>
      </c>
      <c r="L105" s="404" t="s">
        <v>1051</v>
      </c>
      <c r="M105" s="404" t="s">
        <v>1051</v>
      </c>
      <c r="N105" s="404" t="s">
        <v>1051</v>
      </c>
      <c r="O105" s="404">
        <v>2</v>
      </c>
      <c r="P105" s="404">
        <v>4</v>
      </c>
      <c r="Q105" s="404">
        <v>6</v>
      </c>
      <c r="R105" s="404">
        <v>10</v>
      </c>
      <c r="S105" s="404">
        <v>2</v>
      </c>
      <c r="T105" s="404">
        <v>4</v>
      </c>
      <c r="U105" s="404">
        <v>8</v>
      </c>
      <c r="V105" s="404">
        <v>2</v>
      </c>
      <c r="W105" s="404">
        <v>6</v>
      </c>
      <c r="X105" s="404">
        <v>4</v>
      </c>
      <c r="Y105" s="404" t="s">
        <v>1051</v>
      </c>
    </row>
    <row r="106" spans="3:25">
      <c r="C106" s="68" t="str">
        <f>'G-1 All Habitats'!B105</f>
        <v>Rocky shore - High energy littoral rock - on peat, clay or chalk</v>
      </c>
      <c r="D106" s="404" t="s">
        <v>1051</v>
      </c>
      <c r="E106" s="404" t="s">
        <v>1051</v>
      </c>
      <c r="F106" s="404" t="s">
        <v>1051</v>
      </c>
      <c r="G106" s="404" t="s">
        <v>1051</v>
      </c>
      <c r="H106" s="404" t="s">
        <v>1051</v>
      </c>
      <c r="I106" s="404" t="s">
        <v>1051</v>
      </c>
      <c r="J106" s="404" t="s">
        <v>1051</v>
      </c>
      <c r="K106" s="404" t="s">
        <v>1051</v>
      </c>
      <c r="L106" s="404" t="s">
        <v>1051</v>
      </c>
      <c r="M106" s="404" t="s">
        <v>1051</v>
      </c>
      <c r="N106" s="404" t="s">
        <v>1051</v>
      </c>
      <c r="O106" s="404">
        <v>2</v>
      </c>
      <c r="P106" s="404">
        <v>4</v>
      </c>
      <c r="Q106" s="404">
        <v>6</v>
      </c>
      <c r="R106" s="404">
        <v>10</v>
      </c>
      <c r="S106" s="404">
        <v>2</v>
      </c>
      <c r="T106" s="404">
        <v>4</v>
      </c>
      <c r="U106" s="404">
        <v>8</v>
      </c>
      <c r="V106" s="404">
        <v>2</v>
      </c>
      <c r="W106" s="404">
        <v>6</v>
      </c>
      <c r="X106" s="404">
        <v>4</v>
      </c>
      <c r="Y106" s="404" t="s">
        <v>1051</v>
      </c>
    </row>
    <row r="107" spans="3:25">
      <c r="C107" s="68" t="str">
        <f>'G-1 All Habitats'!B106</f>
        <v>Rocky shore - Moderate energy littoral rock</v>
      </c>
      <c r="D107" s="404" t="s">
        <v>1051</v>
      </c>
      <c r="E107" s="404" t="s">
        <v>1051</v>
      </c>
      <c r="F107" s="404" t="s">
        <v>1051</v>
      </c>
      <c r="G107" s="404" t="s">
        <v>1051</v>
      </c>
      <c r="H107" s="404" t="s">
        <v>1051</v>
      </c>
      <c r="I107" s="404" t="s">
        <v>1051</v>
      </c>
      <c r="J107" s="404" t="s">
        <v>1051</v>
      </c>
      <c r="K107" s="404" t="s">
        <v>1051</v>
      </c>
      <c r="L107" s="404" t="s">
        <v>1051</v>
      </c>
      <c r="M107" s="404" t="s">
        <v>1051</v>
      </c>
      <c r="N107" s="404" t="s">
        <v>1051</v>
      </c>
      <c r="O107" s="404">
        <v>2</v>
      </c>
      <c r="P107" s="404">
        <v>4</v>
      </c>
      <c r="Q107" s="404">
        <v>6</v>
      </c>
      <c r="R107" s="404">
        <v>11</v>
      </c>
      <c r="S107" s="404">
        <v>2</v>
      </c>
      <c r="T107" s="404">
        <v>4</v>
      </c>
      <c r="U107" s="404">
        <v>9</v>
      </c>
      <c r="V107" s="404">
        <v>2</v>
      </c>
      <c r="W107" s="404">
        <v>7</v>
      </c>
      <c r="X107" s="404">
        <v>5</v>
      </c>
      <c r="Y107" s="404" t="s">
        <v>1051</v>
      </c>
    </row>
    <row r="108" spans="3:25">
      <c r="C108" s="68" t="str">
        <f>'G-1 All Habitats'!B107</f>
        <v>Rocky shore - Moderate energy littoral rock - on peat, clay or chalk</v>
      </c>
      <c r="D108" s="404" t="s">
        <v>1051</v>
      </c>
      <c r="E108" s="404" t="s">
        <v>1051</v>
      </c>
      <c r="F108" s="404" t="s">
        <v>1051</v>
      </c>
      <c r="G108" s="404" t="s">
        <v>1051</v>
      </c>
      <c r="H108" s="404" t="s">
        <v>1051</v>
      </c>
      <c r="I108" s="404" t="s">
        <v>1051</v>
      </c>
      <c r="J108" s="404" t="s">
        <v>1051</v>
      </c>
      <c r="K108" s="404" t="s">
        <v>1051</v>
      </c>
      <c r="L108" s="404" t="s">
        <v>1051</v>
      </c>
      <c r="M108" s="404" t="s">
        <v>1051</v>
      </c>
      <c r="N108" s="404" t="s">
        <v>1051</v>
      </c>
      <c r="O108" s="404">
        <v>2</v>
      </c>
      <c r="P108" s="404">
        <v>4</v>
      </c>
      <c r="Q108" s="404">
        <v>6</v>
      </c>
      <c r="R108" s="404">
        <v>11</v>
      </c>
      <c r="S108" s="404">
        <v>2</v>
      </c>
      <c r="T108" s="404">
        <v>4</v>
      </c>
      <c r="U108" s="404">
        <v>9</v>
      </c>
      <c r="V108" s="404">
        <v>2</v>
      </c>
      <c r="W108" s="404">
        <v>7</v>
      </c>
      <c r="X108" s="404">
        <v>5</v>
      </c>
      <c r="Y108" s="404" t="s">
        <v>1051</v>
      </c>
    </row>
    <row r="109" spans="3:25">
      <c r="C109" s="68" t="str">
        <f>'G-1 All Habitats'!B108</f>
        <v>Rocky shore - Low energy littoral rock</v>
      </c>
      <c r="D109" s="404" t="s">
        <v>1051</v>
      </c>
      <c r="E109" s="404" t="s">
        <v>1051</v>
      </c>
      <c r="F109" s="404" t="s">
        <v>1051</v>
      </c>
      <c r="G109" s="404" t="s">
        <v>1051</v>
      </c>
      <c r="H109" s="404" t="s">
        <v>1051</v>
      </c>
      <c r="I109" s="404" t="s">
        <v>1051</v>
      </c>
      <c r="J109" s="404" t="s">
        <v>1051</v>
      </c>
      <c r="K109" s="404" t="s">
        <v>1051</v>
      </c>
      <c r="L109" s="404" t="s">
        <v>1051</v>
      </c>
      <c r="M109" s="404" t="s">
        <v>1051</v>
      </c>
      <c r="N109" s="404" t="s">
        <v>1051</v>
      </c>
      <c r="O109" s="404">
        <v>2</v>
      </c>
      <c r="P109" s="404">
        <v>4</v>
      </c>
      <c r="Q109" s="404">
        <v>6</v>
      </c>
      <c r="R109" s="404">
        <v>12</v>
      </c>
      <c r="S109" s="404">
        <v>2</v>
      </c>
      <c r="T109" s="404">
        <v>4</v>
      </c>
      <c r="U109" s="404">
        <v>10</v>
      </c>
      <c r="V109" s="404">
        <v>2</v>
      </c>
      <c r="W109" s="404">
        <v>8</v>
      </c>
      <c r="X109" s="404">
        <v>6</v>
      </c>
      <c r="Y109" s="404" t="s">
        <v>1051</v>
      </c>
    </row>
    <row r="110" spans="3:25">
      <c r="C110" s="68" t="str">
        <f>'G-1 All Habitats'!B109</f>
        <v>Rocky shore - Low energy littoral rock - on peat, clay or chalk</v>
      </c>
      <c r="D110" s="404" t="s">
        <v>1051</v>
      </c>
      <c r="E110" s="404" t="s">
        <v>1051</v>
      </c>
      <c r="F110" s="404" t="s">
        <v>1051</v>
      </c>
      <c r="G110" s="404" t="s">
        <v>1051</v>
      </c>
      <c r="H110" s="404" t="s">
        <v>1051</v>
      </c>
      <c r="I110" s="404" t="s">
        <v>1051</v>
      </c>
      <c r="J110" s="404" t="s">
        <v>1051</v>
      </c>
      <c r="K110" s="404" t="s">
        <v>1051</v>
      </c>
      <c r="L110" s="404" t="s">
        <v>1051</v>
      </c>
      <c r="M110" s="404" t="s">
        <v>1051</v>
      </c>
      <c r="N110" s="404" t="s">
        <v>1051</v>
      </c>
      <c r="O110" s="404">
        <v>2</v>
      </c>
      <c r="P110" s="404">
        <v>4</v>
      </c>
      <c r="Q110" s="404">
        <v>6</v>
      </c>
      <c r="R110" s="404">
        <v>12</v>
      </c>
      <c r="S110" s="404">
        <v>2</v>
      </c>
      <c r="T110" s="404">
        <v>4</v>
      </c>
      <c r="U110" s="404">
        <v>10</v>
      </c>
      <c r="V110" s="404">
        <v>2</v>
      </c>
      <c r="W110" s="404">
        <v>8</v>
      </c>
      <c r="X110" s="404">
        <v>6</v>
      </c>
      <c r="Y110" s="404" t="s">
        <v>1051</v>
      </c>
    </row>
    <row r="111" spans="3:25">
      <c r="C111" s="68" t="str">
        <f>'G-1 All Habitats'!B110</f>
        <v>Rocky shore - Features of littoral rock</v>
      </c>
      <c r="D111" s="404" t="s">
        <v>1051</v>
      </c>
      <c r="E111" s="404" t="s">
        <v>1051</v>
      </c>
      <c r="F111" s="404" t="s">
        <v>1051</v>
      </c>
      <c r="G111" s="404" t="s">
        <v>1051</v>
      </c>
      <c r="H111" s="404" t="s">
        <v>1051</v>
      </c>
      <c r="I111" s="404" t="s">
        <v>1051</v>
      </c>
      <c r="J111" s="404" t="s">
        <v>1051</v>
      </c>
      <c r="K111" s="404" t="s">
        <v>1051</v>
      </c>
      <c r="L111" s="404" t="s">
        <v>1051</v>
      </c>
      <c r="M111" s="404" t="s">
        <v>1051</v>
      </c>
      <c r="N111" s="404" t="s">
        <v>1051</v>
      </c>
      <c r="O111" s="404">
        <v>2</v>
      </c>
      <c r="P111" s="404">
        <v>4</v>
      </c>
      <c r="Q111" s="404">
        <v>6</v>
      </c>
      <c r="R111" s="404">
        <v>11</v>
      </c>
      <c r="S111" s="404">
        <v>2</v>
      </c>
      <c r="T111" s="404">
        <v>4</v>
      </c>
      <c r="U111" s="404">
        <v>9</v>
      </c>
      <c r="V111" s="404">
        <v>2</v>
      </c>
      <c r="W111" s="404">
        <v>7</v>
      </c>
      <c r="X111" s="404">
        <v>5</v>
      </c>
      <c r="Y111" s="404" t="s">
        <v>1051</v>
      </c>
    </row>
    <row r="112" spans="3:25">
      <c r="C112" s="68" t="str">
        <f>'G-1 All Habitats'!B111</f>
        <v>Rocky shore - Features of littoral rock - on peat, clay or chalk</v>
      </c>
      <c r="D112" s="404" t="s">
        <v>1051</v>
      </c>
      <c r="E112" s="404" t="s">
        <v>1051</v>
      </c>
      <c r="F112" s="404" t="s">
        <v>1051</v>
      </c>
      <c r="G112" s="404" t="s">
        <v>1051</v>
      </c>
      <c r="H112" s="404" t="s">
        <v>1051</v>
      </c>
      <c r="I112" s="404" t="s">
        <v>1051</v>
      </c>
      <c r="J112" s="404" t="s">
        <v>1051</v>
      </c>
      <c r="K112" s="404" t="s">
        <v>1051</v>
      </c>
      <c r="L112" s="404" t="s">
        <v>1051</v>
      </c>
      <c r="M112" s="404" t="s">
        <v>1051</v>
      </c>
      <c r="N112" s="404" t="s">
        <v>1051</v>
      </c>
      <c r="O112" s="404">
        <v>2</v>
      </c>
      <c r="P112" s="404">
        <v>4</v>
      </c>
      <c r="Q112" s="404">
        <v>6</v>
      </c>
      <c r="R112" s="404">
        <v>11</v>
      </c>
      <c r="S112" s="404">
        <v>2</v>
      </c>
      <c r="T112" s="404">
        <v>4</v>
      </c>
      <c r="U112" s="404">
        <v>9</v>
      </c>
      <c r="V112" s="404">
        <v>2</v>
      </c>
      <c r="W112" s="404">
        <v>7</v>
      </c>
      <c r="X112" s="404">
        <v>5</v>
      </c>
      <c r="Y112" s="404" t="s">
        <v>1051</v>
      </c>
    </row>
    <row r="113" spans="3:25">
      <c r="C113" s="68" t="str">
        <f>'G-1 All Habitats'!B114</f>
        <v>Intertidal sediment - Littoral coarse sediment</v>
      </c>
      <c r="D113" s="404" t="s">
        <v>1051</v>
      </c>
      <c r="E113" s="404" t="s">
        <v>1051</v>
      </c>
      <c r="F113" s="404" t="s">
        <v>1051</v>
      </c>
      <c r="G113" s="404" t="s">
        <v>1051</v>
      </c>
      <c r="H113" s="404" t="s">
        <v>1051</v>
      </c>
      <c r="I113" s="404" t="s">
        <v>1051</v>
      </c>
      <c r="J113" s="404" t="s">
        <v>1051</v>
      </c>
      <c r="K113" s="404" t="s">
        <v>1051</v>
      </c>
      <c r="L113" s="404" t="s">
        <v>1051</v>
      </c>
      <c r="M113" s="404" t="s">
        <v>1051</v>
      </c>
      <c r="N113" s="404" t="s">
        <v>1051</v>
      </c>
      <c r="O113" s="404">
        <v>1</v>
      </c>
      <c r="P113" s="404">
        <v>2</v>
      </c>
      <c r="Q113" s="404">
        <v>3</v>
      </c>
      <c r="R113" s="404">
        <v>4</v>
      </c>
      <c r="S113" s="404">
        <v>1</v>
      </c>
      <c r="T113" s="404">
        <v>2</v>
      </c>
      <c r="U113" s="404">
        <v>3</v>
      </c>
      <c r="V113" s="404">
        <v>1</v>
      </c>
      <c r="W113" s="404">
        <v>2</v>
      </c>
      <c r="X113" s="404">
        <v>1</v>
      </c>
      <c r="Y113" s="404" t="s">
        <v>1051</v>
      </c>
    </row>
    <row r="114" spans="3:25">
      <c r="C114" s="68" t="str">
        <f>'G-1 All Habitats'!B115</f>
        <v>Intertidal sediment - Littoral mud</v>
      </c>
      <c r="D114" s="404" t="s">
        <v>1051</v>
      </c>
      <c r="E114" s="404" t="s">
        <v>1051</v>
      </c>
      <c r="F114" s="404" t="s">
        <v>1051</v>
      </c>
      <c r="G114" s="404" t="s">
        <v>1051</v>
      </c>
      <c r="H114" s="404" t="s">
        <v>1051</v>
      </c>
      <c r="I114" s="404" t="s">
        <v>1051</v>
      </c>
      <c r="J114" s="404" t="s">
        <v>1051</v>
      </c>
      <c r="K114" s="404" t="s">
        <v>1051</v>
      </c>
      <c r="L114" s="404" t="s">
        <v>1051</v>
      </c>
      <c r="M114" s="404" t="s">
        <v>1051</v>
      </c>
      <c r="N114" s="404" t="s">
        <v>1051</v>
      </c>
      <c r="O114" s="404">
        <v>2</v>
      </c>
      <c r="P114" s="404">
        <v>4</v>
      </c>
      <c r="Q114" s="404">
        <v>6</v>
      </c>
      <c r="R114" s="404">
        <v>8</v>
      </c>
      <c r="S114" s="404">
        <v>2</v>
      </c>
      <c r="T114" s="404">
        <v>4</v>
      </c>
      <c r="U114" s="404">
        <v>6</v>
      </c>
      <c r="V114" s="404">
        <v>2</v>
      </c>
      <c r="W114" s="404">
        <v>4</v>
      </c>
      <c r="X114" s="404">
        <v>2</v>
      </c>
      <c r="Y114" s="404" t="s">
        <v>1051</v>
      </c>
    </row>
    <row r="115" spans="3:25">
      <c r="C115" s="68" t="str">
        <f>'G-1 All Habitats'!B116</f>
        <v>Intertidal sediment - Littoral mixed sediments</v>
      </c>
      <c r="D115" s="404" t="s">
        <v>1051</v>
      </c>
      <c r="E115" s="404" t="s">
        <v>1051</v>
      </c>
      <c r="F115" s="404" t="s">
        <v>1051</v>
      </c>
      <c r="G115" s="404" t="s">
        <v>1051</v>
      </c>
      <c r="H115" s="404" t="s">
        <v>1051</v>
      </c>
      <c r="I115" s="404" t="s">
        <v>1051</v>
      </c>
      <c r="J115" s="404" t="s">
        <v>1051</v>
      </c>
      <c r="K115" s="404" t="s">
        <v>1051</v>
      </c>
      <c r="L115" s="404" t="s">
        <v>1051</v>
      </c>
      <c r="M115" s="404" t="s">
        <v>1051</v>
      </c>
      <c r="N115" s="404" t="s">
        <v>1051</v>
      </c>
      <c r="O115" s="404">
        <v>1</v>
      </c>
      <c r="P115" s="404">
        <v>2</v>
      </c>
      <c r="Q115" s="404">
        <v>3</v>
      </c>
      <c r="R115" s="404">
        <v>4</v>
      </c>
      <c r="S115" s="404">
        <v>1</v>
      </c>
      <c r="T115" s="404">
        <v>2</v>
      </c>
      <c r="U115" s="404">
        <v>3</v>
      </c>
      <c r="V115" s="404">
        <v>1</v>
      </c>
      <c r="W115" s="404">
        <v>2</v>
      </c>
      <c r="X115" s="404">
        <v>1</v>
      </c>
      <c r="Y115" s="404" t="s">
        <v>1051</v>
      </c>
    </row>
    <row r="116" spans="3:25">
      <c r="C116" s="68" t="str">
        <f>'G-1 All Habitats'!B112</f>
        <v>Coastal saltmarsh - Saltmarshes and saline reedbeds</v>
      </c>
      <c r="D116" s="404" t="s">
        <v>1051</v>
      </c>
      <c r="E116" s="404" t="s">
        <v>1051</v>
      </c>
      <c r="F116" s="404" t="s">
        <v>1051</v>
      </c>
      <c r="G116" s="404" t="s">
        <v>1051</v>
      </c>
      <c r="H116" s="404" t="s">
        <v>1051</v>
      </c>
      <c r="I116" s="404" t="s">
        <v>1051</v>
      </c>
      <c r="J116" s="404" t="s">
        <v>1051</v>
      </c>
      <c r="K116" s="404" t="s">
        <v>1051</v>
      </c>
      <c r="L116" s="404" t="s">
        <v>1051</v>
      </c>
      <c r="M116" s="404" t="s">
        <v>1051</v>
      </c>
      <c r="N116" s="404" t="s">
        <v>1051</v>
      </c>
      <c r="O116" s="404">
        <v>2</v>
      </c>
      <c r="P116" s="404">
        <v>6</v>
      </c>
      <c r="Q116" s="404">
        <v>10</v>
      </c>
      <c r="R116" s="404">
        <v>20</v>
      </c>
      <c r="S116" s="404">
        <v>4</v>
      </c>
      <c r="T116" s="404">
        <v>8</v>
      </c>
      <c r="U116" s="404">
        <v>18</v>
      </c>
      <c r="V116" s="404">
        <v>4</v>
      </c>
      <c r="W116" s="404">
        <v>14</v>
      </c>
      <c r="X116" s="404">
        <v>10</v>
      </c>
      <c r="Y116" s="404" t="s">
        <v>1051</v>
      </c>
    </row>
    <row r="117" spans="3:25">
      <c r="C117" s="68" t="str">
        <f>'G-1 All Habitats'!B113</f>
        <v>Coastal saltmarsh - Artificial saltmarshes and saline reedbeds</v>
      </c>
      <c r="D117" s="404" t="s">
        <v>1051</v>
      </c>
      <c r="E117" s="404" t="s">
        <v>1051</v>
      </c>
      <c r="F117" s="404" t="s">
        <v>1051</v>
      </c>
      <c r="G117" s="404" t="s">
        <v>1051</v>
      </c>
      <c r="H117" s="404" t="s">
        <v>1051</v>
      </c>
      <c r="I117" s="404" t="s">
        <v>1051</v>
      </c>
      <c r="J117" s="404" t="s">
        <v>1051</v>
      </c>
      <c r="K117" s="404" t="s">
        <v>1051</v>
      </c>
      <c r="L117" s="404" t="s">
        <v>1051</v>
      </c>
      <c r="M117" s="404" t="s">
        <v>1051</v>
      </c>
      <c r="N117" s="404" t="s">
        <v>1051</v>
      </c>
      <c r="O117" s="404">
        <v>2</v>
      </c>
      <c r="P117" s="404">
        <v>6</v>
      </c>
      <c r="Q117" s="404">
        <v>10</v>
      </c>
      <c r="R117" s="404">
        <v>20</v>
      </c>
      <c r="S117" s="404">
        <v>4</v>
      </c>
      <c r="T117" s="404">
        <v>8</v>
      </c>
      <c r="U117" s="404">
        <v>18</v>
      </c>
      <c r="V117" s="404">
        <v>4</v>
      </c>
      <c r="W117" s="404">
        <v>14</v>
      </c>
      <c r="X117" s="404">
        <v>10</v>
      </c>
      <c r="Y117" s="404" t="s">
        <v>1051</v>
      </c>
    </row>
    <row r="118" spans="3:25">
      <c r="C118" s="68" t="str">
        <f>'G-1 All Habitats'!B117</f>
        <v>Intertidal sediment - Littoral seagrass</v>
      </c>
      <c r="D118" s="404" t="s">
        <v>1051</v>
      </c>
      <c r="E118" s="404" t="s">
        <v>1051</v>
      </c>
      <c r="F118" s="404" t="s">
        <v>1051</v>
      </c>
      <c r="G118" s="404" t="s">
        <v>1051</v>
      </c>
      <c r="H118" s="404" t="s">
        <v>1051</v>
      </c>
      <c r="I118" s="404" t="s">
        <v>1051</v>
      </c>
      <c r="J118" s="404" t="s">
        <v>1051</v>
      </c>
      <c r="K118" s="404" t="s">
        <v>1051</v>
      </c>
      <c r="L118" s="404" t="s">
        <v>1051</v>
      </c>
      <c r="M118" s="404" t="s">
        <v>1051</v>
      </c>
      <c r="N118" s="404" t="s">
        <v>1051</v>
      </c>
      <c r="O118" s="404">
        <v>3</v>
      </c>
      <c r="P118" s="404">
        <v>13</v>
      </c>
      <c r="Q118" s="404">
        <v>23</v>
      </c>
      <c r="R118" s="404" t="s">
        <v>1052</v>
      </c>
      <c r="S118" s="404">
        <v>10</v>
      </c>
      <c r="T118" s="404">
        <v>20</v>
      </c>
      <c r="U118" s="404">
        <v>30</v>
      </c>
      <c r="V118" s="404">
        <v>10</v>
      </c>
      <c r="W118" s="404">
        <v>20</v>
      </c>
      <c r="X118" s="404">
        <v>10</v>
      </c>
      <c r="Y118" s="404" t="s">
        <v>1051</v>
      </c>
    </row>
    <row r="119" spans="3:25">
      <c r="C119" s="68" t="str">
        <f>'G-1 All Habitats'!B118</f>
        <v>Intertidal sediment - Littoral seagrass on peat, clay or chalk</v>
      </c>
      <c r="D119" s="404" t="s">
        <v>1051</v>
      </c>
      <c r="E119" s="404" t="s">
        <v>1051</v>
      </c>
      <c r="F119" s="404" t="s">
        <v>1051</v>
      </c>
      <c r="G119" s="404" t="s">
        <v>1051</v>
      </c>
      <c r="H119" s="404" t="s">
        <v>1051</v>
      </c>
      <c r="I119" s="404" t="s">
        <v>1051</v>
      </c>
      <c r="J119" s="404" t="s">
        <v>1051</v>
      </c>
      <c r="K119" s="404" t="s">
        <v>1051</v>
      </c>
      <c r="L119" s="404" t="s">
        <v>1051</v>
      </c>
      <c r="M119" s="404" t="s">
        <v>1051</v>
      </c>
      <c r="N119" s="404" t="s">
        <v>1051</v>
      </c>
      <c r="O119" s="404">
        <v>2</v>
      </c>
      <c r="P119" s="404">
        <v>4</v>
      </c>
      <c r="Q119" s="404">
        <v>7</v>
      </c>
      <c r="R119" s="404" t="s">
        <v>1052</v>
      </c>
      <c r="S119" s="404">
        <v>2</v>
      </c>
      <c r="T119" s="404">
        <v>3</v>
      </c>
      <c r="U119" s="404">
        <v>8</v>
      </c>
      <c r="V119" s="404">
        <v>3</v>
      </c>
      <c r="W119" s="404">
        <v>6</v>
      </c>
      <c r="X119" s="404">
        <v>3</v>
      </c>
      <c r="Y119" s="404" t="s">
        <v>1051</v>
      </c>
    </row>
    <row r="120" spans="3:25">
      <c r="C120" s="68" t="str">
        <f>'G-1 All Habitats'!B119</f>
        <v>Intertidal sediment - Littoral biogenic reefs - Mussels</v>
      </c>
      <c r="D120" s="404" t="s">
        <v>1051</v>
      </c>
      <c r="E120" s="404" t="s">
        <v>1051</v>
      </c>
      <c r="F120" s="404" t="s">
        <v>1051</v>
      </c>
      <c r="G120" s="404" t="s">
        <v>1051</v>
      </c>
      <c r="H120" s="404" t="s">
        <v>1051</v>
      </c>
      <c r="I120" s="404" t="s">
        <v>1051</v>
      </c>
      <c r="J120" s="404" t="s">
        <v>1051</v>
      </c>
      <c r="K120" s="404" t="s">
        <v>1051</v>
      </c>
      <c r="L120" s="404" t="s">
        <v>1051</v>
      </c>
      <c r="M120" s="404" t="s">
        <v>1051</v>
      </c>
      <c r="N120" s="404" t="s">
        <v>1051</v>
      </c>
      <c r="O120" s="404">
        <v>2</v>
      </c>
      <c r="P120" s="404">
        <v>4</v>
      </c>
      <c r="Q120" s="404">
        <v>7</v>
      </c>
      <c r="R120" s="404">
        <v>10</v>
      </c>
      <c r="S120" s="404">
        <v>2</v>
      </c>
      <c r="T120" s="404">
        <v>3</v>
      </c>
      <c r="U120" s="404">
        <v>8</v>
      </c>
      <c r="V120" s="404">
        <v>3</v>
      </c>
      <c r="W120" s="404">
        <v>6</v>
      </c>
      <c r="X120" s="404">
        <v>3</v>
      </c>
      <c r="Y120" s="404" t="s">
        <v>1051</v>
      </c>
    </row>
    <row r="121" spans="3:25">
      <c r="C121" s="68" t="str">
        <f>'G-1 All Habitats'!B120</f>
        <v>Intertidal sediment - Littoral biogenic reefs - Sabellaria</v>
      </c>
      <c r="D121" s="404" t="s">
        <v>1051</v>
      </c>
      <c r="E121" s="404" t="s">
        <v>1051</v>
      </c>
      <c r="F121" s="404" t="s">
        <v>1051</v>
      </c>
      <c r="G121" s="404" t="s">
        <v>1051</v>
      </c>
      <c r="H121" s="404" t="s">
        <v>1051</v>
      </c>
      <c r="I121" s="404" t="s">
        <v>1051</v>
      </c>
      <c r="J121" s="404" t="s">
        <v>1051</v>
      </c>
      <c r="K121" s="404" t="s">
        <v>1051</v>
      </c>
      <c r="L121" s="404" t="s">
        <v>1051</v>
      </c>
      <c r="M121" s="404" t="s">
        <v>1051</v>
      </c>
      <c r="N121" s="404" t="s">
        <v>1051</v>
      </c>
      <c r="O121" s="404">
        <v>2</v>
      </c>
      <c r="P121" s="404">
        <v>4</v>
      </c>
      <c r="Q121" s="404">
        <v>7</v>
      </c>
      <c r="R121" s="404">
        <v>10</v>
      </c>
      <c r="S121" s="404">
        <v>2</v>
      </c>
      <c r="T121" s="404">
        <v>3</v>
      </c>
      <c r="U121" s="404">
        <v>8</v>
      </c>
      <c r="V121" s="404">
        <v>3</v>
      </c>
      <c r="W121" s="404">
        <v>6</v>
      </c>
      <c r="X121" s="404">
        <v>3</v>
      </c>
      <c r="Y121" s="404" t="s">
        <v>1051</v>
      </c>
    </row>
    <row r="122" spans="3:25">
      <c r="C122" s="68" t="str">
        <f>'G-1 All Habitats'!B121</f>
        <v>Intertidal sediment - Features of littoral sediment</v>
      </c>
      <c r="D122" s="404" t="s">
        <v>1051</v>
      </c>
      <c r="E122" s="404" t="s">
        <v>1051</v>
      </c>
      <c r="F122" s="404" t="s">
        <v>1051</v>
      </c>
      <c r="G122" s="404" t="s">
        <v>1051</v>
      </c>
      <c r="H122" s="404" t="s">
        <v>1051</v>
      </c>
      <c r="I122" s="404" t="s">
        <v>1051</v>
      </c>
      <c r="J122" s="404" t="s">
        <v>1051</v>
      </c>
      <c r="K122" s="404" t="s">
        <v>1051</v>
      </c>
      <c r="L122" s="404" t="s">
        <v>1051</v>
      </c>
      <c r="M122" s="404" t="s">
        <v>1051</v>
      </c>
      <c r="N122" s="404" t="s">
        <v>1051</v>
      </c>
      <c r="O122" s="404">
        <v>1</v>
      </c>
      <c r="P122" s="404">
        <v>2</v>
      </c>
      <c r="Q122" s="404">
        <v>3</v>
      </c>
      <c r="R122" s="404">
        <v>5</v>
      </c>
      <c r="S122" s="404">
        <v>1</v>
      </c>
      <c r="T122" s="404">
        <v>2</v>
      </c>
      <c r="U122" s="404">
        <v>4</v>
      </c>
      <c r="V122" s="404">
        <v>1</v>
      </c>
      <c r="W122" s="404">
        <v>3</v>
      </c>
      <c r="X122" s="404">
        <v>2</v>
      </c>
      <c r="Y122" s="404" t="s">
        <v>1051</v>
      </c>
    </row>
    <row r="123" spans="3:25">
      <c r="C123" s="68" t="str">
        <f>'G-1 All Habitats'!B122</f>
        <v>Intertidal sediment - Artificial littoral coarse sediment</v>
      </c>
      <c r="D123" s="404" t="s">
        <v>1051</v>
      </c>
      <c r="E123" s="404" t="s">
        <v>1051</v>
      </c>
      <c r="F123" s="404" t="s">
        <v>1051</v>
      </c>
      <c r="G123" s="404" t="s">
        <v>1051</v>
      </c>
      <c r="H123" s="404" t="s">
        <v>1051</v>
      </c>
      <c r="I123" s="404" t="s">
        <v>1051</v>
      </c>
      <c r="J123" s="404" t="s">
        <v>1051</v>
      </c>
      <c r="K123" s="404" t="s">
        <v>1051</v>
      </c>
      <c r="L123" s="404" t="s">
        <v>1051</v>
      </c>
      <c r="M123" s="404" t="s">
        <v>1051</v>
      </c>
      <c r="N123" s="404" t="s">
        <v>1051</v>
      </c>
      <c r="O123" s="404">
        <v>1</v>
      </c>
      <c r="P123" s="404">
        <v>2</v>
      </c>
      <c r="Q123" s="404">
        <v>3</v>
      </c>
      <c r="R123" s="404">
        <v>4</v>
      </c>
      <c r="S123" s="404">
        <v>1</v>
      </c>
      <c r="T123" s="404">
        <v>2</v>
      </c>
      <c r="U123" s="404">
        <v>3</v>
      </c>
      <c r="V123" s="404">
        <v>1</v>
      </c>
      <c r="W123" s="404">
        <v>2</v>
      </c>
      <c r="X123" s="404">
        <v>1</v>
      </c>
      <c r="Y123" s="404" t="s">
        <v>1051</v>
      </c>
    </row>
    <row r="124" spans="3:25">
      <c r="C124" s="68" t="str">
        <f>'G-1 All Habitats'!B123</f>
        <v>Intertidal sediment - Artificial littoral mud</v>
      </c>
      <c r="D124" s="404" t="s">
        <v>1051</v>
      </c>
      <c r="E124" s="404" t="s">
        <v>1051</v>
      </c>
      <c r="F124" s="404" t="s">
        <v>1051</v>
      </c>
      <c r="G124" s="404" t="s">
        <v>1051</v>
      </c>
      <c r="H124" s="404" t="s">
        <v>1051</v>
      </c>
      <c r="I124" s="404" t="s">
        <v>1051</v>
      </c>
      <c r="J124" s="404" t="s">
        <v>1051</v>
      </c>
      <c r="K124" s="404" t="s">
        <v>1051</v>
      </c>
      <c r="L124" s="404" t="s">
        <v>1051</v>
      </c>
      <c r="M124" s="404" t="s">
        <v>1051</v>
      </c>
      <c r="N124" s="404" t="s">
        <v>1051</v>
      </c>
      <c r="O124" s="404">
        <v>2</v>
      </c>
      <c r="P124" s="404">
        <v>4</v>
      </c>
      <c r="Q124" s="404">
        <v>6</v>
      </c>
      <c r="R124" s="404">
        <v>8</v>
      </c>
      <c r="S124" s="404">
        <v>2</v>
      </c>
      <c r="T124" s="404">
        <v>4</v>
      </c>
      <c r="U124" s="404">
        <v>6</v>
      </c>
      <c r="V124" s="404">
        <v>2</v>
      </c>
      <c r="W124" s="404">
        <v>4</v>
      </c>
      <c r="X124" s="404">
        <v>2</v>
      </c>
      <c r="Y124" s="404" t="s">
        <v>1051</v>
      </c>
    </row>
    <row r="125" spans="3:25">
      <c r="C125" s="68" t="str">
        <f>'G-1 All Habitats'!B124</f>
        <v>Intertidal sediment - Artificial littoral sand</v>
      </c>
      <c r="D125" s="404" t="s">
        <v>1051</v>
      </c>
      <c r="E125" s="404" t="s">
        <v>1051</v>
      </c>
      <c r="F125" s="404" t="s">
        <v>1051</v>
      </c>
      <c r="G125" s="404" t="s">
        <v>1051</v>
      </c>
      <c r="H125" s="404" t="s">
        <v>1051</v>
      </c>
      <c r="I125" s="404" t="s">
        <v>1051</v>
      </c>
      <c r="J125" s="404" t="s">
        <v>1051</v>
      </c>
      <c r="K125" s="404" t="s">
        <v>1051</v>
      </c>
      <c r="L125" s="404" t="s">
        <v>1051</v>
      </c>
      <c r="M125" s="404" t="s">
        <v>1051</v>
      </c>
      <c r="N125" s="404" t="s">
        <v>1051</v>
      </c>
      <c r="O125" s="404">
        <v>2</v>
      </c>
      <c r="P125" s="404">
        <v>3</v>
      </c>
      <c r="Q125" s="404">
        <v>4</v>
      </c>
      <c r="R125" s="404">
        <v>6</v>
      </c>
      <c r="S125" s="404">
        <v>1</v>
      </c>
      <c r="T125" s="404">
        <v>2</v>
      </c>
      <c r="U125" s="404">
        <v>4</v>
      </c>
      <c r="V125" s="404">
        <v>1</v>
      </c>
      <c r="W125" s="404">
        <v>3</v>
      </c>
      <c r="X125" s="404">
        <v>2</v>
      </c>
      <c r="Y125" s="404" t="s">
        <v>1051</v>
      </c>
    </row>
    <row r="126" spans="3:25">
      <c r="C126" s="68" t="str">
        <f>'G-1 All Habitats'!B125</f>
        <v>Intertidal sediment - Artificial littoral muddy sand</v>
      </c>
      <c r="D126" s="404" t="s">
        <v>1051</v>
      </c>
      <c r="E126" s="404" t="s">
        <v>1051</v>
      </c>
      <c r="F126" s="404" t="s">
        <v>1051</v>
      </c>
      <c r="G126" s="404" t="s">
        <v>1051</v>
      </c>
      <c r="H126" s="404" t="s">
        <v>1051</v>
      </c>
      <c r="I126" s="404" t="s">
        <v>1051</v>
      </c>
      <c r="J126" s="404" t="s">
        <v>1051</v>
      </c>
      <c r="K126" s="404" t="s">
        <v>1051</v>
      </c>
      <c r="L126" s="404" t="s">
        <v>1051</v>
      </c>
      <c r="M126" s="404" t="s">
        <v>1051</v>
      </c>
      <c r="N126" s="404" t="s">
        <v>1051</v>
      </c>
      <c r="O126" s="404">
        <v>2</v>
      </c>
      <c r="P126" s="404">
        <v>4</v>
      </c>
      <c r="Q126" s="404">
        <v>6</v>
      </c>
      <c r="R126" s="404">
        <v>8</v>
      </c>
      <c r="S126" s="404">
        <v>2</v>
      </c>
      <c r="T126" s="404">
        <v>4</v>
      </c>
      <c r="U126" s="404">
        <v>6</v>
      </c>
      <c r="V126" s="404">
        <v>2</v>
      </c>
      <c r="W126" s="404">
        <v>4</v>
      </c>
      <c r="X126" s="404">
        <v>2</v>
      </c>
      <c r="Y126" s="404" t="s">
        <v>1051</v>
      </c>
    </row>
    <row r="127" spans="3:25">
      <c r="C127" s="68" t="str">
        <f>'G-1 All Habitats'!B126</f>
        <v>Intertidal sediment - Artificial littoral mixed sediments</v>
      </c>
      <c r="D127" s="404" t="s">
        <v>1051</v>
      </c>
      <c r="E127" s="404" t="s">
        <v>1051</v>
      </c>
      <c r="F127" s="404" t="s">
        <v>1051</v>
      </c>
      <c r="G127" s="404" t="s">
        <v>1051</v>
      </c>
      <c r="H127" s="404" t="s">
        <v>1051</v>
      </c>
      <c r="I127" s="404" t="s">
        <v>1051</v>
      </c>
      <c r="J127" s="404" t="s">
        <v>1051</v>
      </c>
      <c r="K127" s="404" t="s">
        <v>1051</v>
      </c>
      <c r="L127" s="404" t="s">
        <v>1051</v>
      </c>
      <c r="M127" s="404" t="s">
        <v>1051</v>
      </c>
      <c r="N127" s="404" t="s">
        <v>1051</v>
      </c>
      <c r="O127" s="404">
        <v>1</v>
      </c>
      <c r="P127" s="404">
        <v>2</v>
      </c>
      <c r="Q127" s="404">
        <v>3</v>
      </c>
      <c r="R127" s="404">
        <v>4</v>
      </c>
      <c r="S127" s="404">
        <v>1</v>
      </c>
      <c r="T127" s="404">
        <v>2</v>
      </c>
      <c r="U127" s="404">
        <v>3</v>
      </c>
      <c r="V127" s="404">
        <v>1</v>
      </c>
      <c r="W127" s="404">
        <v>2</v>
      </c>
      <c r="X127" s="404">
        <v>1</v>
      </c>
      <c r="Y127" s="404" t="s">
        <v>1051</v>
      </c>
    </row>
    <row r="128" spans="3:25">
      <c r="C128" s="68" t="str">
        <f>'G-1 All Habitats'!B127</f>
        <v>Intertidal sediment - Artificial littoral seagrass</v>
      </c>
      <c r="D128" s="404" t="s">
        <v>1051</v>
      </c>
      <c r="E128" s="404" t="s">
        <v>1051</v>
      </c>
      <c r="F128" s="404" t="s">
        <v>1051</v>
      </c>
      <c r="G128" s="404" t="s">
        <v>1051</v>
      </c>
      <c r="H128" s="404" t="s">
        <v>1051</v>
      </c>
      <c r="I128" s="404" t="s">
        <v>1051</v>
      </c>
      <c r="J128" s="404" t="s">
        <v>1051</v>
      </c>
      <c r="K128" s="404" t="s">
        <v>1051</v>
      </c>
      <c r="L128" s="404" t="s">
        <v>1051</v>
      </c>
      <c r="M128" s="404" t="s">
        <v>1051</v>
      </c>
      <c r="N128" s="404" t="s">
        <v>1051</v>
      </c>
      <c r="O128" s="404">
        <v>3</v>
      </c>
      <c r="P128" s="404">
        <v>13</v>
      </c>
      <c r="Q128" s="404">
        <v>23</v>
      </c>
      <c r="R128" s="404" t="s">
        <v>1052</v>
      </c>
      <c r="S128" s="404">
        <v>10</v>
      </c>
      <c r="T128" s="404">
        <v>20</v>
      </c>
      <c r="U128" s="404">
        <v>30</v>
      </c>
      <c r="V128" s="404">
        <v>10</v>
      </c>
      <c r="W128" s="404">
        <v>20</v>
      </c>
      <c r="X128" s="404">
        <v>10</v>
      </c>
      <c r="Y128" s="404" t="s">
        <v>1051</v>
      </c>
    </row>
    <row r="129" spans="3:25">
      <c r="C129" s="68" t="str">
        <f>'G-1 All Habitats'!B128</f>
        <v>Intertidal sediment - Artificial littoral biogenic reefs</v>
      </c>
      <c r="D129" s="404" t="s">
        <v>1051</v>
      </c>
      <c r="E129" s="404" t="s">
        <v>1051</v>
      </c>
      <c r="F129" s="404" t="s">
        <v>1051</v>
      </c>
      <c r="G129" s="404" t="s">
        <v>1051</v>
      </c>
      <c r="H129" s="404" t="s">
        <v>1051</v>
      </c>
      <c r="I129" s="404" t="s">
        <v>1051</v>
      </c>
      <c r="J129" s="404" t="s">
        <v>1051</v>
      </c>
      <c r="K129" s="404" t="s">
        <v>1051</v>
      </c>
      <c r="L129" s="404" t="s">
        <v>1051</v>
      </c>
      <c r="M129" s="404" t="s">
        <v>1051</v>
      </c>
      <c r="N129" s="404" t="s">
        <v>1051</v>
      </c>
      <c r="O129" s="404">
        <v>2</v>
      </c>
      <c r="P129" s="404">
        <v>4</v>
      </c>
      <c r="Q129" s="404">
        <v>7</v>
      </c>
      <c r="R129" s="404">
        <v>10</v>
      </c>
      <c r="S129" s="404">
        <v>2</v>
      </c>
      <c r="T129" s="404">
        <v>3</v>
      </c>
      <c r="U129" s="404">
        <v>8</v>
      </c>
      <c r="V129" s="404">
        <v>3</v>
      </c>
      <c r="W129" s="404">
        <v>6</v>
      </c>
      <c r="X129" s="404">
        <v>3</v>
      </c>
      <c r="Y129" s="404" t="s">
        <v>1051</v>
      </c>
    </row>
    <row r="130" spans="3:25">
      <c r="C130" s="68" t="str">
        <f>'G-1 All Habitats'!B129</f>
        <v>Intertidal sediment - Littoral sand</v>
      </c>
      <c r="D130" s="404" t="s">
        <v>1051</v>
      </c>
      <c r="E130" s="404" t="s">
        <v>1051</v>
      </c>
      <c r="F130" s="404" t="s">
        <v>1051</v>
      </c>
      <c r="G130" s="404" t="s">
        <v>1051</v>
      </c>
      <c r="H130" s="404" t="s">
        <v>1051</v>
      </c>
      <c r="I130" s="404" t="s">
        <v>1051</v>
      </c>
      <c r="J130" s="404" t="s">
        <v>1051</v>
      </c>
      <c r="K130" s="404" t="s">
        <v>1051</v>
      </c>
      <c r="L130" s="404" t="s">
        <v>1051</v>
      </c>
      <c r="M130" s="404" t="s">
        <v>1051</v>
      </c>
      <c r="N130" s="404" t="s">
        <v>1051</v>
      </c>
      <c r="O130" s="404">
        <v>2</v>
      </c>
      <c r="P130" s="404">
        <v>3</v>
      </c>
      <c r="Q130" s="404">
        <v>4</v>
      </c>
      <c r="R130" s="404">
        <v>6</v>
      </c>
      <c r="S130" s="404">
        <v>1</v>
      </c>
      <c r="T130" s="404">
        <v>2</v>
      </c>
      <c r="U130" s="404">
        <v>4</v>
      </c>
      <c r="V130" s="404">
        <v>1</v>
      </c>
      <c r="W130" s="404">
        <v>3</v>
      </c>
      <c r="X130" s="404">
        <v>2</v>
      </c>
      <c r="Y130" s="404" t="s">
        <v>1051</v>
      </c>
    </row>
    <row r="131" spans="3:25">
      <c r="C131" s="68" t="str">
        <f>'G-1 All Habitats'!B130</f>
        <v>Intertidal sediment - Littoral muddy sand</v>
      </c>
      <c r="D131" s="404" t="s">
        <v>1051</v>
      </c>
      <c r="E131" s="404" t="s">
        <v>1051</v>
      </c>
      <c r="F131" s="404" t="s">
        <v>1051</v>
      </c>
      <c r="G131" s="404" t="s">
        <v>1051</v>
      </c>
      <c r="H131" s="404" t="s">
        <v>1051</v>
      </c>
      <c r="I131" s="404" t="s">
        <v>1051</v>
      </c>
      <c r="J131" s="404" t="s">
        <v>1051</v>
      </c>
      <c r="K131" s="404" t="s">
        <v>1051</v>
      </c>
      <c r="L131" s="404" t="s">
        <v>1051</v>
      </c>
      <c r="M131" s="404" t="s">
        <v>1051</v>
      </c>
      <c r="N131" s="404" t="s">
        <v>1051</v>
      </c>
      <c r="O131" s="404">
        <v>2</v>
      </c>
      <c r="P131" s="404">
        <v>4</v>
      </c>
      <c r="Q131" s="404">
        <v>6</v>
      </c>
      <c r="R131" s="404">
        <v>8</v>
      </c>
      <c r="S131" s="404">
        <v>2</v>
      </c>
      <c r="T131" s="404">
        <v>4</v>
      </c>
      <c r="U131" s="404">
        <v>6</v>
      </c>
      <c r="V131" s="404">
        <v>2</v>
      </c>
      <c r="W131" s="404">
        <v>4</v>
      </c>
      <c r="X131" s="404">
        <v>2</v>
      </c>
      <c r="Y131" s="404" t="s">
        <v>1051</v>
      </c>
    </row>
    <row r="132" spans="3:25">
      <c r="C132" s="68" t="str">
        <f>'G-1 All Habitats'!B131</f>
        <v>Intertidal hard structures - Artificial hard structures</v>
      </c>
      <c r="D132" s="404" t="s">
        <v>1051</v>
      </c>
      <c r="E132" s="404" t="s">
        <v>1051</v>
      </c>
      <c r="F132" s="404" t="s">
        <v>1051</v>
      </c>
      <c r="G132" s="404" t="s">
        <v>1051</v>
      </c>
      <c r="H132" s="404" t="s">
        <v>1051</v>
      </c>
      <c r="I132" s="404" t="s">
        <v>1051</v>
      </c>
      <c r="J132" s="404" t="s">
        <v>1051</v>
      </c>
      <c r="K132" s="404" t="s">
        <v>1051</v>
      </c>
      <c r="L132" s="404" t="s">
        <v>1051</v>
      </c>
      <c r="M132" s="404" t="s">
        <v>1051</v>
      </c>
      <c r="N132" s="404" t="s">
        <v>1051</v>
      </c>
      <c r="O132" s="404">
        <v>6</v>
      </c>
      <c r="P132" s="404">
        <v>4</v>
      </c>
      <c r="Q132" s="404">
        <v>10</v>
      </c>
      <c r="R132" s="404">
        <v>2</v>
      </c>
      <c r="S132" s="404">
        <v>2</v>
      </c>
      <c r="T132" s="404">
        <v>8</v>
      </c>
      <c r="U132" s="404">
        <v>6</v>
      </c>
      <c r="V132" s="404">
        <v>2</v>
      </c>
      <c r="W132" s="404">
        <v>12</v>
      </c>
      <c r="X132" s="404">
        <v>4</v>
      </c>
      <c r="Y132" s="404" t="s">
        <v>1051</v>
      </c>
    </row>
    <row r="133" spans="3:25">
      <c r="C133" s="68" t="str">
        <f>'G-1 All Habitats'!B132</f>
        <v>Intertidal hard structures - Artificial features of hard structures</v>
      </c>
      <c r="D133" s="404" t="s">
        <v>1051</v>
      </c>
      <c r="E133" s="404" t="s">
        <v>1051</v>
      </c>
      <c r="F133" s="404" t="s">
        <v>1051</v>
      </c>
      <c r="G133" s="404" t="s">
        <v>1051</v>
      </c>
      <c r="H133" s="404" t="s">
        <v>1051</v>
      </c>
      <c r="I133" s="404" t="s">
        <v>1051</v>
      </c>
      <c r="J133" s="404" t="s">
        <v>1051</v>
      </c>
      <c r="K133" s="404" t="s">
        <v>1051</v>
      </c>
      <c r="L133" s="404" t="s">
        <v>1051</v>
      </c>
      <c r="M133" s="404" t="s">
        <v>1051</v>
      </c>
      <c r="N133" s="404" t="s">
        <v>1051</v>
      </c>
      <c r="O133" s="404">
        <v>5</v>
      </c>
      <c r="P133" s="404">
        <v>4</v>
      </c>
      <c r="Q133" s="404">
        <v>9</v>
      </c>
      <c r="R133" s="404">
        <v>2</v>
      </c>
      <c r="S133" s="404">
        <v>2</v>
      </c>
      <c r="T133" s="404">
        <v>7</v>
      </c>
      <c r="U133" s="404">
        <v>6</v>
      </c>
      <c r="V133" s="404">
        <v>2</v>
      </c>
      <c r="W133" s="404">
        <v>11</v>
      </c>
      <c r="X133" s="404">
        <v>4</v>
      </c>
      <c r="Y133" s="404" t="s">
        <v>1051</v>
      </c>
    </row>
    <row r="134" spans="3:25">
      <c r="C134" s="68" t="str">
        <f>'G-1 All Habitats'!B133</f>
        <v>Intertidal hard structures - Artificial hard structures with integrated greening of grey infrastructure (IGGI)</v>
      </c>
      <c r="D134" s="404" t="s">
        <v>1051</v>
      </c>
      <c r="E134" s="404" t="s">
        <v>1051</v>
      </c>
      <c r="F134" s="404" t="s">
        <v>1051</v>
      </c>
      <c r="G134" s="404" t="s">
        <v>1051</v>
      </c>
      <c r="H134" s="404" t="s">
        <v>1051</v>
      </c>
      <c r="I134" s="404" t="s">
        <v>1051</v>
      </c>
      <c r="J134" s="404" t="s">
        <v>1051</v>
      </c>
      <c r="K134" s="404" t="s">
        <v>1051</v>
      </c>
      <c r="L134" s="404" t="s">
        <v>1051</v>
      </c>
      <c r="M134" s="404" t="s">
        <v>1051</v>
      </c>
      <c r="N134" s="404" t="s">
        <v>1051</v>
      </c>
      <c r="O134" s="404">
        <v>5</v>
      </c>
      <c r="P134" s="404">
        <v>4</v>
      </c>
      <c r="Q134" s="404">
        <v>9</v>
      </c>
      <c r="R134" s="404">
        <v>2</v>
      </c>
      <c r="S134" s="404">
        <v>2</v>
      </c>
      <c r="T134" s="404">
        <v>7</v>
      </c>
      <c r="U134" s="404">
        <v>6</v>
      </c>
      <c r="V134" s="404">
        <v>2</v>
      </c>
      <c r="W134" s="404">
        <v>11</v>
      </c>
      <c r="X134" s="404">
        <v>4</v>
      </c>
      <c r="Y134" s="404" t="s">
        <v>1051</v>
      </c>
    </row>
    <row r="135" spans="3:25">
      <c r="C135" s="68" t="str">
        <f>'G-1 All Habitats'!B134</f>
        <v>Watercourse footprint - Watercourse footprint</v>
      </c>
      <c r="D135" s="404" t="s">
        <v>1051</v>
      </c>
      <c r="E135" s="404" t="s">
        <v>1051</v>
      </c>
      <c r="F135" s="404" t="s">
        <v>1051</v>
      </c>
      <c r="G135" s="404" t="s">
        <v>1051</v>
      </c>
      <c r="H135" s="404" t="s">
        <v>1051</v>
      </c>
      <c r="I135" s="404" t="s">
        <v>1051</v>
      </c>
      <c r="J135" s="404" t="s">
        <v>1051</v>
      </c>
      <c r="K135" s="404" t="s">
        <v>1051</v>
      </c>
      <c r="L135" s="404" t="s">
        <v>1051</v>
      </c>
      <c r="M135" s="404" t="s">
        <v>1051</v>
      </c>
      <c r="N135" s="404" t="s">
        <v>1051</v>
      </c>
      <c r="O135" s="404" t="s">
        <v>1051</v>
      </c>
      <c r="P135" s="404" t="s">
        <v>1051</v>
      </c>
      <c r="Q135" s="404" t="s">
        <v>1051</v>
      </c>
      <c r="R135" s="404" t="s">
        <v>1051</v>
      </c>
      <c r="S135" s="404" t="s">
        <v>1051</v>
      </c>
      <c r="T135" s="404" t="s">
        <v>1051</v>
      </c>
      <c r="U135" s="404" t="s">
        <v>1051</v>
      </c>
      <c r="V135" s="404" t="s">
        <v>1051</v>
      </c>
      <c r="W135" s="404" t="s">
        <v>1051</v>
      </c>
      <c r="X135" s="404" t="s">
        <v>1051</v>
      </c>
      <c r="Y135" s="404" t="s">
        <v>1051</v>
      </c>
    </row>
    <row r="136" spans="3:25">
      <c r="C136" s="68" t="str">
        <f>'G-1 All Habitats'!B81</f>
        <v>Individual trees - Rural tree</v>
      </c>
      <c r="D136" s="404" t="s">
        <v>1051</v>
      </c>
      <c r="E136" s="404" t="s">
        <v>1051</v>
      </c>
      <c r="F136" s="404" t="s">
        <v>1051</v>
      </c>
      <c r="G136" s="404" t="s">
        <v>1051</v>
      </c>
      <c r="H136" s="404" t="s">
        <v>1051</v>
      </c>
      <c r="I136" s="404" t="s">
        <v>1051</v>
      </c>
      <c r="J136" s="404" t="s">
        <v>1051</v>
      </c>
      <c r="K136" s="404" t="s">
        <v>1051</v>
      </c>
      <c r="L136" s="404" t="s">
        <v>1051</v>
      </c>
      <c r="M136" s="404" t="s">
        <v>1051</v>
      </c>
      <c r="N136" s="404" t="s">
        <v>1051</v>
      </c>
      <c r="O136" s="404">
        <v>8</v>
      </c>
      <c r="P136" s="404">
        <v>16</v>
      </c>
      <c r="Q136" s="404">
        <v>24</v>
      </c>
      <c r="R136" s="404" t="s">
        <v>1052</v>
      </c>
      <c r="S136" s="404">
        <v>8</v>
      </c>
      <c r="T136" s="404">
        <v>16</v>
      </c>
      <c r="U136" s="404">
        <v>24</v>
      </c>
      <c r="V136" s="404">
        <v>8</v>
      </c>
      <c r="W136" s="404">
        <v>16</v>
      </c>
      <c r="X136" s="404">
        <v>8</v>
      </c>
      <c r="Y136" s="404" t="s">
        <v>1051</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c r="A1" s="1648"/>
      <c r="B1" s="1651"/>
      <c r="C1" s="1655" t="s">
        <v>270</v>
      </c>
      <c r="D1" s="1656"/>
      <c r="E1" s="1652" t="s">
        <v>1079</v>
      </c>
      <c r="F1" s="1653"/>
      <c r="G1" s="1653"/>
      <c r="H1" s="1653"/>
      <c r="I1" s="1654"/>
      <c r="J1" s="1652" t="s">
        <v>1080</v>
      </c>
      <c r="K1" s="1653"/>
      <c r="L1" s="1653"/>
      <c r="M1" s="1653"/>
      <c r="N1" s="1653"/>
      <c r="O1" s="1653"/>
      <c r="P1" s="1653"/>
      <c r="Q1" s="1653"/>
      <c r="R1" s="1654"/>
      <c r="S1" s="1652" t="s">
        <v>1081</v>
      </c>
      <c r="T1" s="1653"/>
      <c r="U1" s="1653"/>
      <c r="V1" s="1653"/>
      <c r="W1" s="1653"/>
      <c r="X1" s="1653"/>
      <c r="Y1" s="1653"/>
      <c r="Z1" s="1653"/>
      <c r="AA1" s="1653"/>
      <c r="AB1" s="1653"/>
      <c r="AC1" s="1653"/>
      <c r="AD1" s="1653"/>
      <c r="AE1" s="1654"/>
      <c r="AF1" s="1655" t="s">
        <v>380</v>
      </c>
      <c r="AG1" s="1656"/>
      <c r="AH1" s="1534" t="s">
        <v>1082</v>
      </c>
      <c r="AJ1" s="1655" t="s">
        <v>358</v>
      </c>
      <c r="AK1" s="1656"/>
      <c r="AM1" s="141" t="s">
        <v>1083</v>
      </c>
      <c r="AN1" s="1659" t="s">
        <v>1084</v>
      </c>
      <c r="AO1" s="1659"/>
      <c r="AP1" s="1659"/>
      <c r="AQ1" s="1659"/>
      <c r="AR1" s="1659"/>
      <c r="AS1" s="1659"/>
      <c r="AT1" s="1659"/>
      <c r="AU1" s="1659"/>
      <c r="AV1" s="1659"/>
      <c r="AW1" s="1659"/>
      <c r="AX1" s="1659"/>
      <c r="AY1" s="1659"/>
      <c r="AZ1" s="1659"/>
      <c r="BK1" s="1657" t="s">
        <v>1085</v>
      </c>
      <c r="BL1" s="1658"/>
    </row>
    <row r="2" spans="1:64" ht="182.25" customHeight="1" thickBot="1">
      <c r="B2" s="143" t="s">
        <v>936</v>
      </c>
      <c r="C2" s="140" t="s">
        <v>449</v>
      </c>
      <c r="D2" s="144" t="s">
        <v>450</v>
      </c>
      <c r="E2" s="140" t="s">
        <v>329</v>
      </c>
      <c r="F2" s="145"/>
      <c r="G2" s="145" t="s">
        <v>67</v>
      </c>
      <c r="H2" s="145"/>
      <c r="I2" s="144" t="s">
        <v>68</v>
      </c>
      <c r="J2" s="140"/>
      <c r="K2" s="145" t="s">
        <v>1069</v>
      </c>
      <c r="L2" s="145"/>
      <c r="M2" s="145" t="s">
        <v>1071</v>
      </c>
      <c r="N2" s="145"/>
      <c r="O2" s="145"/>
      <c r="P2" s="145"/>
      <c r="Q2" s="144" t="s">
        <v>1076</v>
      </c>
      <c r="R2" s="146"/>
      <c r="S2" s="147" t="s">
        <v>167</v>
      </c>
      <c r="T2" s="148" t="s">
        <v>168</v>
      </c>
      <c r="U2" s="148" t="s">
        <v>169</v>
      </c>
      <c r="V2" s="148" t="s">
        <v>170</v>
      </c>
      <c r="W2" s="148" t="s">
        <v>171</v>
      </c>
      <c r="X2" s="148" t="s">
        <v>172</v>
      </c>
      <c r="Y2" s="148" t="s">
        <v>173</v>
      </c>
      <c r="Z2" s="148" t="s">
        <v>174</v>
      </c>
      <c r="AA2" s="148" t="s">
        <v>175</v>
      </c>
      <c r="AB2" s="148" t="s">
        <v>176</v>
      </c>
      <c r="AC2" s="148" t="s">
        <v>177</v>
      </c>
      <c r="AD2" s="148" t="s">
        <v>1086</v>
      </c>
      <c r="AE2" s="148" t="s">
        <v>179</v>
      </c>
      <c r="AF2" s="140" t="s">
        <v>452</v>
      </c>
      <c r="AG2" s="144" t="s">
        <v>453</v>
      </c>
      <c r="AH2" s="1567"/>
      <c r="AJ2" s="140" t="s">
        <v>1087</v>
      </c>
      <c r="AK2" s="144" t="s">
        <v>1088</v>
      </c>
      <c r="AM2" s="149" t="s">
        <v>1089</v>
      </c>
      <c r="AN2" s="132" t="s">
        <v>167</v>
      </c>
      <c r="AO2" s="132" t="s">
        <v>168</v>
      </c>
      <c r="AP2" s="132" t="s">
        <v>169</v>
      </c>
      <c r="AQ2" s="132" t="s">
        <v>170</v>
      </c>
      <c r="AR2" s="132" t="s">
        <v>171</v>
      </c>
      <c r="AS2" s="132" t="s">
        <v>172</v>
      </c>
      <c r="AT2" s="132" t="s">
        <v>173</v>
      </c>
      <c r="AU2" s="132" t="s">
        <v>174</v>
      </c>
      <c r="AV2" s="132" t="s">
        <v>175</v>
      </c>
      <c r="AW2" s="132" t="s">
        <v>176</v>
      </c>
      <c r="AX2" s="132" t="s">
        <v>177</v>
      </c>
      <c r="AY2" s="132" t="s">
        <v>1086</v>
      </c>
      <c r="AZ2" s="132" t="s">
        <v>179</v>
      </c>
      <c r="BK2" s="69" t="s">
        <v>1090</v>
      </c>
      <c r="BL2" s="69" t="s">
        <v>1091</v>
      </c>
    </row>
    <row r="3" spans="1:64" ht="30.75" customHeight="1" thickBot="1">
      <c r="A3" s="150"/>
      <c r="B3" s="480" t="s">
        <v>167</v>
      </c>
      <c r="C3" s="443" t="s">
        <v>468</v>
      </c>
      <c r="D3" s="444">
        <v>8</v>
      </c>
      <c r="E3" s="445">
        <v>1</v>
      </c>
      <c r="F3" s="446"/>
      <c r="G3" s="446">
        <v>10</v>
      </c>
      <c r="H3" s="446"/>
      <c r="I3" s="444">
        <v>20</v>
      </c>
      <c r="J3" s="445"/>
      <c r="K3" s="446">
        <v>6</v>
      </c>
      <c r="L3" s="446"/>
      <c r="M3" s="446">
        <v>10</v>
      </c>
      <c r="N3" s="446"/>
      <c r="O3" s="446"/>
      <c r="P3" s="446"/>
      <c r="Q3" s="444">
        <v>4</v>
      </c>
      <c r="R3" s="447"/>
      <c r="S3" s="448" t="s">
        <v>1092</v>
      </c>
      <c r="T3" s="449" t="s">
        <v>1092</v>
      </c>
      <c r="U3" s="449" t="s">
        <v>1092</v>
      </c>
      <c r="V3" s="449" t="s">
        <v>1092</v>
      </c>
      <c r="W3" s="449" t="s">
        <v>1092</v>
      </c>
      <c r="X3" s="449" t="s">
        <v>1092</v>
      </c>
      <c r="Y3" s="449" t="s">
        <v>1092</v>
      </c>
      <c r="Z3" s="449" t="s">
        <v>1092</v>
      </c>
      <c r="AA3" s="449" t="s">
        <v>1092</v>
      </c>
      <c r="AB3" s="449" t="s">
        <v>1092</v>
      </c>
      <c r="AC3" s="449" t="s">
        <v>1092</v>
      </c>
      <c r="AD3" s="449" t="s">
        <v>1092</v>
      </c>
      <c r="AE3" s="450" t="s">
        <v>1092</v>
      </c>
      <c r="AF3" s="451" t="s">
        <v>216</v>
      </c>
      <c r="AG3" s="452" t="s">
        <v>216</v>
      </c>
      <c r="AH3" s="453" t="s">
        <v>1093</v>
      </c>
      <c r="AJ3" s="152" t="s">
        <v>68</v>
      </c>
      <c r="AK3" s="461">
        <v>3</v>
      </c>
      <c r="AM3" s="151" t="s">
        <v>167</v>
      </c>
      <c r="AN3" s="449" t="s">
        <v>1094</v>
      </c>
      <c r="AO3" s="464" t="s">
        <v>1095</v>
      </c>
      <c r="AP3" s="449" t="s">
        <v>1095</v>
      </c>
      <c r="AQ3" s="449" t="s">
        <v>1095</v>
      </c>
      <c r="AR3" s="449" t="s">
        <v>1095</v>
      </c>
      <c r="AS3" s="449" t="s">
        <v>1095</v>
      </c>
      <c r="AT3" s="449" t="s">
        <v>1095</v>
      </c>
      <c r="AU3" s="449" t="s">
        <v>1095</v>
      </c>
      <c r="AV3" s="449" t="s">
        <v>1095</v>
      </c>
      <c r="AW3" s="449" t="s">
        <v>1095</v>
      </c>
      <c r="AX3" s="449" t="s">
        <v>1095</v>
      </c>
      <c r="AY3" s="449" t="s">
        <v>1095</v>
      </c>
      <c r="AZ3" s="449" t="s">
        <v>1095</v>
      </c>
      <c r="BJ3" s="142" t="s">
        <v>1090</v>
      </c>
      <c r="BK3" s="153" t="s">
        <v>68</v>
      </c>
      <c r="BL3" s="153" t="s">
        <v>329</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1092</v>
      </c>
      <c r="U4" s="449" t="s">
        <v>1092</v>
      </c>
      <c r="V4" s="449" t="s">
        <v>1092</v>
      </c>
      <c r="W4" s="449" t="s">
        <v>1092</v>
      </c>
      <c r="X4" s="449" t="s">
        <v>1092</v>
      </c>
      <c r="Y4" s="449" t="s">
        <v>1092</v>
      </c>
      <c r="Z4" s="449" t="s">
        <v>1092</v>
      </c>
      <c r="AA4" s="449" t="s">
        <v>1092</v>
      </c>
      <c r="AB4" s="449" t="s">
        <v>1092</v>
      </c>
      <c r="AC4" s="449" t="s">
        <v>1092</v>
      </c>
      <c r="AD4" s="449" t="s">
        <v>1092</v>
      </c>
      <c r="AE4" s="450" t="s">
        <v>1092</v>
      </c>
      <c r="AF4" s="451" t="s">
        <v>216</v>
      </c>
      <c r="AG4" s="452" t="s">
        <v>216</v>
      </c>
      <c r="AH4" s="455" t="s">
        <v>241</v>
      </c>
      <c r="AJ4" s="67" t="s">
        <v>67</v>
      </c>
      <c r="AK4" s="462">
        <v>2</v>
      </c>
      <c r="AM4" s="151" t="s">
        <v>168</v>
      </c>
      <c r="AN4" s="449" t="s">
        <v>1096</v>
      </c>
      <c r="AO4" s="464" t="s">
        <v>1097</v>
      </c>
      <c r="AP4" s="449" t="s">
        <v>1097</v>
      </c>
      <c r="AQ4" s="449" t="s">
        <v>1097</v>
      </c>
      <c r="AR4" s="449" t="s">
        <v>1095</v>
      </c>
      <c r="AS4" s="449" t="s">
        <v>1095</v>
      </c>
      <c r="AT4" s="449" t="s">
        <v>1095</v>
      </c>
      <c r="AU4" s="449" t="s">
        <v>1095</v>
      </c>
      <c r="AV4" s="449" t="s">
        <v>1095</v>
      </c>
      <c r="AW4" s="449" t="s">
        <v>1095</v>
      </c>
      <c r="AX4" s="449" t="s">
        <v>1095</v>
      </c>
      <c r="AY4" s="449" t="s">
        <v>1095</v>
      </c>
      <c r="AZ4" s="449" t="s">
        <v>1095</v>
      </c>
      <c r="BJ4" s="142" t="s">
        <v>1090</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1092</v>
      </c>
      <c r="U5" s="449" t="s">
        <v>1092</v>
      </c>
      <c r="V5" s="449" t="s">
        <v>1092</v>
      </c>
      <c r="W5" s="449" t="s">
        <v>1092</v>
      </c>
      <c r="X5" s="449" t="s">
        <v>1092</v>
      </c>
      <c r="Y5" s="449" t="s">
        <v>1092</v>
      </c>
      <c r="Z5" s="449" t="s">
        <v>1092</v>
      </c>
      <c r="AA5" s="449" t="s">
        <v>1092</v>
      </c>
      <c r="AB5" s="449" t="s">
        <v>1092</v>
      </c>
      <c r="AC5" s="449" t="s">
        <v>1092</v>
      </c>
      <c r="AD5" s="449" t="s">
        <v>1092</v>
      </c>
      <c r="AE5" s="450" t="s">
        <v>1092</v>
      </c>
      <c r="AF5" s="451" t="s">
        <v>216</v>
      </c>
      <c r="AG5" s="452" t="s">
        <v>216</v>
      </c>
      <c r="AH5" s="455" t="s">
        <v>241</v>
      </c>
      <c r="AJ5" s="69" t="s">
        <v>329</v>
      </c>
      <c r="AK5" s="463">
        <v>1</v>
      </c>
      <c r="AM5" s="151" t="s">
        <v>169</v>
      </c>
      <c r="AN5" s="449" t="s">
        <v>1096</v>
      </c>
      <c r="AO5" s="464" t="s">
        <v>1097</v>
      </c>
      <c r="AP5" s="449" t="s">
        <v>1097</v>
      </c>
      <c r="AQ5" s="449" t="s">
        <v>1097</v>
      </c>
      <c r="AR5" s="449" t="s">
        <v>1095</v>
      </c>
      <c r="AS5" s="449" t="s">
        <v>1095</v>
      </c>
      <c r="AT5" s="449" t="s">
        <v>1095</v>
      </c>
      <c r="AU5" s="449" t="s">
        <v>1095</v>
      </c>
      <c r="AV5" s="449" t="s">
        <v>1095</v>
      </c>
      <c r="AW5" s="449" t="s">
        <v>1095</v>
      </c>
      <c r="AX5" s="449" t="s">
        <v>1095</v>
      </c>
      <c r="AY5" s="449" t="s">
        <v>1095</v>
      </c>
      <c r="AZ5" s="449" t="s">
        <v>1095</v>
      </c>
      <c r="BJ5" s="142" t="s">
        <v>1090</v>
      </c>
      <c r="BK5" s="153" t="s">
        <v>329</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1092</v>
      </c>
      <c r="U6" s="449" t="s">
        <v>1092</v>
      </c>
      <c r="V6" s="449" t="s">
        <v>1092</v>
      </c>
      <c r="W6" s="449" t="s">
        <v>1092</v>
      </c>
      <c r="X6" s="449" t="s">
        <v>1092</v>
      </c>
      <c r="Y6" s="449" t="s">
        <v>1092</v>
      </c>
      <c r="Z6" s="449" t="s">
        <v>1092</v>
      </c>
      <c r="AA6" s="449" t="s">
        <v>1092</v>
      </c>
      <c r="AB6" s="449" t="s">
        <v>1092</v>
      </c>
      <c r="AC6" s="449" t="s">
        <v>1092</v>
      </c>
      <c r="AD6" s="449" t="s">
        <v>1092</v>
      </c>
      <c r="AE6" s="450" t="s">
        <v>1092</v>
      </c>
      <c r="AF6" s="451" t="s">
        <v>216</v>
      </c>
      <c r="AG6" s="452" t="s">
        <v>216</v>
      </c>
      <c r="AH6" s="455" t="s">
        <v>241</v>
      </c>
      <c r="AM6" s="151" t="s">
        <v>170</v>
      </c>
      <c r="AN6" s="464" t="s">
        <v>1096</v>
      </c>
      <c r="AO6" s="464" t="s">
        <v>1097</v>
      </c>
      <c r="AP6" s="464" t="s">
        <v>1097</v>
      </c>
      <c r="AQ6" s="464" t="s">
        <v>1097</v>
      </c>
      <c r="AR6" s="464" t="s">
        <v>1095</v>
      </c>
      <c r="AS6" s="464" t="s">
        <v>1095</v>
      </c>
      <c r="AT6" s="464" t="s">
        <v>1095</v>
      </c>
      <c r="AU6" s="464" t="s">
        <v>1095</v>
      </c>
      <c r="AV6" s="464" t="s">
        <v>1095</v>
      </c>
      <c r="AW6" s="464" t="s">
        <v>1095</v>
      </c>
      <c r="AX6" s="464" t="s">
        <v>1095</v>
      </c>
      <c r="AY6" s="464" t="s">
        <v>1095</v>
      </c>
      <c r="AZ6" s="464" t="s">
        <v>1095</v>
      </c>
      <c r="BJ6" s="142" t="s">
        <v>1090</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1092</v>
      </c>
      <c r="X7" s="449" t="s">
        <v>1092</v>
      </c>
      <c r="Y7" s="449" t="s">
        <v>1092</v>
      </c>
      <c r="Z7" s="449" t="s">
        <v>1092</v>
      </c>
      <c r="AA7" s="449" t="s">
        <v>1092</v>
      </c>
      <c r="AB7" s="449" t="s">
        <v>1092</v>
      </c>
      <c r="AC7" s="449" t="s">
        <v>1092</v>
      </c>
      <c r="AD7" s="449" t="s">
        <v>1092</v>
      </c>
      <c r="AE7" s="450" t="s">
        <v>1092</v>
      </c>
      <c r="AF7" s="451" t="s">
        <v>216</v>
      </c>
      <c r="AG7" s="452" t="s">
        <v>216</v>
      </c>
      <c r="AH7" s="455" t="s">
        <v>1098</v>
      </c>
      <c r="AM7" s="151" t="s">
        <v>171</v>
      </c>
      <c r="AN7" s="464" t="s">
        <v>1099</v>
      </c>
      <c r="AO7" s="382" t="s">
        <v>1100</v>
      </c>
      <c r="AP7" s="382" t="s">
        <v>1100</v>
      </c>
      <c r="AQ7" s="382" t="s">
        <v>1100</v>
      </c>
      <c r="AR7" s="382" t="s">
        <v>1101</v>
      </c>
      <c r="AS7" s="382" t="s">
        <v>1101</v>
      </c>
      <c r="AT7" s="382" t="s">
        <v>1101</v>
      </c>
      <c r="AU7" s="382" t="s">
        <v>1102</v>
      </c>
      <c r="AV7" s="382" t="s">
        <v>1102</v>
      </c>
      <c r="AW7" s="464" t="s">
        <v>1095</v>
      </c>
      <c r="AX7" s="464" t="s">
        <v>1095</v>
      </c>
      <c r="AY7" s="464" t="s">
        <v>1095</v>
      </c>
      <c r="AZ7" s="464" t="s">
        <v>1095</v>
      </c>
      <c r="BJ7" s="142" t="s">
        <v>1090</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1092</v>
      </c>
      <c r="X8" s="449" t="s">
        <v>1092</v>
      </c>
      <c r="Y8" s="449" t="s">
        <v>1092</v>
      </c>
      <c r="Z8" s="449" t="s">
        <v>1092</v>
      </c>
      <c r="AA8" s="449" t="s">
        <v>1092</v>
      </c>
      <c r="AB8" s="449" t="s">
        <v>1092</v>
      </c>
      <c r="AC8" s="449" t="s">
        <v>1092</v>
      </c>
      <c r="AD8" s="449" t="s">
        <v>1092</v>
      </c>
      <c r="AE8" s="450" t="s">
        <v>1092</v>
      </c>
      <c r="AF8" s="451" t="s">
        <v>216</v>
      </c>
      <c r="AG8" s="452" t="s">
        <v>216</v>
      </c>
      <c r="AH8" s="455" t="s">
        <v>1098</v>
      </c>
      <c r="AM8" s="151" t="s">
        <v>172</v>
      </c>
      <c r="AN8" s="464" t="s">
        <v>1099</v>
      </c>
      <c r="AO8" s="382" t="s">
        <v>1100</v>
      </c>
      <c r="AP8" s="382" t="s">
        <v>1100</v>
      </c>
      <c r="AQ8" s="382" t="s">
        <v>1100</v>
      </c>
      <c r="AR8" s="382" t="s">
        <v>1101</v>
      </c>
      <c r="AS8" s="382" t="s">
        <v>1101</v>
      </c>
      <c r="AT8" s="382" t="s">
        <v>1101</v>
      </c>
      <c r="AU8" s="382" t="s">
        <v>1102</v>
      </c>
      <c r="AV8" s="382" t="s">
        <v>1102</v>
      </c>
      <c r="AW8" s="464" t="s">
        <v>1095</v>
      </c>
      <c r="AX8" s="464" t="s">
        <v>1095</v>
      </c>
      <c r="AY8" s="464" t="s">
        <v>1095</v>
      </c>
      <c r="AZ8" s="464" t="s">
        <v>1095</v>
      </c>
      <c r="BJ8" s="142" t="s">
        <v>1090</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1092</v>
      </c>
      <c r="X9" s="449" t="s">
        <v>1092</v>
      </c>
      <c r="Y9" s="449" t="s">
        <v>1092</v>
      </c>
      <c r="Z9" s="449" t="s">
        <v>1092</v>
      </c>
      <c r="AA9" s="449" t="s">
        <v>1092</v>
      </c>
      <c r="AB9" s="449" t="s">
        <v>1092</v>
      </c>
      <c r="AC9" s="449" t="s">
        <v>1092</v>
      </c>
      <c r="AD9" s="449" t="s">
        <v>1092</v>
      </c>
      <c r="AE9" s="450" t="s">
        <v>1092</v>
      </c>
      <c r="AF9" s="451" t="s">
        <v>216</v>
      </c>
      <c r="AG9" s="452" t="s">
        <v>216</v>
      </c>
      <c r="AH9" s="455" t="s">
        <v>1098</v>
      </c>
      <c r="AM9" s="151" t="s">
        <v>173</v>
      </c>
      <c r="AN9" s="464" t="s">
        <v>1099</v>
      </c>
      <c r="AO9" s="382" t="s">
        <v>1100</v>
      </c>
      <c r="AP9" s="382" t="s">
        <v>1100</v>
      </c>
      <c r="AQ9" s="382" t="s">
        <v>1100</v>
      </c>
      <c r="AR9" s="382" t="s">
        <v>1101</v>
      </c>
      <c r="AS9" s="382" t="s">
        <v>1101</v>
      </c>
      <c r="AT9" s="382" t="s">
        <v>1101</v>
      </c>
      <c r="AU9" s="382" t="s">
        <v>1101</v>
      </c>
      <c r="AV9" s="382" t="s">
        <v>1101</v>
      </c>
      <c r="AW9" s="464" t="s">
        <v>1095</v>
      </c>
      <c r="AX9" s="464" t="s">
        <v>1095</v>
      </c>
      <c r="AY9" s="464" t="s">
        <v>1095</v>
      </c>
      <c r="AZ9" s="464" t="s">
        <v>1095</v>
      </c>
      <c r="BJ9" s="142" t="s">
        <v>1090</v>
      </c>
    </row>
    <row r="10" spans="1:64" ht="45.75" thickBot="1">
      <c r="B10" s="481" t="s">
        <v>174</v>
      </c>
      <c r="C10" s="398" t="s">
        <v>70</v>
      </c>
      <c r="D10" s="452">
        <v>4</v>
      </c>
      <c r="E10" s="451">
        <v>5</v>
      </c>
      <c r="F10" s="404"/>
      <c r="G10" s="404">
        <v>20</v>
      </c>
      <c r="H10" s="404"/>
      <c r="I10" s="452" t="s">
        <v>1052</v>
      </c>
      <c r="J10" s="451"/>
      <c r="K10" s="404">
        <v>20</v>
      </c>
      <c r="L10" s="404"/>
      <c r="M10" s="404">
        <v>30</v>
      </c>
      <c r="N10" s="404"/>
      <c r="O10" s="404"/>
      <c r="P10" s="404"/>
      <c r="Q10" s="452">
        <v>10</v>
      </c>
      <c r="R10" s="454"/>
      <c r="S10" s="451">
        <v>12</v>
      </c>
      <c r="T10" s="404">
        <v>12</v>
      </c>
      <c r="U10" s="449" t="s">
        <v>1092</v>
      </c>
      <c r="V10" s="404">
        <v>12</v>
      </c>
      <c r="W10" s="449" t="s">
        <v>1092</v>
      </c>
      <c r="X10" s="449" t="s">
        <v>1092</v>
      </c>
      <c r="Y10" s="449" t="s">
        <v>1092</v>
      </c>
      <c r="Z10" s="449" t="s">
        <v>1092</v>
      </c>
      <c r="AA10" s="449" t="s">
        <v>1092</v>
      </c>
      <c r="AB10" s="449" t="s">
        <v>1092</v>
      </c>
      <c r="AC10" s="449" t="s">
        <v>1092</v>
      </c>
      <c r="AD10" s="449" t="s">
        <v>1092</v>
      </c>
      <c r="AE10" s="450" t="s">
        <v>1092</v>
      </c>
      <c r="AF10" s="451" t="s">
        <v>216</v>
      </c>
      <c r="AG10" s="452" t="s">
        <v>216</v>
      </c>
      <c r="AH10" s="455" t="s">
        <v>1098</v>
      </c>
      <c r="AM10" s="151" t="s">
        <v>174</v>
      </c>
      <c r="AN10" s="464" t="s">
        <v>1099</v>
      </c>
      <c r="AO10" s="382" t="s">
        <v>1100</v>
      </c>
      <c r="AP10" s="382" t="s">
        <v>1102</v>
      </c>
      <c r="AQ10" s="382" t="s">
        <v>1100</v>
      </c>
      <c r="AR10" s="382" t="s">
        <v>1102</v>
      </c>
      <c r="AS10" s="382" t="s">
        <v>1102</v>
      </c>
      <c r="AT10" s="382" t="s">
        <v>1101</v>
      </c>
      <c r="AU10" s="382" t="s">
        <v>1101</v>
      </c>
      <c r="AV10" s="382" t="s">
        <v>1101</v>
      </c>
      <c r="AW10" s="464" t="s">
        <v>1095</v>
      </c>
      <c r="AX10" s="464" t="s">
        <v>1095</v>
      </c>
      <c r="AY10" s="464" t="s">
        <v>1095</v>
      </c>
      <c r="AZ10" s="464" t="s">
        <v>1095</v>
      </c>
      <c r="BJ10" s="142" t="s">
        <v>1090</v>
      </c>
    </row>
    <row r="11" spans="1:64" ht="45.75" thickBot="1">
      <c r="B11" s="481" t="s">
        <v>175</v>
      </c>
      <c r="C11" s="398" t="s">
        <v>70</v>
      </c>
      <c r="D11" s="452">
        <v>4</v>
      </c>
      <c r="E11" s="451">
        <v>5</v>
      </c>
      <c r="F11" s="404"/>
      <c r="G11" s="404">
        <v>20</v>
      </c>
      <c r="H11" s="404"/>
      <c r="I11" s="452" t="s">
        <v>1052</v>
      </c>
      <c r="J11" s="451"/>
      <c r="K11" s="404">
        <v>20</v>
      </c>
      <c r="L11" s="404"/>
      <c r="M11" s="404">
        <v>30</v>
      </c>
      <c r="N11" s="404"/>
      <c r="O11" s="404"/>
      <c r="P11" s="404"/>
      <c r="Q11" s="452">
        <v>10</v>
      </c>
      <c r="R11" s="454"/>
      <c r="S11" s="451">
        <v>12</v>
      </c>
      <c r="T11" s="404">
        <v>12</v>
      </c>
      <c r="U11" s="449" t="s">
        <v>1092</v>
      </c>
      <c r="V11" s="404">
        <v>12</v>
      </c>
      <c r="W11" s="449" t="s">
        <v>1092</v>
      </c>
      <c r="X11" s="449" t="s">
        <v>1092</v>
      </c>
      <c r="Y11" s="449" t="s">
        <v>1092</v>
      </c>
      <c r="Z11" s="449" t="s">
        <v>1092</v>
      </c>
      <c r="AA11" s="449" t="s">
        <v>1092</v>
      </c>
      <c r="AB11" s="449" t="s">
        <v>1092</v>
      </c>
      <c r="AC11" s="449" t="s">
        <v>1092</v>
      </c>
      <c r="AD11" s="449" t="s">
        <v>1092</v>
      </c>
      <c r="AE11" s="450" t="s">
        <v>1092</v>
      </c>
      <c r="AF11" s="451" t="s">
        <v>216</v>
      </c>
      <c r="AG11" s="452" t="s">
        <v>216</v>
      </c>
      <c r="AH11" s="455" t="s">
        <v>1098</v>
      </c>
      <c r="AM11" s="151" t="s">
        <v>175</v>
      </c>
      <c r="AN11" s="464" t="s">
        <v>1099</v>
      </c>
      <c r="AO11" s="382" t="s">
        <v>1100</v>
      </c>
      <c r="AP11" s="382" t="s">
        <v>1102</v>
      </c>
      <c r="AQ11" s="382" t="s">
        <v>1100</v>
      </c>
      <c r="AR11" s="382" t="s">
        <v>1102</v>
      </c>
      <c r="AS11" s="382" t="s">
        <v>1102</v>
      </c>
      <c r="AT11" s="382" t="s">
        <v>1101</v>
      </c>
      <c r="AU11" s="382" t="s">
        <v>1101</v>
      </c>
      <c r="AV11" s="382" t="s">
        <v>1101</v>
      </c>
      <c r="AW11" s="464" t="s">
        <v>1095</v>
      </c>
      <c r="AX11" s="464" t="s">
        <v>1095</v>
      </c>
      <c r="AY11" s="464" t="s">
        <v>1095</v>
      </c>
      <c r="AZ11" s="464" t="s">
        <v>1095</v>
      </c>
      <c r="BJ11" s="142" t="s">
        <v>1090</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1092</v>
      </c>
      <c r="AA12" s="449" t="s">
        <v>1092</v>
      </c>
      <c r="AB12" s="449" t="s">
        <v>1092</v>
      </c>
      <c r="AC12" s="449" t="s">
        <v>1092</v>
      </c>
      <c r="AD12" s="449" t="s">
        <v>1092</v>
      </c>
      <c r="AE12" s="450" t="s">
        <v>1092</v>
      </c>
      <c r="AF12" s="451" t="s">
        <v>216</v>
      </c>
      <c r="AG12" s="452" t="s">
        <v>216</v>
      </c>
      <c r="AH12" s="455" t="s">
        <v>1098</v>
      </c>
      <c r="AM12" s="151" t="s">
        <v>176</v>
      </c>
      <c r="AN12" s="464" t="s">
        <v>1103</v>
      </c>
      <c r="AO12" s="464" t="s">
        <v>1104</v>
      </c>
      <c r="AP12" s="464" t="s">
        <v>1104</v>
      </c>
      <c r="AQ12" s="464" t="s">
        <v>1104</v>
      </c>
      <c r="AR12" s="464" t="s">
        <v>1105</v>
      </c>
      <c r="AS12" s="464" t="s">
        <v>1105</v>
      </c>
      <c r="AT12" s="464" t="s">
        <v>1105</v>
      </c>
      <c r="AU12" s="382" t="s">
        <v>1102</v>
      </c>
      <c r="AV12" s="382" t="s">
        <v>1102</v>
      </c>
      <c r="AW12" s="382" t="s">
        <v>1106</v>
      </c>
      <c r="AX12" s="382" t="s">
        <v>1102</v>
      </c>
      <c r="AY12" s="382" t="s">
        <v>1102</v>
      </c>
      <c r="AZ12" s="464" t="s">
        <v>1095</v>
      </c>
      <c r="BJ12" s="142" t="s">
        <v>1090</v>
      </c>
    </row>
    <row r="13" spans="1:64" ht="45.75" thickBot="1">
      <c r="B13" s="481" t="s">
        <v>177</v>
      </c>
      <c r="C13" s="398" t="s">
        <v>216</v>
      </c>
      <c r="D13" s="452">
        <v>2</v>
      </c>
      <c r="E13" s="451">
        <v>5</v>
      </c>
      <c r="F13" s="404"/>
      <c r="G13" s="404">
        <v>20</v>
      </c>
      <c r="H13" s="404"/>
      <c r="I13" s="452" t="s">
        <v>1052</v>
      </c>
      <c r="J13" s="451"/>
      <c r="K13" s="404">
        <v>20</v>
      </c>
      <c r="L13" s="404"/>
      <c r="M13" s="404">
        <v>30</v>
      </c>
      <c r="N13" s="404"/>
      <c r="O13" s="404"/>
      <c r="P13" s="404"/>
      <c r="Q13" s="452">
        <v>10</v>
      </c>
      <c r="R13" s="454"/>
      <c r="S13" s="451">
        <v>12</v>
      </c>
      <c r="T13" s="404">
        <v>12</v>
      </c>
      <c r="U13" s="449" t="s">
        <v>1092</v>
      </c>
      <c r="V13" s="404">
        <v>12</v>
      </c>
      <c r="W13" s="449" t="s">
        <v>1092</v>
      </c>
      <c r="X13" s="449" t="s">
        <v>1092</v>
      </c>
      <c r="Y13" s="404">
        <v>12</v>
      </c>
      <c r="Z13" s="449" t="s">
        <v>1092</v>
      </c>
      <c r="AA13" s="449" t="s">
        <v>1092</v>
      </c>
      <c r="AB13" s="449" t="s">
        <v>1092</v>
      </c>
      <c r="AC13" s="449" t="s">
        <v>1092</v>
      </c>
      <c r="AD13" s="449" t="s">
        <v>1092</v>
      </c>
      <c r="AE13" s="450" t="s">
        <v>1092</v>
      </c>
      <c r="AF13" s="451" t="s">
        <v>216</v>
      </c>
      <c r="AG13" s="452" t="s">
        <v>216</v>
      </c>
      <c r="AH13" s="455" t="s">
        <v>1098</v>
      </c>
      <c r="AM13" s="151" t="s">
        <v>177</v>
      </c>
      <c r="AN13" s="464" t="s">
        <v>1103</v>
      </c>
      <c r="AO13" s="464" t="s">
        <v>1104</v>
      </c>
      <c r="AP13" s="382" t="s">
        <v>1102</v>
      </c>
      <c r="AQ13" s="464" t="s">
        <v>1104</v>
      </c>
      <c r="AR13" s="382" t="s">
        <v>1102</v>
      </c>
      <c r="AS13" s="382" t="s">
        <v>1102</v>
      </c>
      <c r="AT13" s="464" t="s">
        <v>1105</v>
      </c>
      <c r="AU13" s="382" t="s">
        <v>1102</v>
      </c>
      <c r="AV13" s="382" t="s">
        <v>1102</v>
      </c>
      <c r="AW13" s="382" t="s">
        <v>1102</v>
      </c>
      <c r="AX13" s="382" t="s">
        <v>1106</v>
      </c>
      <c r="AY13" s="382" t="s">
        <v>1106</v>
      </c>
      <c r="AZ13" s="464" t="s">
        <v>1095</v>
      </c>
      <c r="BJ13" s="142" t="s">
        <v>1090</v>
      </c>
    </row>
    <row r="14" spans="1:64" ht="45.75" thickBot="1">
      <c r="B14" s="481" t="s">
        <v>1086</v>
      </c>
      <c r="C14" s="398" t="s">
        <v>216</v>
      </c>
      <c r="D14" s="452">
        <v>2</v>
      </c>
      <c r="E14" s="451">
        <v>5</v>
      </c>
      <c r="F14" s="404"/>
      <c r="G14" s="404">
        <v>20</v>
      </c>
      <c r="H14" s="404"/>
      <c r="I14" s="452" t="s">
        <v>1052</v>
      </c>
      <c r="J14" s="451"/>
      <c r="K14" s="404">
        <v>20</v>
      </c>
      <c r="L14" s="404"/>
      <c r="M14" s="404">
        <v>30</v>
      </c>
      <c r="N14" s="404"/>
      <c r="O14" s="404"/>
      <c r="P14" s="404"/>
      <c r="Q14" s="452">
        <v>10</v>
      </c>
      <c r="R14" s="454"/>
      <c r="S14" s="451">
        <v>12</v>
      </c>
      <c r="T14" s="404">
        <v>12</v>
      </c>
      <c r="U14" s="449" t="s">
        <v>1092</v>
      </c>
      <c r="V14" s="404">
        <v>12</v>
      </c>
      <c r="W14" s="449" t="s">
        <v>1092</v>
      </c>
      <c r="X14" s="449" t="s">
        <v>1092</v>
      </c>
      <c r="Y14" s="404">
        <v>12</v>
      </c>
      <c r="Z14" s="449" t="s">
        <v>1092</v>
      </c>
      <c r="AA14" s="449" t="s">
        <v>1092</v>
      </c>
      <c r="AB14" s="449" t="s">
        <v>1092</v>
      </c>
      <c r="AC14" s="449" t="s">
        <v>1092</v>
      </c>
      <c r="AD14" s="449" t="s">
        <v>1092</v>
      </c>
      <c r="AE14" s="450" t="s">
        <v>1092</v>
      </c>
      <c r="AF14" s="451" t="s">
        <v>216</v>
      </c>
      <c r="AG14" s="452" t="s">
        <v>216</v>
      </c>
      <c r="AH14" s="455" t="s">
        <v>1098</v>
      </c>
      <c r="AM14" s="151" t="s">
        <v>1086</v>
      </c>
      <c r="AN14" s="464" t="s">
        <v>1103</v>
      </c>
      <c r="AO14" s="464" t="s">
        <v>1104</v>
      </c>
      <c r="AP14" s="382" t="s">
        <v>1102</v>
      </c>
      <c r="AQ14" s="464" t="s">
        <v>1104</v>
      </c>
      <c r="AR14" s="382" t="s">
        <v>1102</v>
      </c>
      <c r="AS14" s="382" t="s">
        <v>1102</v>
      </c>
      <c r="AT14" s="464" t="s">
        <v>1105</v>
      </c>
      <c r="AU14" s="382" t="s">
        <v>1102</v>
      </c>
      <c r="AV14" s="382" t="s">
        <v>1102</v>
      </c>
      <c r="AW14" s="382" t="s">
        <v>1102</v>
      </c>
      <c r="AX14" s="382" t="s">
        <v>1106</v>
      </c>
      <c r="AY14" s="382" t="s">
        <v>1106</v>
      </c>
      <c r="AZ14" s="464" t="s">
        <v>1095</v>
      </c>
      <c r="BJ14" s="142" t="s">
        <v>1090</v>
      </c>
    </row>
    <row r="15" spans="1:64" ht="45.75" thickBot="1">
      <c r="B15" s="482" t="s">
        <v>179</v>
      </c>
      <c r="C15" s="364" t="s">
        <v>487</v>
      </c>
      <c r="D15" s="442">
        <v>1</v>
      </c>
      <c r="E15" s="456">
        <v>1</v>
      </c>
      <c r="F15" s="388"/>
      <c r="G15" s="388" t="s">
        <v>1040</v>
      </c>
      <c r="H15" s="388"/>
      <c r="I15" s="442" t="s">
        <v>1040</v>
      </c>
      <c r="J15" s="456"/>
      <c r="K15" s="388" t="s">
        <v>1040</v>
      </c>
      <c r="L15" s="388"/>
      <c r="M15" s="388" t="s">
        <v>1040</v>
      </c>
      <c r="N15" s="388"/>
      <c r="O15" s="388"/>
      <c r="P15" s="388"/>
      <c r="Q15" s="442" t="s">
        <v>1040</v>
      </c>
      <c r="R15" s="457"/>
      <c r="S15" s="458" t="s">
        <v>1092</v>
      </c>
      <c r="T15" s="459" t="s">
        <v>1092</v>
      </c>
      <c r="U15" s="459" t="s">
        <v>1092</v>
      </c>
      <c r="V15" s="459" t="s">
        <v>1092</v>
      </c>
      <c r="W15" s="459" t="s">
        <v>1092</v>
      </c>
      <c r="X15" s="459" t="s">
        <v>1092</v>
      </c>
      <c r="Y15" s="459" t="s">
        <v>1092</v>
      </c>
      <c r="Z15" s="459" t="s">
        <v>1092</v>
      </c>
      <c r="AA15" s="459" t="s">
        <v>1092</v>
      </c>
      <c r="AB15" s="459" t="s">
        <v>1092</v>
      </c>
      <c r="AC15" s="459" t="s">
        <v>1092</v>
      </c>
      <c r="AD15" s="459" t="s">
        <v>1092</v>
      </c>
      <c r="AE15" s="460" t="s">
        <v>1092</v>
      </c>
      <c r="AF15" s="456" t="s">
        <v>216</v>
      </c>
      <c r="AG15" s="442" t="s">
        <v>216</v>
      </c>
      <c r="AH15" s="426" t="s">
        <v>1098</v>
      </c>
      <c r="AM15" s="151" t="s">
        <v>179</v>
      </c>
      <c r="AN15" s="382" t="s">
        <v>1102</v>
      </c>
      <c r="AO15" s="382" t="s">
        <v>1102</v>
      </c>
      <c r="AP15" s="382" t="s">
        <v>1102</v>
      </c>
      <c r="AQ15" s="382" t="s">
        <v>1102</v>
      </c>
      <c r="AR15" s="382" t="s">
        <v>1102</v>
      </c>
      <c r="AS15" s="382" t="s">
        <v>1102</v>
      </c>
      <c r="AT15" s="382" t="s">
        <v>1102</v>
      </c>
      <c r="AU15" s="382" t="s">
        <v>1102</v>
      </c>
      <c r="AV15" s="382" t="s">
        <v>1102</v>
      </c>
      <c r="AW15" s="382" t="s">
        <v>1102</v>
      </c>
      <c r="AX15" s="382" t="s">
        <v>1102</v>
      </c>
      <c r="AY15" s="382" t="s">
        <v>1102</v>
      </c>
      <c r="AZ15" s="382" t="s">
        <v>1107</v>
      </c>
      <c r="BJ15" s="142" t="s">
        <v>1091</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'[4]G-3 Multipliers'!#REF!</xm:f>
          </x14:formula1>
          <xm:sqref>AF3:AG15</xm:sqref>
        </x14:dataValidation>
        <x14:dataValidation type="list" allowBlank="1" showInputMessage="1" showErrorMessage="1">
          <x14:formula1>
            <xm:f>'[4]G-1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75" thickBot="1">
      <c r="A1" s="1648"/>
      <c r="B1" s="1648"/>
    </row>
    <row r="2" spans="1:55" ht="31.5" customHeight="1" thickBot="1">
      <c r="A2" s="1648"/>
      <c r="B2" s="1648"/>
      <c r="C2" s="1662" t="s">
        <v>270</v>
      </c>
      <c r="D2" s="1663"/>
      <c r="E2" s="1652" t="s">
        <v>380</v>
      </c>
      <c r="F2" s="1653"/>
      <c r="G2" s="1653"/>
      <c r="H2" s="1652" t="s">
        <v>358</v>
      </c>
      <c r="I2" s="1653"/>
      <c r="J2" s="1653"/>
      <c r="K2" s="1653"/>
      <c r="L2" s="1654"/>
      <c r="N2" s="1664" t="s">
        <v>1108</v>
      </c>
      <c r="O2" s="1665"/>
      <c r="Q2" s="1660" t="s">
        <v>1109</v>
      </c>
      <c r="R2" s="1661"/>
      <c r="T2" s="1529" t="s">
        <v>1110</v>
      </c>
      <c r="U2" s="1599"/>
      <c r="V2" s="1599"/>
      <c r="W2" s="1599"/>
      <c r="X2" s="1599"/>
      <c r="Y2" s="1670"/>
      <c r="AA2" s="1671" t="s">
        <v>1111</v>
      </c>
      <c r="AB2" s="1672"/>
      <c r="AC2" s="102"/>
      <c r="AD2" s="1671" t="s">
        <v>1111</v>
      </c>
      <c r="AE2" s="1672"/>
      <c r="AG2" s="1671" t="s">
        <v>1112</v>
      </c>
      <c r="AH2" s="1673"/>
      <c r="AI2" s="1672"/>
      <c r="AK2" s="1671" t="s">
        <v>1112</v>
      </c>
      <c r="AL2" s="1673"/>
      <c r="AM2" s="1672"/>
      <c r="AO2" s="1666" t="s">
        <v>1112</v>
      </c>
      <c r="AP2" s="1667"/>
      <c r="AQ2" s="235"/>
      <c r="AS2" s="1615" t="s">
        <v>1113</v>
      </c>
      <c r="AT2" s="1668"/>
      <c r="AU2" s="1669"/>
      <c r="AY2" s="236"/>
      <c r="AZ2" s="237" t="s">
        <v>281</v>
      </c>
      <c r="BB2" s="236" t="s">
        <v>1114</v>
      </c>
      <c r="BC2" s="237" t="s">
        <v>1115</v>
      </c>
    </row>
    <row r="3" spans="1:55" ht="45.75" thickBot="1">
      <c r="B3" s="238" t="s">
        <v>936</v>
      </c>
      <c r="C3" s="214" t="s">
        <v>449</v>
      </c>
      <c r="D3" s="105" t="s">
        <v>450</v>
      </c>
      <c r="E3" s="483" t="s">
        <v>452</v>
      </c>
      <c r="F3" s="105" t="s">
        <v>453</v>
      </c>
      <c r="G3" s="485" t="s">
        <v>451</v>
      </c>
      <c r="H3" s="484" t="s">
        <v>68</v>
      </c>
      <c r="I3" s="239" t="s">
        <v>473</v>
      </c>
      <c r="J3" s="239" t="s">
        <v>67</v>
      </c>
      <c r="K3" s="239" t="s">
        <v>483</v>
      </c>
      <c r="L3" s="240" t="s">
        <v>329</v>
      </c>
      <c r="N3" s="486" t="s">
        <v>68</v>
      </c>
      <c r="O3" s="367">
        <v>10</v>
      </c>
      <c r="Q3" s="269" t="s">
        <v>1083</v>
      </c>
      <c r="R3" s="442">
        <v>10</v>
      </c>
      <c r="T3" s="214"/>
      <c r="U3" s="1529" t="s">
        <v>1116</v>
      </c>
      <c r="V3" s="1599"/>
      <c r="W3" s="1599"/>
      <c r="X3" s="1599"/>
      <c r="Y3" s="1670"/>
      <c r="AA3" s="214" t="s">
        <v>1117</v>
      </c>
      <c r="AB3" s="213" t="s">
        <v>1118</v>
      </c>
      <c r="AC3" s="102"/>
      <c r="AD3" s="214" t="s">
        <v>1119</v>
      </c>
      <c r="AE3" s="213" t="s">
        <v>1118</v>
      </c>
      <c r="AG3" s="213" t="s">
        <v>1120</v>
      </c>
      <c r="AH3" s="212" t="s">
        <v>121</v>
      </c>
      <c r="AI3" s="105" t="s">
        <v>1121</v>
      </c>
      <c r="AK3" s="104" t="s">
        <v>1120</v>
      </c>
      <c r="AL3" s="105" t="s">
        <v>121</v>
      </c>
      <c r="AM3" s="106" t="s">
        <v>1121</v>
      </c>
      <c r="AO3" s="659" t="s">
        <v>1120</v>
      </c>
      <c r="AP3" s="78" t="s">
        <v>1121</v>
      </c>
      <c r="AS3" s="236" t="s">
        <v>1122</v>
      </c>
      <c r="AT3" s="241" t="s">
        <v>1123</v>
      </c>
      <c r="AU3" s="237" t="s">
        <v>1082</v>
      </c>
      <c r="AY3" s="242" t="s">
        <v>1124</v>
      </c>
      <c r="AZ3" s="243" t="s">
        <v>1114</v>
      </c>
      <c r="BB3" s="112" t="s">
        <v>68</v>
      </c>
      <c r="BC3" s="113" t="s">
        <v>329</v>
      </c>
    </row>
    <row r="4" spans="1:55" ht="60.75" thickBot="1">
      <c r="B4" s="68" t="s">
        <v>196</v>
      </c>
      <c r="C4" s="404" t="s">
        <v>468</v>
      </c>
      <c r="D4" s="382">
        <v>8</v>
      </c>
      <c r="E4" s="404" t="s">
        <v>213</v>
      </c>
      <c r="F4" s="404" t="s">
        <v>70</v>
      </c>
      <c r="G4" s="382" t="s">
        <v>212</v>
      </c>
      <c r="H4" s="404">
        <v>3</v>
      </c>
      <c r="I4" s="404">
        <v>2.5</v>
      </c>
      <c r="J4" s="404">
        <v>2</v>
      </c>
      <c r="K4" s="404">
        <v>1.5</v>
      </c>
      <c r="L4" s="382">
        <v>1</v>
      </c>
      <c r="M4" s="22"/>
      <c r="N4" s="100" t="s">
        <v>473</v>
      </c>
      <c r="O4" s="382">
        <v>8</v>
      </c>
      <c r="T4" s="134" t="s">
        <v>1125</v>
      </c>
      <c r="U4" s="487" t="s">
        <v>329</v>
      </c>
      <c r="V4" s="244" t="s">
        <v>483</v>
      </c>
      <c r="W4" s="244" t="s">
        <v>67</v>
      </c>
      <c r="X4" s="244" t="s">
        <v>473</v>
      </c>
      <c r="Y4" s="244" t="s">
        <v>68</v>
      </c>
      <c r="AA4" s="79" t="s">
        <v>1126</v>
      </c>
      <c r="AB4" s="404">
        <v>1</v>
      </c>
      <c r="AC4" s="102"/>
      <c r="AD4" s="265" t="s">
        <v>1127</v>
      </c>
      <c r="AE4" s="404">
        <v>0.75</v>
      </c>
      <c r="AG4" s="79" t="s">
        <v>1128</v>
      </c>
      <c r="AH4" s="382" t="s">
        <v>1038</v>
      </c>
      <c r="AI4" s="404">
        <v>1</v>
      </c>
      <c r="AK4" s="99" t="s">
        <v>1029</v>
      </c>
      <c r="AL4" s="382" t="s">
        <v>1030</v>
      </c>
      <c r="AM4" s="452">
        <v>1.1499999999999999</v>
      </c>
      <c r="AO4" s="265" t="s">
        <v>1042</v>
      </c>
      <c r="AP4" s="404">
        <v>1</v>
      </c>
      <c r="AS4" s="245" t="s">
        <v>468</v>
      </c>
      <c r="AT4" s="383">
        <v>8</v>
      </c>
      <c r="AU4" s="490" t="s">
        <v>1129</v>
      </c>
      <c r="AY4" s="67" t="s">
        <v>1130</v>
      </c>
      <c r="AZ4" s="243" t="s">
        <v>1114</v>
      </c>
      <c r="BB4" s="154" t="s">
        <v>473</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329</v>
      </c>
      <c r="U5" s="488">
        <v>1</v>
      </c>
      <c r="V5" s="437">
        <v>2</v>
      </c>
      <c r="W5" s="437">
        <v>4</v>
      </c>
      <c r="X5" s="437">
        <v>6</v>
      </c>
      <c r="Y5" s="437">
        <v>8</v>
      </c>
      <c r="AA5" s="79" t="s">
        <v>1131</v>
      </c>
      <c r="AB5" s="404">
        <v>0.8</v>
      </c>
      <c r="AC5" s="102"/>
      <c r="AD5" s="265" t="s">
        <v>1132</v>
      </c>
      <c r="AE5" s="404">
        <v>0.8</v>
      </c>
      <c r="AG5" s="79" t="s">
        <v>1133</v>
      </c>
      <c r="AH5" s="382" t="s">
        <v>1030</v>
      </c>
      <c r="AI5" s="404">
        <v>1.1499999999999999</v>
      </c>
      <c r="AK5" s="99" t="s">
        <v>1033</v>
      </c>
      <c r="AL5" s="382" t="s">
        <v>1034</v>
      </c>
      <c r="AM5" s="452">
        <v>1.1000000000000001</v>
      </c>
      <c r="AO5" s="100" t="s">
        <v>1134</v>
      </c>
      <c r="AP5" s="404">
        <v>1</v>
      </c>
      <c r="AS5" s="215" t="s">
        <v>213</v>
      </c>
      <c r="AT5" s="404">
        <v>6</v>
      </c>
      <c r="AU5" s="386" t="s">
        <v>1135</v>
      </c>
      <c r="AY5" s="67" t="s">
        <v>198</v>
      </c>
      <c r="AZ5" s="243" t="s">
        <v>1114</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483</v>
      </c>
      <c r="O6" s="382">
        <v>2</v>
      </c>
      <c r="T6" s="100" t="s">
        <v>483</v>
      </c>
      <c r="U6" s="489" t="s">
        <v>1040</v>
      </c>
      <c r="V6" s="438">
        <v>1</v>
      </c>
      <c r="W6" s="438">
        <v>2</v>
      </c>
      <c r="X6" s="438">
        <v>4</v>
      </c>
      <c r="Y6" s="438">
        <v>6</v>
      </c>
      <c r="AA6" s="79" t="s">
        <v>1136</v>
      </c>
      <c r="AB6" s="404">
        <v>0.5</v>
      </c>
      <c r="AC6" s="102"/>
      <c r="AD6" s="265" t="s">
        <v>1137</v>
      </c>
      <c r="AE6" s="404">
        <v>0.84</v>
      </c>
      <c r="AG6" s="79" t="s">
        <v>1138</v>
      </c>
      <c r="AH6" s="382" t="s">
        <v>1030</v>
      </c>
      <c r="AI6" s="404">
        <v>1.1499999999999999</v>
      </c>
      <c r="AK6" s="74" t="s">
        <v>1037</v>
      </c>
      <c r="AL6" s="371" t="s">
        <v>1038</v>
      </c>
      <c r="AM6" s="442">
        <v>1</v>
      </c>
      <c r="AO6" s="100" t="s">
        <v>1139</v>
      </c>
      <c r="AP6" s="404">
        <v>0.75</v>
      </c>
      <c r="AS6" s="215" t="s">
        <v>70</v>
      </c>
      <c r="AT6" s="404">
        <v>4</v>
      </c>
      <c r="AU6" s="386" t="s">
        <v>1140</v>
      </c>
      <c r="AY6" s="67" t="s">
        <v>199</v>
      </c>
      <c r="AZ6" s="243" t="s">
        <v>1114</v>
      </c>
      <c r="BB6" s="154" t="s">
        <v>483</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329</v>
      </c>
      <c r="O7" s="382">
        <v>1</v>
      </c>
      <c r="T7" s="100" t="s">
        <v>67</v>
      </c>
      <c r="U7" s="489" t="s">
        <v>1040</v>
      </c>
      <c r="V7" s="438" t="s">
        <v>1040</v>
      </c>
      <c r="W7" s="438">
        <v>1</v>
      </c>
      <c r="X7" s="438">
        <v>2</v>
      </c>
      <c r="Y7" s="438">
        <v>4</v>
      </c>
      <c r="AA7" s="79" t="s">
        <v>1141</v>
      </c>
      <c r="AB7" s="404">
        <v>1</v>
      </c>
      <c r="AC7" s="102"/>
      <c r="AD7" s="265" t="s">
        <v>1142</v>
      </c>
      <c r="AE7" s="404">
        <v>0.87</v>
      </c>
      <c r="AG7" s="79" t="s">
        <v>1143</v>
      </c>
      <c r="AH7" s="382" t="s">
        <v>1030</v>
      </c>
      <c r="AI7" s="404">
        <v>1.1499999999999999</v>
      </c>
      <c r="AK7" s="36"/>
      <c r="AL7" s="38"/>
      <c r="AM7" s="36"/>
      <c r="AO7" s="100" t="s">
        <v>1144</v>
      </c>
      <c r="AP7" s="404">
        <v>0.5</v>
      </c>
      <c r="AS7" s="211" t="s">
        <v>216</v>
      </c>
      <c r="AT7" s="388">
        <v>2</v>
      </c>
      <c r="AU7" s="442" t="s">
        <v>1145</v>
      </c>
      <c r="AY7" s="69" t="s">
        <v>200</v>
      </c>
      <c r="AZ7" s="243" t="s">
        <v>1115</v>
      </c>
      <c r="BB7" s="156" t="s">
        <v>329</v>
      </c>
      <c r="BC7" s="247"/>
    </row>
    <row r="8" spans="1:55" ht="60">
      <c r="B8" s="85" t="s">
        <v>200</v>
      </c>
      <c r="C8" s="404" t="s">
        <v>216</v>
      </c>
      <c r="D8" s="404">
        <v>2</v>
      </c>
      <c r="E8" s="404" t="s">
        <v>216</v>
      </c>
      <c r="F8" s="404" t="s">
        <v>70</v>
      </c>
      <c r="G8" s="382" t="s">
        <v>248</v>
      </c>
      <c r="H8" s="404" t="s">
        <v>1051</v>
      </c>
      <c r="I8" s="404" t="s">
        <v>1051</v>
      </c>
      <c r="J8" s="404" t="s">
        <v>1051</v>
      </c>
      <c r="K8" s="404" t="s">
        <v>1051</v>
      </c>
      <c r="L8" s="382">
        <v>1</v>
      </c>
      <c r="M8" s="22"/>
      <c r="T8" s="100" t="s">
        <v>473</v>
      </c>
      <c r="U8" s="489" t="s">
        <v>1040</v>
      </c>
      <c r="V8" s="438" t="s">
        <v>1040</v>
      </c>
      <c r="W8" s="438" t="s">
        <v>1040</v>
      </c>
      <c r="X8" s="438">
        <v>1</v>
      </c>
      <c r="Y8" s="438">
        <v>2</v>
      </c>
      <c r="AC8" s="102"/>
      <c r="AD8" s="265" t="s">
        <v>1146</v>
      </c>
      <c r="AE8" s="404">
        <v>0.85</v>
      </c>
      <c r="AG8" s="79" t="s">
        <v>1147</v>
      </c>
      <c r="AH8" s="382" t="s">
        <v>1030</v>
      </c>
      <c r="AI8" s="404">
        <v>1.1499999999999999</v>
      </c>
      <c r="AK8" s="36"/>
      <c r="AL8" s="38"/>
      <c r="AM8" s="36"/>
    </row>
    <row r="9" spans="1:55">
      <c r="T9" s="100" t="s">
        <v>68</v>
      </c>
      <c r="U9" s="489" t="s">
        <v>1040</v>
      </c>
      <c r="V9" s="438" t="s">
        <v>1040</v>
      </c>
      <c r="W9" s="438" t="s">
        <v>1040</v>
      </c>
      <c r="X9" s="438" t="s">
        <v>1040</v>
      </c>
      <c r="Y9" s="438">
        <v>1</v>
      </c>
      <c r="AD9" s="265" t="s">
        <v>1148</v>
      </c>
      <c r="AE9" s="404">
        <v>0.9</v>
      </c>
      <c r="AG9" s="79" t="s">
        <v>1149</v>
      </c>
      <c r="AH9" s="382" t="s">
        <v>1030</v>
      </c>
      <c r="AI9" s="404">
        <v>1.1499999999999999</v>
      </c>
      <c r="AK9" s="36"/>
      <c r="AL9" s="38"/>
      <c r="AM9" s="36"/>
      <c r="AY9" s="35"/>
      <c r="AZ9" s="35"/>
      <c r="BA9" s="35"/>
      <c r="BB9" s="35"/>
      <c r="BC9" s="35"/>
    </row>
    <row r="10" spans="1:55" ht="30">
      <c r="AD10" s="265" t="s">
        <v>1150</v>
      </c>
      <c r="AE10" s="404">
        <v>0.92</v>
      </c>
      <c r="AF10" s="102"/>
      <c r="AY10" s="35"/>
      <c r="AZ10" s="35"/>
      <c r="BA10" s="35"/>
      <c r="BB10" s="38"/>
      <c r="BC10" s="38"/>
    </row>
    <row r="11" spans="1:55">
      <c r="AD11" s="265" t="s">
        <v>1151</v>
      </c>
      <c r="AE11" s="404">
        <v>0.95</v>
      </c>
      <c r="AF11" s="102"/>
      <c r="AY11" s="35"/>
      <c r="AZ11" s="35"/>
      <c r="BA11" s="35"/>
      <c r="BB11" s="38"/>
      <c r="BC11" s="35"/>
    </row>
    <row r="12" spans="1:55" ht="30">
      <c r="B12" s="41"/>
      <c r="C12" s="66"/>
      <c r="D12" s="66"/>
      <c r="E12" s="66"/>
      <c r="F12" s="66"/>
      <c r="G12" s="39"/>
      <c r="AD12" s="265" t="s">
        <v>1152</v>
      </c>
      <c r="AE12" s="404">
        <v>0.98</v>
      </c>
      <c r="AF12" s="102"/>
      <c r="AY12" s="35"/>
      <c r="AZ12" s="35"/>
      <c r="BA12" s="35"/>
      <c r="BB12" s="38"/>
      <c r="BC12" s="35"/>
    </row>
    <row r="13" spans="1:55" ht="30">
      <c r="B13" s="35"/>
      <c r="C13" s="36"/>
      <c r="D13" s="38"/>
      <c r="E13" s="36"/>
      <c r="F13" s="36"/>
      <c r="G13" s="38"/>
      <c r="AD13" s="265" t="s">
        <v>1153</v>
      </c>
      <c r="AE13" s="404">
        <v>1</v>
      </c>
      <c r="AF13" s="102"/>
      <c r="AG13" s="102"/>
      <c r="AH13" s="102"/>
      <c r="AY13" s="35"/>
      <c r="AZ13" s="35"/>
      <c r="BA13" s="35"/>
      <c r="BB13" s="38"/>
      <c r="BC13" s="35"/>
    </row>
    <row r="14" spans="1:55">
      <c r="B14" s="35"/>
      <c r="C14" s="36"/>
      <c r="D14" s="38"/>
      <c r="E14" s="36"/>
      <c r="F14" s="36"/>
      <c r="G14" s="38"/>
      <c r="AD14" s="272" t="s">
        <v>1141</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c r="A1" s="1676"/>
      <c r="B1" s="227"/>
      <c r="C1" s="227"/>
      <c r="D1" s="227"/>
      <c r="E1" s="227"/>
      <c r="F1" s="227"/>
      <c r="G1" s="227"/>
      <c r="H1" s="249"/>
    </row>
    <row r="2" spans="1:14" ht="29.45" customHeight="1">
      <c r="A2" s="1677"/>
      <c r="B2" s="1674" t="s">
        <v>358</v>
      </c>
      <c r="C2" s="1674"/>
      <c r="D2" s="1674"/>
      <c r="E2" s="1674"/>
      <c r="F2" s="1674"/>
      <c r="G2" s="1674"/>
      <c r="H2" s="1675"/>
    </row>
    <row r="3" spans="1:14" ht="30">
      <c r="A3" s="229" t="s">
        <v>936</v>
      </c>
      <c r="B3" s="79" t="s">
        <v>68</v>
      </c>
      <c r="C3" s="79" t="s">
        <v>473</v>
      </c>
      <c r="D3" s="79" t="s">
        <v>67</v>
      </c>
      <c r="E3" s="79" t="s">
        <v>483</v>
      </c>
      <c r="F3" s="100" t="s">
        <v>329</v>
      </c>
      <c r="G3" s="100" t="s">
        <v>493</v>
      </c>
      <c r="H3" s="79" t="s">
        <v>497</v>
      </c>
      <c r="I3" s="30" t="s">
        <v>281</v>
      </c>
      <c r="J3" s="1678" t="s">
        <v>1154</v>
      </c>
      <c r="K3" s="1679"/>
      <c r="L3" s="1679"/>
      <c r="M3" s="1680"/>
    </row>
    <row r="4" spans="1:14" ht="15">
      <c r="A4" s="68" t="str">
        <f>'G-1 All Habitats'!B3</f>
        <v>Cropland - Arable field margins cultivated annually</v>
      </c>
      <c r="B4" s="404" t="s">
        <v>1051</v>
      </c>
      <c r="C4" s="404" t="s">
        <v>1051</v>
      </c>
      <c r="D4" s="404" t="s">
        <v>1051</v>
      </c>
      <c r="E4" s="404" t="s">
        <v>1051</v>
      </c>
      <c r="F4" s="404" t="s">
        <v>1051</v>
      </c>
      <c r="G4" s="404">
        <v>1</v>
      </c>
      <c r="H4" s="404" t="s">
        <v>1051</v>
      </c>
      <c r="I4" s="30" t="str">
        <f>IF(G4=1,"Cond1",IF(H4=0,"Cond2",IF(AND(B4=3,C4=2.5,D4=2,E4=1.5,F4=1),"Cond4",IF(F4=1,"Cond3","Check"))))</f>
        <v>Cond1</v>
      </c>
      <c r="J4" s="248" t="s">
        <v>1155</v>
      </c>
      <c r="K4" s="248" t="s">
        <v>1156</v>
      </c>
      <c r="L4" s="248" t="s">
        <v>1157</v>
      </c>
      <c r="M4" s="248" t="s">
        <v>1158</v>
      </c>
      <c r="N4" s="30" t="s">
        <v>1159</v>
      </c>
    </row>
    <row r="5" spans="1:14" ht="15">
      <c r="A5" s="68" t="str">
        <f>'G-1 All Habitats'!B4</f>
        <v>Cropland - Arable field margins game bird mix</v>
      </c>
      <c r="B5" s="404" t="s">
        <v>1051</v>
      </c>
      <c r="C5" s="404" t="s">
        <v>1051</v>
      </c>
      <c r="D5" s="404" t="s">
        <v>1051</v>
      </c>
      <c r="E5" s="404" t="s">
        <v>1051</v>
      </c>
      <c r="F5" s="404" t="s">
        <v>1051</v>
      </c>
      <c r="G5" s="404">
        <v>1</v>
      </c>
      <c r="H5" s="404" t="s">
        <v>1051</v>
      </c>
      <c r="I5" s="30" t="str">
        <f>IF(G5=1,"Cond1",IF(H5=0,"Cond2",IF(AND(B5=3,C5=2.5,D5=2,E5=1.5,F5=1),"Cond4",IF(F5=1,"Cond3","Check"))))</f>
        <v>Cond1</v>
      </c>
      <c r="J5" s="177" t="s">
        <v>493</v>
      </c>
      <c r="K5" s="177" t="s">
        <v>497</v>
      </c>
      <c r="L5" s="224" t="s">
        <v>329</v>
      </c>
      <c r="M5" s="177" t="s">
        <v>68</v>
      </c>
      <c r="N5" s="30" t="s">
        <v>68</v>
      </c>
    </row>
    <row r="6" spans="1:14" ht="15">
      <c r="A6" s="68" t="str">
        <f>'G-1 All Habitats'!B5</f>
        <v>Cropland - Arable field margins pollen and nectar</v>
      </c>
      <c r="B6" s="404" t="s">
        <v>1051</v>
      </c>
      <c r="C6" s="404" t="s">
        <v>1051</v>
      </c>
      <c r="D6" s="404" t="s">
        <v>1051</v>
      </c>
      <c r="E6" s="404" t="s">
        <v>1051</v>
      </c>
      <c r="F6" s="404" t="s">
        <v>1051</v>
      </c>
      <c r="G6" s="404">
        <v>1</v>
      </c>
      <c r="H6" s="404" t="s">
        <v>1051</v>
      </c>
      <c r="I6" s="30" t="str">
        <f>IF(G6=1,"Cond1",IF(H6=0,"Cond2",IF(AND(B6=3,C6=2.5,D6=2,E6=1.5,F6=1),"Cond4",IF(F6=1,"Cond3","Check"))))</f>
        <v>Cond1</v>
      </c>
      <c r="M6" s="177" t="s">
        <v>473</v>
      </c>
    </row>
    <row r="7" spans="1:14" ht="15">
      <c r="A7" s="68" t="str">
        <f>'G-1 All Habitats'!B6</f>
        <v>Cropland - Arable field margins tussocky</v>
      </c>
      <c r="B7" s="404" t="s">
        <v>1051</v>
      </c>
      <c r="C7" s="404" t="s">
        <v>1051</v>
      </c>
      <c r="D7" s="404" t="s">
        <v>1051</v>
      </c>
      <c r="E7" s="404" t="s">
        <v>1051</v>
      </c>
      <c r="F7" s="404" t="s">
        <v>1051</v>
      </c>
      <c r="G7" s="404">
        <v>1</v>
      </c>
      <c r="H7" s="404" t="s">
        <v>1051</v>
      </c>
      <c r="I7" s="30" t="str">
        <f>IF(G7=1,"Cond1",IF(H7=0,"Cond2",IF(AND(B7=3,C7=2.5,D7=2,E7=1.5,F7=1),"Cond4",IF(F7=1,"Cond3","Check"))))</f>
        <v>Cond1</v>
      </c>
      <c r="M7" s="177" t="s">
        <v>67</v>
      </c>
    </row>
    <row r="8" spans="1:14" ht="15">
      <c r="A8" s="68" t="str">
        <f>'G-1 All Habitats'!B7</f>
        <v>Cropland - Cereal crops</v>
      </c>
      <c r="B8" s="404" t="s">
        <v>1051</v>
      </c>
      <c r="C8" s="404" t="s">
        <v>1051</v>
      </c>
      <c r="D8" s="404" t="s">
        <v>1051</v>
      </c>
      <c r="E8" s="404" t="s">
        <v>1051</v>
      </c>
      <c r="F8" s="404" t="s">
        <v>1051</v>
      </c>
      <c r="G8" s="404">
        <v>1</v>
      </c>
      <c r="H8" s="404" t="s">
        <v>1051</v>
      </c>
      <c r="I8" s="30" t="str">
        <f>IF(G8=1,"Cond1",IF(H8=0,"Cond2",IF(AND(B8=3,C8=2.5,D8=2,E8=1.5,F8=1),"Cond4",IF(F8=1,"Cond3","Check"))))</f>
        <v>Cond1</v>
      </c>
      <c r="M8" s="177" t="s">
        <v>483</v>
      </c>
    </row>
    <row r="9" spans="1:14" ht="15">
      <c r="A9" s="68" t="str">
        <f>'G-1 All Habitats'!B8</f>
        <v>Cropland - Winter stubble</v>
      </c>
      <c r="B9" s="404" t="s">
        <v>1051</v>
      </c>
      <c r="C9" s="404" t="s">
        <v>1051</v>
      </c>
      <c r="D9" s="404" t="s">
        <v>1051</v>
      </c>
      <c r="E9" s="404" t="s">
        <v>1051</v>
      </c>
      <c r="F9" s="404" t="s">
        <v>1051</v>
      </c>
      <c r="G9" s="404">
        <v>1</v>
      </c>
      <c r="H9" s="404" t="s">
        <v>1051</v>
      </c>
      <c r="I9" s="30" t="str">
        <f t="shared" ref="I9:I41" si="0">IF(G9=1,"Cond1",IF(H9=0,"Cond2",IF(AND(B9=3,C9=2.5,D9=2,E9=1.5,F9=1),"Cond4",IF(F9=1,"Cond3","Check"))))</f>
        <v>Cond1</v>
      </c>
      <c r="M9" s="224" t="s">
        <v>329</v>
      </c>
    </row>
    <row r="10" spans="1:14" ht="15">
      <c r="A10" s="68" t="str">
        <f>'G-1 All Habitats'!B9</f>
        <v>Cropland - Horticulture</v>
      </c>
      <c r="B10" s="404" t="s">
        <v>1051</v>
      </c>
      <c r="C10" s="404" t="s">
        <v>1051</v>
      </c>
      <c r="D10" s="404" t="s">
        <v>1051</v>
      </c>
      <c r="E10" s="404" t="s">
        <v>1051</v>
      </c>
      <c r="F10" s="404" t="s">
        <v>1051</v>
      </c>
      <c r="G10" s="404">
        <v>1</v>
      </c>
      <c r="H10" s="404" t="s">
        <v>1051</v>
      </c>
      <c r="I10" s="30" t="str">
        <f t="shared" si="0"/>
        <v>Cond1</v>
      </c>
    </row>
    <row r="11" spans="1:14" ht="15">
      <c r="A11" s="68" t="str">
        <f>'G-1 All Habitats'!B10</f>
        <v>Cropland - Intensive orchards</v>
      </c>
      <c r="B11" s="404" t="s">
        <v>1051</v>
      </c>
      <c r="C11" s="404" t="s">
        <v>1051</v>
      </c>
      <c r="D11" s="404" t="s">
        <v>1051</v>
      </c>
      <c r="E11" s="404" t="s">
        <v>1051</v>
      </c>
      <c r="F11" s="404" t="s">
        <v>1051</v>
      </c>
      <c r="G11" s="404">
        <v>1</v>
      </c>
      <c r="H11" s="404" t="s">
        <v>1051</v>
      </c>
      <c r="I11" s="30" t="str">
        <f t="shared" si="0"/>
        <v>Cond1</v>
      </c>
    </row>
    <row r="12" spans="1:14" ht="15">
      <c r="A12" s="68" t="str">
        <f>'G-1 All Habitats'!B11</f>
        <v>Cropland - Non-cereal crops</v>
      </c>
      <c r="B12" s="404" t="s">
        <v>1051</v>
      </c>
      <c r="C12" s="404" t="s">
        <v>1051</v>
      </c>
      <c r="D12" s="404" t="s">
        <v>1051</v>
      </c>
      <c r="E12" s="404" t="s">
        <v>1051</v>
      </c>
      <c r="F12" s="404" t="s">
        <v>1051</v>
      </c>
      <c r="G12" s="404">
        <v>1</v>
      </c>
      <c r="H12" s="404" t="s">
        <v>1051</v>
      </c>
      <c r="I12" s="30" t="str">
        <f t="shared" si="0"/>
        <v>Cond1</v>
      </c>
    </row>
    <row r="13" spans="1:14" ht="15">
      <c r="A13" s="68" t="str">
        <f>'G-1 All Habitats'!B12</f>
        <v>Cropland - Temporary grass and clover leys</v>
      </c>
      <c r="B13" s="404" t="s">
        <v>1051</v>
      </c>
      <c r="C13" s="404" t="s">
        <v>1051</v>
      </c>
      <c r="D13" s="404" t="s">
        <v>1051</v>
      </c>
      <c r="E13" s="404" t="s">
        <v>1051</v>
      </c>
      <c r="F13" s="404" t="s">
        <v>1051</v>
      </c>
      <c r="G13" s="404">
        <v>1</v>
      </c>
      <c r="H13" s="404" t="s">
        <v>1051</v>
      </c>
      <c r="I13" s="30" t="str">
        <f t="shared" si="0"/>
        <v>Cond1</v>
      </c>
    </row>
    <row r="14" spans="1:14" ht="15">
      <c r="A14" s="68" t="str">
        <f>'G-1 All Habitats'!B13</f>
        <v>Grassland - Traditional orchards</v>
      </c>
      <c r="B14" s="404">
        <v>3</v>
      </c>
      <c r="C14" s="404">
        <v>2.5</v>
      </c>
      <c r="D14" s="404">
        <v>2</v>
      </c>
      <c r="E14" s="404">
        <v>1.5</v>
      </c>
      <c r="F14" s="404">
        <v>1</v>
      </c>
      <c r="G14" s="404" t="s">
        <v>1051</v>
      </c>
      <c r="H14" s="404" t="s">
        <v>1051</v>
      </c>
      <c r="I14" s="30" t="str">
        <f t="shared" si="0"/>
        <v>Cond4</v>
      </c>
    </row>
    <row r="15" spans="1:14" ht="15">
      <c r="A15" s="68" t="str">
        <f>'G-1 All Habitats'!B14</f>
        <v>Grassland - Bracken</v>
      </c>
      <c r="B15" s="404" t="s">
        <v>1051</v>
      </c>
      <c r="C15" s="404" t="s">
        <v>1051</v>
      </c>
      <c r="D15" s="404" t="s">
        <v>1051</v>
      </c>
      <c r="E15" s="404" t="s">
        <v>1051</v>
      </c>
      <c r="F15" s="404" t="s">
        <v>1051</v>
      </c>
      <c r="G15" s="404">
        <v>1</v>
      </c>
      <c r="H15" s="404" t="s">
        <v>1051</v>
      </c>
      <c r="I15" s="30" t="str">
        <f t="shared" si="0"/>
        <v>Cond1</v>
      </c>
    </row>
    <row r="16" spans="1:14" ht="15">
      <c r="A16" s="68" t="str">
        <f>'G-1 All Habitats'!B15</f>
        <v>Grassland - Floodplain wetland mosaic and CFGM</v>
      </c>
      <c r="B16" s="404">
        <v>3</v>
      </c>
      <c r="C16" s="404">
        <v>2.5</v>
      </c>
      <c r="D16" s="404">
        <v>2</v>
      </c>
      <c r="E16" s="404">
        <v>1.5</v>
      </c>
      <c r="F16" s="404">
        <v>1</v>
      </c>
      <c r="G16" s="404" t="s">
        <v>1051</v>
      </c>
      <c r="H16" s="404" t="s">
        <v>1051</v>
      </c>
      <c r="I16" s="30" t="str">
        <f t="shared" si="0"/>
        <v>Cond4</v>
      </c>
    </row>
    <row r="17" spans="1:9" ht="15">
      <c r="A17" s="68" t="str">
        <f>'G-1 All Habitats'!B16</f>
        <v>Grassland - Lowland calcareous grassland</v>
      </c>
      <c r="B17" s="404">
        <v>3</v>
      </c>
      <c r="C17" s="404">
        <v>2.5</v>
      </c>
      <c r="D17" s="404">
        <v>2</v>
      </c>
      <c r="E17" s="404">
        <v>1.5</v>
      </c>
      <c r="F17" s="404">
        <v>1</v>
      </c>
      <c r="G17" s="404" t="s">
        <v>1051</v>
      </c>
      <c r="H17" s="404" t="s">
        <v>1051</v>
      </c>
      <c r="I17" s="30" t="str">
        <f t="shared" si="0"/>
        <v>Cond4</v>
      </c>
    </row>
    <row r="18" spans="1:9" ht="15">
      <c r="A18" s="68" t="str">
        <f>'G-1 All Habitats'!B17</f>
        <v>Grassland - Lowland dry acid grassland</v>
      </c>
      <c r="B18" s="404">
        <v>3</v>
      </c>
      <c r="C18" s="404">
        <v>2.5</v>
      </c>
      <c r="D18" s="404">
        <v>2</v>
      </c>
      <c r="E18" s="404">
        <v>1.5</v>
      </c>
      <c r="F18" s="404">
        <v>1</v>
      </c>
      <c r="G18" s="404" t="s">
        <v>1051</v>
      </c>
      <c r="H18" s="404" t="s">
        <v>1051</v>
      </c>
      <c r="I18" s="30" t="str">
        <f t="shared" si="0"/>
        <v>Cond4</v>
      </c>
    </row>
    <row r="19" spans="1:9" ht="15">
      <c r="A19" s="68" t="str">
        <f>'G-1 All Habitats'!B18</f>
        <v>Grassland - Lowland meadows</v>
      </c>
      <c r="B19" s="404">
        <v>3</v>
      </c>
      <c r="C19" s="404">
        <v>2.5</v>
      </c>
      <c r="D19" s="404">
        <v>2</v>
      </c>
      <c r="E19" s="404">
        <v>1.5</v>
      </c>
      <c r="F19" s="404">
        <v>1</v>
      </c>
      <c r="G19" s="404" t="s">
        <v>1051</v>
      </c>
      <c r="H19" s="404" t="s">
        <v>1051</v>
      </c>
      <c r="I19" s="30" t="str">
        <f t="shared" si="0"/>
        <v>Cond4</v>
      </c>
    </row>
    <row r="20" spans="1:9" ht="15">
      <c r="A20" s="68" t="str">
        <f>'G-1 All Habitats'!B19</f>
        <v>Grassland - Modified grassland</v>
      </c>
      <c r="B20" s="404">
        <v>3</v>
      </c>
      <c r="C20" s="404">
        <v>2.5</v>
      </c>
      <c r="D20" s="404">
        <v>2</v>
      </c>
      <c r="E20" s="404">
        <v>1.5</v>
      </c>
      <c r="F20" s="404">
        <v>1</v>
      </c>
      <c r="G20" s="404" t="s">
        <v>1051</v>
      </c>
      <c r="H20" s="404" t="s">
        <v>1051</v>
      </c>
      <c r="I20" s="30" t="str">
        <f t="shared" si="0"/>
        <v>Cond4</v>
      </c>
    </row>
    <row r="21" spans="1:9" ht="15" customHeight="1">
      <c r="A21" s="68" t="str">
        <f>'G-1 All Habitats'!B20</f>
        <v>Grassland - Other lowland acid grassland</v>
      </c>
      <c r="B21" s="404">
        <v>3</v>
      </c>
      <c r="C21" s="404">
        <v>2.5</v>
      </c>
      <c r="D21" s="404">
        <v>2</v>
      </c>
      <c r="E21" s="404">
        <v>1.5</v>
      </c>
      <c r="F21" s="404">
        <v>1</v>
      </c>
      <c r="G21" s="404" t="s">
        <v>1051</v>
      </c>
      <c r="H21" s="404" t="s">
        <v>1051</v>
      </c>
      <c r="I21" s="30" t="str">
        <f t="shared" si="0"/>
        <v>Cond4</v>
      </c>
    </row>
    <row r="22" spans="1:9" ht="15" customHeight="1">
      <c r="A22" s="68" t="str">
        <f>'G-1 All Habitats'!B21</f>
        <v>Grassland - Other neutral grassland</v>
      </c>
      <c r="B22" s="404">
        <v>3</v>
      </c>
      <c r="C22" s="404">
        <v>2.5</v>
      </c>
      <c r="D22" s="404">
        <v>2</v>
      </c>
      <c r="E22" s="404">
        <v>1.5</v>
      </c>
      <c r="F22" s="404">
        <v>1</v>
      </c>
      <c r="G22" s="404" t="s">
        <v>1051</v>
      </c>
      <c r="H22" s="404" t="s">
        <v>1051</v>
      </c>
      <c r="I22" s="30" t="str">
        <f t="shared" si="0"/>
        <v>Cond4</v>
      </c>
    </row>
    <row r="23" spans="1:9" ht="15" customHeight="1">
      <c r="A23" s="68" t="str">
        <f>'G-1 All Habitats'!B22</f>
        <v>Grassland - Tall herb communities (H6430)</v>
      </c>
      <c r="B23" s="404">
        <v>3</v>
      </c>
      <c r="C23" s="404">
        <v>2.5</v>
      </c>
      <c r="D23" s="404">
        <v>2</v>
      </c>
      <c r="E23" s="404">
        <v>1.5</v>
      </c>
      <c r="F23" s="404">
        <v>1</v>
      </c>
      <c r="G23" s="404" t="s">
        <v>1051</v>
      </c>
      <c r="H23" s="404" t="s">
        <v>1051</v>
      </c>
      <c r="I23" s="30" t="str">
        <f t="shared" si="0"/>
        <v>Cond4</v>
      </c>
    </row>
    <row r="24" spans="1:9" ht="15" customHeight="1">
      <c r="A24" s="68" t="str">
        <f>'G-1 All Habitats'!B23</f>
        <v>Grassland - Upland acid grassland</v>
      </c>
      <c r="B24" s="404">
        <v>3</v>
      </c>
      <c r="C24" s="404">
        <v>2.5</v>
      </c>
      <c r="D24" s="404">
        <v>2</v>
      </c>
      <c r="E24" s="404">
        <v>1.5</v>
      </c>
      <c r="F24" s="404">
        <v>1</v>
      </c>
      <c r="G24" s="404" t="s">
        <v>1051</v>
      </c>
      <c r="H24" s="404" t="s">
        <v>1051</v>
      </c>
      <c r="I24" s="30" t="str">
        <f t="shared" si="0"/>
        <v>Cond4</v>
      </c>
    </row>
    <row r="25" spans="1:9" ht="15" customHeight="1">
      <c r="A25" s="68" t="str">
        <f>'G-1 All Habitats'!B24</f>
        <v>Grassland - Upland calcareous grassland</v>
      </c>
      <c r="B25" s="404">
        <v>3</v>
      </c>
      <c r="C25" s="404">
        <v>2.5</v>
      </c>
      <c r="D25" s="404">
        <v>2</v>
      </c>
      <c r="E25" s="404">
        <v>1.5</v>
      </c>
      <c r="F25" s="404">
        <v>1</v>
      </c>
      <c r="G25" s="404" t="s">
        <v>1051</v>
      </c>
      <c r="H25" s="404" t="s">
        <v>1051</v>
      </c>
      <c r="I25" s="30" t="str">
        <f t="shared" si="0"/>
        <v>Cond4</v>
      </c>
    </row>
    <row r="26" spans="1:9" ht="15" customHeight="1">
      <c r="A26" s="68" t="str">
        <f>'G-1 All Habitats'!B25</f>
        <v>Grassland - Upland hay meadows</v>
      </c>
      <c r="B26" s="404">
        <v>3</v>
      </c>
      <c r="C26" s="404">
        <v>2.5</v>
      </c>
      <c r="D26" s="404">
        <v>2</v>
      </c>
      <c r="E26" s="404">
        <v>1.5</v>
      </c>
      <c r="F26" s="404">
        <v>1</v>
      </c>
      <c r="G26" s="404" t="s">
        <v>1051</v>
      </c>
      <c r="H26" s="404" t="s">
        <v>1051</v>
      </c>
      <c r="I26" s="30" t="str">
        <f t="shared" si="0"/>
        <v>Cond4</v>
      </c>
    </row>
    <row r="27" spans="1:9" ht="15">
      <c r="A27" s="68" t="str">
        <f>'G-1 All Habitats'!B26</f>
        <v>Heathland and shrub - Blackthorn scrub</v>
      </c>
      <c r="B27" s="404">
        <v>3</v>
      </c>
      <c r="C27" s="404">
        <v>2.5</v>
      </c>
      <c r="D27" s="404">
        <v>2</v>
      </c>
      <c r="E27" s="404">
        <v>1.5</v>
      </c>
      <c r="F27" s="404">
        <v>1</v>
      </c>
      <c r="G27" s="404" t="s">
        <v>1051</v>
      </c>
      <c r="H27" s="404" t="s">
        <v>1051</v>
      </c>
      <c r="I27" s="30" t="str">
        <f t="shared" si="0"/>
        <v>Cond4</v>
      </c>
    </row>
    <row r="28" spans="1:9" ht="15">
      <c r="A28" s="68" t="str">
        <f>'G-1 All Habitats'!B27</f>
        <v>Heathland and shrub - Bramble scrub</v>
      </c>
      <c r="B28" s="404" t="s">
        <v>1051</v>
      </c>
      <c r="C28" s="404" t="s">
        <v>1051</v>
      </c>
      <c r="D28" s="404" t="s">
        <v>1051</v>
      </c>
      <c r="E28" s="404">
        <v>1.5</v>
      </c>
      <c r="F28" s="404" t="s">
        <v>1051</v>
      </c>
      <c r="G28" s="404">
        <v>1</v>
      </c>
      <c r="H28" s="404" t="s">
        <v>1051</v>
      </c>
      <c r="I28" s="30" t="str">
        <f t="shared" si="0"/>
        <v>Cond1</v>
      </c>
    </row>
    <row r="29" spans="1:9" ht="15">
      <c r="A29" s="68" t="str">
        <f>'G-1 All Habitats'!B28</f>
        <v>Heathland and shrub - Gorse scrub</v>
      </c>
      <c r="B29" s="404">
        <v>3</v>
      </c>
      <c r="C29" s="404">
        <v>2.5</v>
      </c>
      <c r="D29" s="404">
        <v>2</v>
      </c>
      <c r="E29" s="404">
        <v>1.5</v>
      </c>
      <c r="F29" s="404">
        <v>1</v>
      </c>
      <c r="G29" s="404" t="s">
        <v>1051</v>
      </c>
      <c r="H29" s="404" t="s">
        <v>1051</v>
      </c>
      <c r="I29" s="30" t="str">
        <f t="shared" si="0"/>
        <v>Cond4</v>
      </c>
    </row>
    <row r="30" spans="1:9" ht="15">
      <c r="A30" s="68" t="str">
        <f>'G-1 All Habitats'!B29</f>
        <v>Heathland and shrub - Hawthorn scrub</v>
      </c>
      <c r="B30" s="404">
        <v>3</v>
      </c>
      <c r="C30" s="404">
        <v>2.5</v>
      </c>
      <c r="D30" s="404">
        <v>2</v>
      </c>
      <c r="E30" s="404">
        <v>1.5</v>
      </c>
      <c r="F30" s="404">
        <v>1</v>
      </c>
      <c r="G30" s="404" t="s">
        <v>1051</v>
      </c>
      <c r="H30" s="404" t="s">
        <v>1051</v>
      </c>
      <c r="I30" s="30" t="str">
        <f t="shared" si="0"/>
        <v>Cond4</v>
      </c>
    </row>
    <row r="31" spans="1:9" ht="15">
      <c r="A31" s="68" t="str">
        <f>'G-1 All Habitats'!B30</f>
        <v>Heathland and shrub - Hazel scrub</v>
      </c>
      <c r="B31" s="404">
        <v>3</v>
      </c>
      <c r="C31" s="404">
        <v>2.5</v>
      </c>
      <c r="D31" s="404">
        <v>2</v>
      </c>
      <c r="E31" s="404">
        <v>1.5</v>
      </c>
      <c r="F31" s="404">
        <v>1</v>
      </c>
      <c r="G31" s="404" t="s">
        <v>1051</v>
      </c>
      <c r="H31" s="404" t="s">
        <v>1051</v>
      </c>
      <c r="I31" s="30" t="str">
        <f t="shared" si="0"/>
        <v>Cond4</v>
      </c>
    </row>
    <row r="32" spans="1:9" ht="15">
      <c r="A32" s="68" t="str">
        <f>'G-1 All Habitats'!B31</f>
        <v>Heathland and shrub - Lowland heathland</v>
      </c>
      <c r="B32" s="404">
        <v>3</v>
      </c>
      <c r="C32" s="404">
        <v>2.5</v>
      </c>
      <c r="D32" s="404">
        <v>2</v>
      </c>
      <c r="E32" s="404">
        <v>1.5</v>
      </c>
      <c r="F32" s="404">
        <v>1</v>
      </c>
      <c r="G32" s="404" t="s">
        <v>1051</v>
      </c>
      <c r="H32" s="404" t="s">
        <v>1051</v>
      </c>
      <c r="I32" s="30" t="str">
        <f t="shared" si="0"/>
        <v>Cond4</v>
      </c>
    </row>
    <row r="33" spans="1:9" ht="15">
      <c r="A33" s="68" t="str">
        <f>'G-1 All Habitats'!B32</f>
        <v>Heathland and shrub - Mixed scrub</v>
      </c>
      <c r="B33" s="404">
        <v>3</v>
      </c>
      <c r="C33" s="404">
        <v>2.5</v>
      </c>
      <c r="D33" s="404">
        <v>2</v>
      </c>
      <c r="E33" s="404">
        <v>1.5</v>
      </c>
      <c r="F33" s="404">
        <v>1</v>
      </c>
      <c r="G33" s="404" t="s">
        <v>1051</v>
      </c>
      <c r="H33" s="404" t="s">
        <v>1051</v>
      </c>
      <c r="I33" s="30" t="str">
        <f t="shared" si="0"/>
        <v>Cond4</v>
      </c>
    </row>
    <row r="34" spans="1:9" ht="15">
      <c r="A34" s="68" t="str">
        <f>'G-1 All Habitats'!B33</f>
        <v>Heathland and shrub - Mountain heaths and willow scrub</v>
      </c>
      <c r="B34" s="404">
        <v>3</v>
      </c>
      <c r="C34" s="404">
        <v>2.5</v>
      </c>
      <c r="D34" s="404">
        <v>2</v>
      </c>
      <c r="E34" s="404">
        <v>1.5</v>
      </c>
      <c r="F34" s="404">
        <v>1</v>
      </c>
      <c r="G34" s="404" t="s">
        <v>1051</v>
      </c>
      <c r="H34" s="404" t="s">
        <v>1051</v>
      </c>
      <c r="I34" s="30" t="str">
        <f t="shared" si="0"/>
        <v>Cond4</v>
      </c>
    </row>
    <row r="35" spans="1:9" ht="15">
      <c r="A35" s="68" t="str">
        <f>'G-1 All Habitats'!B34</f>
        <v>Heathland and shrub - Rhododendron scrub</v>
      </c>
      <c r="B35" s="404" t="s">
        <v>1051</v>
      </c>
      <c r="C35" s="404" t="s">
        <v>1051</v>
      </c>
      <c r="D35" s="404" t="s">
        <v>1051</v>
      </c>
      <c r="E35" s="404" t="s">
        <v>1051</v>
      </c>
      <c r="F35" s="404" t="s">
        <v>1051</v>
      </c>
      <c r="G35" s="404">
        <v>1</v>
      </c>
      <c r="H35" s="404" t="s">
        <v>1051</v>
      </c>
      <c r="I35" s="30" t="str">
        <f t="shared" si="0"/>
        <v>Cond1</v>
      </c>
    </row>
    <row r="36" spans="1:9" ht="15">
      <c r="A36" s="68" t="str">
        <f>'G-1 All Habitats'!B35</f>
        <v>Heathland and shrub - Dunes with sea buckthorn (H2160)</v>
      </c>
      <c r="B36" s="404">
        <v>3</v>
      </c>
      <c r="C36" s="404">
        <v>2.5</v>
      </c>
      <c r="D36" s="404">
        <v>2</v>
      </c>
      <c r="E36" s="404">
        <v>1.5</v>
      </c>
      <c r="F36" s="404">
        <v>1</v>
      </c>
      <c r="G36" s="404" t="s">
        <v>1051</v>
      </c>
      <c r="H36" s="404" t="s">
        <v>1051</v>
      </c>
      <c r="I36" s="30" t="str">
        <f t="shared" si="0"/>
        <v>Cond4</v>
      </c>
    </row>
    <row r="37" spans="1:9" ht="15">
      <c r="A37" s="68" t="str">
        <f>'G-1 All Habitats'!B36</f>
        <v>Heathland and shrub - Other sea buckthorn scrub</v>
      </c>
      <c r="B37" s="404" t="s">
        <v>1051</v>
      </c>
      <c r="C37" s="404" t="s">
        <v>1051</v>
      </c>
      <c r="D37" s="404" t="s">
        <v>1051</v>
      </c>
      <c r="E37" s="404" t="s">
        <v>1051</v>
      </c>
      <c r="F37" s="404" t="s">
        <v>1051</v>
      </c>
      <c r="G37" s="404">
        <v>1</v>
      </c>
      <c r="H37" s="404" t="s">
        <v>1051</v>
      </c>
      <c r="I37" s="30" t="str">
        <f t="shared" si="0"/>
        <v>Cond1</v>
      </c>
    </row>
    <row r="38" spans="1:9" ht="15">
      <c r="A38" s="68" t="s">
        <v>609</v>
      </c>
      <c r="B38" s="404">
        <v>3</v>
      </c>
      <c r="C38" s="404">
        <v>2.5</v>
      </c>
      <c r="D38" s="404">
        <v>2</v>
      </c>
      <c r="E38" s="404">
        <v>1.5</v>
      </c>
      <c r="F38" s="404">
        <v>1</v>
      </c>
      <c r="G38" s="404" t="s">
        <v>1051</v>
      </c>
      <c r="H38" s="404" t="s">
        <v>1051</v>
      </c>
      <c r="I38" s="30" t="str">
        <f t="shared" si="0"/>
        <v>Cond4</v>
      </c>
    </row>
    <row r="39" spans="1:9" ht="15">
      <c r="A39" s="68" t="str">
        <f>'G-1 All Habitats'!B38</f>
        <v>Heathland and shrub - Upland heathland</v>
      </c>
      <c r="B39" s="404">
        <v>3</v>
      </c>
      <c r="C39" s="404">
        <v>2.5</v>
      </c>
      <c r="D39" s="404">
        <v>2</v>
      </c>
      <c r="E39" s="404">
        <v>1.5</v>
      </c>
      <c r="F39" s="404">
        <v>1</v>
      </c>
      <c r="G39" s="404" t="s">
        <v>1051</v>
      </c>
      <c r="H39" s="404" t="s">
        <v>1051</v>
      </c>
      <c r="I39" s="30" t="str">
        <f t="shared" si="0"/>
        <v>Cond4</v>
      </c>
    </row>
    <row r="40" spans="1:9" ht="15">
      <c r="A40" s="68" t="str">
        <f>'G-1 All Habitats'!B39</f>
        <v>Lakes - Aquifer fed naturally fluctuating water bodies</v>
      </c>
      <c r="B40" s="404">
        <v>3</v>
      </c>
      <c r="C40" s="404">
        <v>2.5</v>
      </c>
      <c r="D40" s="404">
        <v>2</v>
      </c>
      <c r="E40" s="404">
        <v>1.5</v>
      </c>
      <c r="F40" s="404">
        <v>1</v>
      </c>
      <c r="G40" s="404" t="s">
        <v>1051</v>
      </c>
      <c r="H40" s="404" t="s">
        <v>1051</v>
      </c>
      <c r="I40" s="30" t="str">
        <f t="shared" si="0"/>
        <v>Cond4</v>
      </c>
    </row>
    <row r="41" spans="1:9" ht="15">
      <c r="A41" s="68" t="str">
        <f>'G-1 All Habitats'!B41</f>
        <v>Lakes - High alkalinity lakes</v>
      </c>
      <c r="B41" s="404">
        <v>3</v>
      </c>
      <c r="C41" s="404">
        <v>2.5</v>
      </c>
      <c r="D41" s="404">
        <v>2</v>
      </c>
      <c r="E41" s="404">
        <v>1.5</v>
      </c>
      <c r="F41" s="404">
        <v>1</v>
      </c>
      <c r="G41" s="404" t="s">
        <v>1051</v>
      </c>
      <c r="H41" s="404" t="s">
        <v>1051</v>
      </c>
      <c r="I41" s="30" t="str">
        <f t="shared" si="0"/>
        <v>Cond4</v>
      </c>
    </row>
    <row r="42" spans="1:9" ht="15">
      <c r="A42" s="68" t="str">
        <f>'G-1 All Habitats'!B42</f>
        <v>Lakes - Low alkalinity lakes</v>
      </c>
      <c r="B42" s="404">
        <v>3</v>
      </c>
      <c r="C42" s="404">
        <v>2.5</v>
      </c>
      <c r="D42" s="404">
        <v>2</v>
      </c>
      <c r="E42" s="404">
        <v>1.5</v>
      </c>
      <c r="F42" s="404">
        <v>1</v>
      </c>
      <c r="G42" s="404" t="s">
        <v>1051</v>
      </c>
      <c r="H42" s="404" t="s">
        <v>1051</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1051</v>
      </c>
      <c r="H43" s="404" t="s">
        <v>1051</v>
      </c>
      <c r="I43" s="30" t="str">
        <f t="shared" si="1"/>
        <v>Cond4</v>
      </c>
    </row>
    <row r="44" spans="1:9" ht="15">
      <c r="A44" s="68" t="str">
        <f>'G-1 All Habitats'!B44</f>
        <v>Lakes - Moderate alkalinity lakes</v>
      </c>
      <c r="B44" s="404">
        <v>3</v>
      </c>
      <c r="C44" s="404">
        <v>2.5</v>
      </c>
      <c r="D44" s="404">
        <v>2</v>
      </c>
      <c r="E44" s="404">
        <v>1.5</v>
      </c>
      <c r="F44" s="404">
        <v>1</v>
      </c>
      <c r="G44" s="404" t="s">
        <v>1051</v>
      </c>
      <c r="H44" s="404" t="s">
        <v>1051</v>
      </c>
      <c r="I44" s="30" t="str">
        <f t="shared" si="1"/>
        <v>Cond4</v>
      </c>
    </row>
    <row r="45" spans="1:9" ht="15">
      <c r="A45" s="68" t="str">
        <f>'G-1 All Habitats'!B45</f>
        <v>Lakes - Peat lakes</v>
      </c>
      <c r="B45" s="404">
        <v>3</v>
      </c>
      <c r="C45" s="404">
        <v>2.5</v>
      </c>
      <c r="D45" s="404">
        <v>2</v>
      </c>
      <c r="E45" s="404">
        <v>1.5</v>
      </c>
      <c r="F45" s="404">
        <v>1</v>
      </c>
      <c r="G45" s="404" t="s">
        <v>1051</v>
      </c>
      <c r="H45" s="404" t="s">
        <v>1051</v>
      </c>
      <c r="I45" s="30" t="str">
        <f t="shared" si="1"/>
        <v>Cond4</v>
      </c>
    </row>
    <row r="46" spans="1:9" ht="15">
      <c r="A46" s="68" t="str">
        <f>'G-1 All Habitats'!B46</f>
        <v>Lakes - Ponds (priority habitat)</v>
      </c>
      <c r="B46" s="404">
        <v>3</v>
      </c>
      <c r="C46" s="404">
        <v>2.5</v>
      </c>
      <c r="D46" s="404">
        <v>2</v>
      </c>
      <c r="E46" s="404">
        <v>1.5</v>
      </c>
      <c r="F46" s="404">
        <v>1</v>
      </c>
      <c r="G46" s="404" t="s">
        <v>1051</v>
      </c>
      <c r="H46" s="404" t="s">
        <v>1051</v>
      </c>
      <c r="I46" s="30" t="str">
        <f t="shared" si="1"/>
        <v>Cond4</v>
      </c>
    </row>
    <row r="47" spans="1:9" ht="15">
      <c r="A47" s="68" t="str">
        <f>'G-1 All Habitats'!B47</f>
        <v>Lakes - Ponds (non-priority habitat)</v>
      </c>
      <c r="B47" s="404">
        <v>3</v>
      </c>
      <c r="C47" s="404">
        <v>2.5</v>
      </c>
      <c r="D47" s="404">
        <v>2</v>
      </c>
      <c r="E47" s="404">
        <v>1.5</v>
      </c>
      <c r="F47" s="404">
        <v>1</v>
      </c>
      <c r="G47" s="404" t="s">
        <v>1051</v>
      </c>
      <c r="H47" s="404" t="s">
        <v>1051</v>
      </c>
      <c r="I47" s="30" t="str">
        <f t="shared" si="1"/>
        <v>Cond4</v>
      </c>
    </row>
    <row r="48" spans="1:9" ht="15">
      <c r="A48" s="68" t="str">
        <f>'G-1 All Habitats'!B48</f>
        <v>Lakes - Reservoirs</v>
      </c>
      <c r="B48" s="404">
        <v>3</v>
      </c>
      <c r="C48" s="404">
        <v>2.5</v>
      </c>
      <c r="D48" s="404">
        <v>2</v>
      </c>
      <c r="E48" s="404">
        <v>1.5</v>
      </c>
      <c r="F48" s="404">
        <v>1</v>
      </c>
      <c r="G48" s="404" t="s">
        <v>1051</v>
      </c>
      <c r="H48" s="404" t="s">
        <v>1051</v>
      </c>
      <c r="I48" s="30" t="str">
        <f t="shared" si="1"/>
        <v>Cond4</v>
      </c>
    </row>
    <row r="49" spans="1:9" ht="15">
      <c r="A49" s="68" t="str">
        <f>'G-1 All Habitats'!B49</f>
        <v>Lakes - Temporary lakes ponds and pools (H3170)</v>
      </c>
      <c r="B49" s="404">
        <v>3</v>
      </c>
      <c r="C49" s="404">
        <v>2.5</v>
      </c>
      <c r="D49" s="404">
        <v>2</v>
      </c>
      <c r="E49" s="404">
        <v>1.5</v>
      </c>
      <c r="F49" s="404">
        <v>1</v>
      </c>
      <c r="G49" s="404" t="s">
        <v>1051</v>
      </c>
      <c r="H49" s="404" t="s">
        <v>1051</v>
      </c>
      <c r="I49" s="30" t="str">
        <f t="shared" si="1"/>
        <v>Cond4</v>
      </c>
    </row>
    <row r="50" spans="1:9" ht="15">
      <c r="A50" s="68" t="str">
        <f>'G-1 All Habitats'!B50</f>
        <v>Sparsely vegetated land - Calaminarian grasslands</v>
      </c>
      <c r="B50" s="404">
        <v>3</v>
      </c>
      <c r="C50" s="404">
        <v>2.5</v>
      </c>
      <c r="D50" s="404">
        <v>2</v>
      </c>
      <c r="E50" s="404">
        <v>1.5</v>
      </c>
      <c r="F50" s="404">
        <v>1</v>
      </c>
      <c r="G50" s="404" t="s">
        <v>1051</v>
      </c>
      <c r="H50" s="404" t="s">
        <v>1051</v>
      </c>
      <c r="I50" s="30" t="str">
        <f t="shared" si="1"/>
        <v>Cond4</v>
      </c>
    </row>
    <row r="51" spans="1:9" ht="15">
      <c r="A51" s="68" t="str">
        <f>'G-1 All Habitats'!B51</f>
        <v>Sparsely vegetated land - Coastal sand dunes</v>
      </c>
      <c r="B51" s="404">
        <v>3</v>
      </c>
      <c r="C51" s="404">
        <v>2.5</v>
      </c>
      <c r="D51" s="404">
        <v>2</v>
      </c>
      <c r="E51" s="404">
        <v>1.5</v>
      </c>
      <c r="F51" s="404">
        <v>1</v>
      </c>
      <c r="G51" s="404" t="s">
        <v>1051</v>
      </c>
      <c r="H51" s="404" t="s">
        <v>1051</v>
      </c>
      <c r="I51" s="30" t="str">
        <f t="shared" si="1"/>
        <v>Cond4</v>
      </c>
    </row>
    <row r="52" spans="1:9" ht="15">
      <c r="A52" s="68" t="str">
        <f>'G-1 All Habitats'!B52</f>
        <v>Sparsely vegetated land - Coastal vegetated shingle</v>
      </c>
      <c r="B52" s="404">
        <v>3</v>
      </c>
      <c r="C52" s="404">
        <v>2.5</v>
      </c>
      <c r="D52" s="404">
        <v>2</v>
      </c>
      <c r="E52" s="404">
        <v>1.5</v>
      </c>
      <c r="F52" s="404">
        <v>1</v>
      </c>
      <c r="G52" s="404" t="s">
        <v>1051</v>
      </c>
      <c r="H52" s="404" t="s">
        <v>1051</v>
      </c>
      <c r="I52" s="30" t="str">
        <f t="shared" si="1"/>
        <v>Cond4</v>
      </c>
    </row>
    <row r="53" spans="1:9" ht="15">
      <c r="A53" s="68" t="str">
        <f>'G-1 All Habitats'!B53</f>
        <v>Sparsely vegetated land - Ruderal/Ephemeral</v>
      </c>
      <c r="B53" s="404">
        <v>3</v>
      </c>
      <c r="C53" s="404">
        <v>2.5</v>
      </c>
      <c r="D53" s="404">
        <v>2</v>
      </c>
      <c r="E53" s="404">
        <v>1.5</v>
      </c>
      <c r="F53" s="404">
        <v>1</v>
      </c>
      <c r="G53" s="404" t="s">
        <v>1051</v>
      </c>
      <c r="H53" s="404" t="s">
        <v>1051</v>
      </c>
      <c r="I53" s="30" t="str">
        <f t="shared" si="1"/>
        <v>Cond4</v>
      </c>
    </row>
    <row r="54" spans="1:9" ht="15">
      <c r="A54" s="68" t="s">
        <v>667</v>
      </c>
      <c r="B54" s="404">
        <v>3</v>
      </c>
      <c r="C54" s="404">
        <v>2.5</v>
      </c>
      <c r="D54" s="404">
        <v>2</v>
      </c>
      <c r="E54" s="404">
        <v>1.5</v>
      </c>
      <c r="F54" s="404">
        <v>1</v>
      </c>
      <c r="G54" s="404" t="s">
        <v>1051</v>
      </c>
      <c r="H54" s="404" t="s">
        <v>1051</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1051</v>
      </c>
      <c r="H55" s="404" t="s">
        <v>1051</v>
      </c>
      <c r="I55" s="30" t="str">
        <f t="shared" si="1"/>
        <v>Cond4</v>
      </c>
    </row>
    <row r="56" spans="1:9" ht="15">
      <c r="A56" s="68" t="str">
        <f>'G-1 All Habitats'!B56</f>
        <v>Sparsely vegetated land - Limestone pavement</v>
      </c>
      <c r="B56" s="404">
        <v>3</v>
      </c>
      <c r="C56" s="404">
        <v>2.5</v>
      </c>
      <c r="D56" s="404">
        <v>2</v>
      </c>
      <c r="E56" s="404">
        <v>1.5</v>
      </c>
      <c r="F56" s="404">
        <v>1</v>
      </c>
      <c r="G56" s="404" t="s">
        <v>1051</v>
      </c>
      <c r="H56" s="404" t="s">
        <v>1051</v>
      </c>
      <c r="I56" s="30" t="str">
        <f t="shared" si="1"/>
        <v>Cond4</v>
      </c>
    </row>
    <row r="57" spans="1:9" ht="15">
      <c r="A57" s="68" t="str">
        <f>'G-1 All Habitats'!B57</f>
        <v>Sparsely vegetated land - Maritime cliff and slopes</v>
      </c>
      <c r="B57" s="404">
        <v>3</v>
      </c>
      <c r="C57" s="404">
        <v>2.5</v>
      </c>
      <c r="D57" s="404">
        <v>2</v>
      </c>
      <c r="E57" s="404">
        <v>1.5</v>
      </c>
      <c r="F57" s="404">
        <v>1</v>
      </c>
      <c r="G57" s="404" t="s">
        <v>1051</v>
      </c>
      <c r="H57" s="404" t="s">
        <v>1051</v>
      </c>
      <c r="I57" s="30" t="str">
        <f t="shared" si="1"/>
        <v>Cond4</v>
      </c>
    </row>
    <row r="58" spans="1:9" ht="15">
      <c r="A58" s="68" t="str">
        <f>'G-1 All Habitats'!B58</f>
        <v>Sparsely vegetated land - Other inland rock and scree</v>
      </c>
      <c r="B58" s="404">
        <v>3</v>
      </c>
      <c r="C58" s="404">
        <v>2.5</v>
      </c>
      <c r="D58" s="404">
        <v>2</v>
      </c>
      <c r="E58" s="404">
        <v>1.5</v>
      </c>
      <c r="F58" s="404">
        <v>1</v>
      </c>
      <c r="G58" s="404" t="s">
        <v>1051</v>
      </c>
      <c r="H58" s="404" t="s">
        <v>1051</v>
      </c>
      <c r="I58" s="30" t="str">
        <f t="shared" si="1"/>
        <v>Cond4</v>
      </c>
    </row>
    <row r="59" spans="1:9" ht="15">
      <c r="A59" s="68" t="str">
        <f>'G-1 All Habitats'!B59</f>
        <v>Urban - Allotments</v>
      </c>
      <c r="B59" s="404">
        <v>3</v>
      </c>
      <c r="C59" s="404">
        <v>2.5</v>
      </c>
      <c r="D59" s="404">
        <v>2</v>
      </c>
      <c r="E59" s="404">
        <v>1.5</v>
      </c>
      <c r="F59" s="404">
        <v>1</v>
      </c>
      <c r="G59" s="404" t="s">
        <v>1051</v>
      </c>
      <c r="H59" s="404" t="s">
        <v>1051</v>
      </c>
      <c r="I59" s="30" t="str">
        <f t="shared" si="1"/>
        <v>Cond4</v>
      </c>
    </row>
    <row r="60" spans="1:9" ht="15">
      <c r="A60" s="68" t="str">
        <f>'G-1 All Habitats'!B40</f>
        <v>Lakes - Ornamental lake or pond</v>
      </c>
      <c r="B60" s="404">
        <v>3</v>
      </c>
      <c r="C60" s="404">
        <v>2.5</v>
      </c>
      <c r="D60" s="404">
        <v>2</v>
      </c>
      <c r="E60" s="404">
        <v>1.5</v>
      </c>
      <c r="F60" s="404">
        <v>1</v>
      </c>
      <c r="G60" s="404" t="s">
        <v>1051</v>
      </c>
      <c r="H60" s="404" t="s">
        <v>1051</v>
      </c>
      <c r="I60" s="30" t="str">
        <f t="shared" si="1"/>
        <v>Cond4</v>
      </c>
    </row>
    <row r="61" spans="1:9" ht="15">
      <c r="A61" s="68" t="str">
        <f>'G-1 All Habitats'!B60</f>
        <v>Urban - Artificial unvegetated, unsealed surface</v>
      </c>
      <c r="B61" s="404" t="s">
        <v>1051</v>
      </c>
      <c r="C61" s="404" t="s">
        <v>1051</v>
      </c>
      <c r="D61" s="404" t="s">
        <v>1051</v>
      </c>
      <c r="E61" s="404" t="s">
        <v>1051</v>
      </c>
      <c r="F61" s="404" t="s">
        <v>1051</v>
      </c>
      <c r="G61" s="404" t="s">
        <v>1051</v>
      </c>
      <c r="H61" s="440">
        <v>0</v>
      </c>
      <c r="I61" s="30" t="str">
        <f t="shared" si="1"/>
        <v>Cond2</v>
      </c>
    </row>
    <row r="62" spans="1:9" ht="15">
      <c r="A62" s="68" t="str">
        <f>'G-1 All Habitats'!B61</f>
        <v>Urban - Bioswale</v>
      </c>
      <c r="B62" s="404">
        <v>3</v>
      </c>
      <c r="C62" s="404">
        <v>2.5</v>
      </c>
      <c r="D62" s="404">
        <v>2</v>
      </c>
      <c r="E62" s="404">
        <v>1.5</v>
      </c>
      <c r="F62" s="404">
        <v>1</v>
      </c>
      <c r="G62" s="404" t="s">
        <v>1051</v>
      </c>
      <c r="H62" s="404" t="s">
        <v>1051</v>
      </c>
      <c r="I62" s="30" t="str">
        <f t="shared" si="1"/>
        <v>Cond4</v>
      </c>
    </row>
    <row r="63" spans="1:9" ht="15">
      <c r="A63" s="68" t="str">
        <f>'G-1 All Habitats'!B62</f>
        <v>Urban - Intensive green roof</v>
      </c>
      <c r="B63" s="404">
        <v>3</v>
      </c>
      <c r="C63" s="404">
        <v>2.5</v>
      </c>
      <c r="D63" s="404">
        <v>2</v>
      </c>
      <c r="E63" s="404">
        <v>1.5</v>
      </c>
      <c r="F63" s="404">
        <v>1</v>
      </c>
      <c r="G63" s="404" t="s">
        <v>1051</v>
      </c>
      <c r="H63" s="404" t="s">
        <v>1051</v>
      </c>
      <c r="I63" s="30" t="str">
        <f t="shared" si="1"/>
        <v>Cond4</v>
      </c>
    </row>
    <row r="64" spans="1:9" ht="15">
      <c r="A64" s="68" t="str">
        <f>'G-1 All Habitats'!B63</f>
        <v>Urban - Built linear features</v>
      </c>
      <c r="B64" s="404" t="s">
        <v>1051</v>
      </c>
      <c r="C64" s="404" t="s">
        <v>1051</v>
      </c>
      <c r="D64" s="404" t="s">
        <v>1051</v>
      </c>
      <c r="E64" s="404" t="s">
        <v>1051</v>
      </c>
      <c r="F64" s="404" t="s">
        <v>1051</v>
      </c>
      <c r="G64" s="404" t="s">
        <v>1051</v>
      </c>
      <c r="H64" s="440">
        <v>0</v>
      </c>
      <c r="I64" s="30" t="str">
        <f t="shared" si="1"/>
        <v>Cond2</v>
      </c>
    </row>
    <row r="65" spans="1:9" ht="15">
      <c r="A65" s="68" t="str">
        <f>'G-1 All Habitats'!B64</f>
        <v>Urban - Cemeteries and churchyards</v>
      </c>
      <c r="B65" s="404">
        <v>3</v>
      </c>
      <c r="C65" s="404">
        <v>2.5</v>
      </c>
      <c r="D65" s="404">
        <v>2</v>
      </c>
      <c r="E65" s="404">
        <v>1.5</v>
      </c>
      <c r="F65" s="404">
        <v>1</v>
      </c>
      <c r="G65" s="404" t="s">
        <v>1051</v>
      </c>
      <c r="H65" s="404" t="s">
        <v>1051</v>
      </c>
      <c r="I65" s="30" t="str">
        <f t="shared" si="1"/>
        <v>Cond4</v>
      </c>
    </row>
    <row r="66" spans="1:9" ht="15">
      <c r="A66" s="68" t="str">
        <f>'G-1 All Habitats'!B65</f>
        <v>Urban - Developed land; sealed surface</v>
      </c>
      <c r="B66" s="404" t="s">
        <v>1051</v>
      </c>
      <c r="C66" s="404" t="s">
        <v>1051</v>
      </c>
      <c r="D66" s="404" t="s">
        <v>1051</v>
      </c>
      <c r="E66" s="404" t="s">
        <v>1051</v>
      </c>
      <c r="F66" s="404" t="s">
        <v>1051</v>
      </c>
      <c r="G66" s="404" t="s">
        <v>1051</v>
      </c>
      <c r="H66" s="440">
        <v>0</v>
      </c>
      <c r="I66" s="30" t="str">
        <f t="shared" si="1"/>
        <v>Cond2</v>
      </c>
    </row>
    <row r="67" spans="1:9" ht="15">
      <c r="A67" s="68" t="str">
        <f>'G-1 All Habitats'!B66</f>
        <v>Urban - Other green roof</v>
      </c>
      <c r="B67" s="404" t="s">
        <v>1051</v>
      </c>
      <c r="C67" s="404" t="s">
        <v>1051</v>
      </c>
      <c r="D67" s="404" t="s">
        <v>1051</v>
      </c>
      <c r="E67" s="404" t="s">
        <v>1051</v>
      </c>
      <c r="F67" s="404" t="s">
        <v>1051</v>
      </c>
      <c r="G67" s="404">
        <v>1</v>
      </c>
      <c r="H67" s="404" t="s">
        <v>1051</v>
      </c>
      <c r="I67" s="30" t="str">
        <f t="shared" si="1"/>
        <v>Cond1</v>
      </c>
    </row>
    <row r="68" spans="1:9" ht="15">
      <c r="A68" s="68" t="str">
        <f>'G-1 All Habitats'!B67</f>
        <v>Urban - Facade-bound green wall</v>
      </c>
      <c r="B68" s="404">
        <v>3</v>
      </c>
      <c r="C68" s="404">
        <v>2.5</v>
      </c>
      <c r="D68" s="404">
        <v>2</v>
      </c>
      <c r="E68" s="404">
        <v>1.5</v>
      </c>
      <c r="F68" s="404">
        <v>1</v>
      </c>
      <c r="G68" s="404" t="s">
        <v>1051</v>
      </c>
      <c r="H68" s="404" t="s">
        <v>1051</v>
      </c>
      <c r="I68" s="30" t="str">
        <f t="shared" si="1"/>
        <v>Cond4</v>
      </c>
    </row>
    <row r="69" spans="1:9" ht="15">
      <c r="A69" s="68" t="str">
        <f>'G-1 All Habitats'!B68</f>
        <v>Urban - Ground based green wall</v>
      </c>
      <c r="B69" s="404">
        <v>3</v>
      </c>
      <c r="C69" s="404">
        <v>2.5</v>
      </c>
      <c r="D69" s="404">
        <v>2</v>
      </c>
      <c r="E69" s="404">
        <v>1.5</v>
      </c>
      <c r="F69" s="404">
        <v>1</v>
      </c>
      <c r="G69" s="404" t="s">
        <v>1051</v>
      </c>
      <c r="H69" s="404" t="s">
        <v>1051</v>
      </c>
      <c r="I69" s="30" t="str">
        <f t="shared" si="1"/>
        <v>Cond4</v>
      </c>
    </row>
    <row r="70" spans="1:9" ht="15">
      <c r="A70" s="68" t="str">
        <f>'G-1 All Habitats'!B69</f>
        <v>Urban - Ground level planters</v>
      </c>
      <c r="B70" s="404" t="s">
        <v>1051</v>
      </c>
      <c r="C70" s="404" t="s">
        <v>1051</v>
      </c>
      <c r="D70" s="404" t="s">
        <v>1051</v>
      </c>
      <c r="E70" s="404" t="s">
        <v>1051</v>
      </c>
      <c r="F70" s="404" t="s">
        <v>1051</v>
      </c>
      <c r="G70" s="404">
        <v>1</v>
      </c>
      <c r="H70" s="404" t="s">
        <v>1051</v>
      </c>
      <c r="I70" s="30" t="str">
        <f t="shared" si="1"/>
        <v>Cond1</v>
      </c>
    </row>
    <row r="71" spans="1:9" ht="15">
      <c r="A71" s="68" t="str">
        <f>'G-1 All Habitats'!B70</f>
        <v>Urban - Biodiverse green roof</v>
      </c>
      <c r="B71" s="404">
        <v>3</v>
      </c>
      <c r="C71" s="404">
        <v>2.5</v>
      </c>
      <c r="D71" s="404">
        <v>2</v>
      </c>
      <c r="E71" s="404">
        <v>1.5</v>
      </c>
      <c r="F71" s="404">
        <v>1</v>
      </c>
      <c r="G71" s="404" t="s">
        <v>1051</v>
      </c>
      <c r="H71" s="404" t="s">
        <v>1051</v>
      </c>
      <c r="I71" s="30" t="str">
        <f t="shared" si="1"/>
        <v>Cond4</v>
      </c>
    </row>
    <row r="72" spans="1:9" ht="15">
      <c r="A72" s="68" t="str">
        <f>'G-1 All Habitats'!B71</f>
        <v>Urban - Introduced shrub</v>
      </c>
      <c r="B72" s="404" t="s">
        <v>1051</v>
      </c>
      <c r="C72" s="404" t="s">
        <v>1051</v>
      </c>
      <c r="D72" s="404" t="s">
        <v>1051</v>
      </c>
      <c r="E72" s="404" t="s">
        <v>1051</v>
      </c>
      <c r="F72" s="404" t="s">
        <v>1051</v>
      </c>
      <c r="G72" s="404">
        <v>1</v>
      </c>
      <c r="H72" s="404" t="s">
        <v>1051</v>
      </c>
      <c r="I72" s="30" t="str">
        <f t="shared" si="1"/>
        <v>Cond1</v>
      </c>
    </row>
    <row r="73" spans="1:9" ht="15">
      <c r="A73" s="68" t="str">
        <f>'G-1 All Habitats'!B72</f>
        <v>Urban - Open mosaic habitats on previously developed land</v>
      </c>
      <c r="B73" s="404">
        <v>3</v>
      </c>
      <c r="C73" s="404">
        <v>2.5</v>
      </c>
      <c r="D73" s="404">
        <v>2</v>
      </c>
      <c r="E73" s="404">
        <v>1.5</v>
      </c>
      <c r="F73" s="404">
        <v>1</v>
      </c>
      <c r="G73" s="404" t="s">
        <v>1051</v>
      </c>
      <c r="H73" s="404" t="s">
        <v>1051</v>
      </c>
      <c r="I73" s="30" t="str">
        <f t="shared" si="1"/>
        <v>Cond4</v>
      </c>
    </row>
    <row r="74" spans="1:9" ht="15">
      <c r="A74" s="68" t="str">
        <f>'G-1 All Habitats'!B73</f>
        <v>Urban - Rain garden</v>
      </c>
      <c r="B74" s="404">
        <v>3</v>
      </c>
      <c r="C74" s="404">
        <v>2.5</v>
      </c>
      <c r="D74" s="404">
        <v>2</v>
      </c>
      <c r="E74" s="404">
        <v>1.5</v>
      </c>
      <c r="F74" s="404">
        <v>1</v>
      </c>
      <c r="G74" s="404" t="s">
        <v>1051</v>
      </c>
      <c r="H74" s="404" t="s">
        <v>1051</v>
      </c>
      <c r="I74" s="30" t="str">
        <f t="shared" si="1"/>
        <v>Cond4</v>
      </c>
    </row>
    <row r="75" spans="1:9" ht="15">
      <c r="A75" s="68" t="str">
        <f>'G-1 All Habitats'!B74</f>
        <v>Urban - Actively worked sand pit quarry or open cast mine</v>
      </c>
      <c r="B75" s="404" t="s">
        <v>1051</v>
      </c>
      <c r="C75" s="404" t="s">
        <v>1051</v>
      </c>
      <c r="D75" s="404" t="s">
        <v>1051</v>
      </c>
      <c r="E75" s="404" t="s">
        <v>1051</v>
      </c>
      <c r="F75" s="404" t="s">
        <v>1051</v>
      </c>
      <c r="G75" s="404">
        <v>1</v>
      </c>
      <c r="H75" s="404" t="s">
        <v>1051</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1051</v>
      </c>
      <c r="H76" s="404" t="s">
        <v>1051</v>
      </c>
      <c r="I76" s="30" t="str">
        <f t="shared" si="2"/>
        <v>Cond4</v>
      </c>
    </row>
    <row r="77" spans="1:9" ht="15">
      <c r="A77" s="68" t="str">
        <f>'G-1 All Habitats'!B75</f>
        <v>Urban - Sustainable drainage system</v>
      </c>
      <c r="B77" s="404">
        <v>3</v>
      </c>
      <c r="C77" s="404">
        <v>2.5</v>
      </c>
      <c r="D77" s="404">
        <v>2</v>
      </c>
      <c r="E77" s="404">
        <v>1.5</v>
      </c>
      <c r="F77" s="404">
        <v>1</v>
      </c>
      <c r="G77" s="404" t="s">
        <v>1051</v>
      </c>
      <c r="H77" s="404" t="s">
        <v>1051</v>
      </c>
      <c r="I77" s="30" t="str">
        <f t="shared" si="2"/>
        <v>Cond4</v>
      </c>
    </row>
    <row r="78" spans="1:9" ht="15">
      <c r="A78" s="68" t="str">
        <f>'G-1 All Habitats'!B76</f>
        <v>Urban - Unvegetated garden</v>
      </c>
      <c r="B78" s="404" t="s">
        <v>1051</v>
      </c>
      <c r="C78" s="404" t="s">
        <v>1051</v>
      </c>
      <c r="D78" s="404" t="s">
        <v>1051</v>
      </c>
      <c r="E78" s="404" t="s">
        <v>1051</v>
      </c>
      <c r="F78" s="404" t="s">
        <v>1051</v>
      </c>
      <c r="G78" s="404" t="s">
        <v>1051</v>
      </c>
      <c r="H78" s="440">
        <v>0</v>
      </c>
      <c r="I78" s="30" t="str">
        <f t="shared" si="2"/>
        <v>Cond2</v>
      </c>
    </row>
    <row r="79" spans="1:9" ht="15">
      <c r="A79" s="68" t="str">
        <f>'G-1 All Habitats'!B77</f>
        <v>Urban - Vacant or derelict land</v>
      </c>
      <c r="B79" s="404">
        <v>3</v>
      </c>
      <c r="C79" s="404">
        <v>2.5</v>
      </c>
      <c r="D79" s="404">
        <v>2</v>
      </c>
      <c r="E79" s="404">
        <v>1.5</v>
      </c>
      <c r="F79" s="404">
        <v>1</v>
      </c>
      <c r="G79" s="404" t="s">
        <v>1051</v>
      </c>
      <c r="H79" s="404" t="s">
        <v>1051</v>
      </c>
      <c r="I79" s="30" t="str">
        <f t="shared" si="2"/>
        <v>Cond4</v>
      </c>
    </row>
    <row r="80" spans="1:9" ht="15">
      <c r="A80" s="68" t="s">
        <v>738</v>
      </c>
      <c r="B80" s="404">
        <v>3</v>
      </c>
      <c r="C80" s="404">
        <v>2.5</v>
      </c>
      <c r="D80" s="404">
        <v>2</v>
      </c>
      <c r="E80" s="404">
        <v>1.5</v>
      </c>
      <c r="F80" s="404">
        <v>1</v>
      </c>
      <c r="G80" s="404" t="s">
        <v>1051</v>
      </c>
      <c r="H80" s="404" t="s">
        <v>1051</v>
      </c>
      <c r="I80" s="30" t="str">
        <f t="shared" si="2"/>
        <v>Cond4</v>
      </c>
    </row>
    <row r="81" spans="1:9" ht="15">
      <c r="A81" s="68" t="str">
        <f>'G-1 All Habitats'!B79</f>
        <v>Urban - Vegetated garden</v>
      </c>
      <c r="B81" s="404" t="s">
        <v>1051</v>
      </c>
      <c r="C81" s="404" t="s">
        <v>1051</v>
      </c>
      <c r="D81" s="404" t="s">
        <v>1051</v>
      </c>
      <c r="E81" s="404" t="s">
        <v>1051</v>
      </c>
      <c r="F81" s="404" t="s">
        <v>1051</v>
      </c>
      <c r="G81" s="404">
        <v>1</v>
      </c>
      <c r="H81" s="404" t="s">
        <v>1051</v>
      </c>
      <c r="I81" s="30" t="str">
        <f t="shared" si="2"/>
        <v>Cond1</v>
      </c>
    </row>
    <row r="82" spans="1:9" ht="15">
      <c r="A82" s="68" t="str">
        <f>'G-1 All Habitats'!B82</f>
        <v>Wetland - Blanket bog</v>
      </c>
      <c r="B82" s="404">
        <v>3</v>
      </c>
      <c r="C82" s="404">
        <v>2.5</v>
      </c>
      <c r="D82" s="404">
        <v>2</v>
      </c>
      <c r="E82" s="404">
        <v>1.5</v>
      </c>
      <c r="F82" s="404">
        <v>1</v>
      </c>
      <c r="G82" s="404" t="s">
        <v>1051</v>
      </c>
      <c r="H82" s="404" t="s">
        <v>1051</v>
      </c>
      <c r="I82" s="30" t="str">
        <f t="shared" si="2"/>
        <v>Cond4</v>
      </c>
    </row>
    <row r="83" spans="1:9" ht="15">
      <c r="A83" s="68" t="str">
        <f>'G-1 All Habitats'!B83</f>
        <v>Wetland - Depressions on peat substrates (H7150)</v>
      </c>
      <c r="B83" s="404">
        <v>3</v>
      </c>
      <c r="C83" s="404">
        <v>2.5</v>
      </c>
      <c r="D83" s="404">
        <v>2</v>
      </c>
      <c r="E83" s="404">
        <v>1.5</v>
      </c>
      <c r="F83" s="404">
        <v>1</v>
      </c>
      <c r="G83" s="404" t="s">
        <v>1051</v>
      </c>
      <c r="H83" s="404" t="s">
        <v>1051</v>
      </c>
      <c r="I83" s="30" t="str">
        <f t="shared" si="2"/>
        <v>Cond4</v>
      </c>
    </row>
    <row r="84" spans="1:9" ht="15">
      <c r="A84" s="68" t="str">
        <f>'G-1 All Habitats'!B84</f>
        <v>Wetland - Fens (upland and lowland)</v>
      </c>
      <c r="B84" s="404">
        <v>3</v>
      </c>
      <c r="C84" s="404">
        <v>2.5</v>
      </c>
      <c r="D84" s="404">
        <v>2</v>
      </c>
      <c r="E84" s="404">
        <v>1.5</v>
      </c>
      <c r="F84" s="404">
        <v>1</v>
      </c>
      <c r="G84" s="404" t="s">
        <v>1051</v>
      </c>
      <c r="H84" s="404" t="s">
        <v>1051</v>
      </c>
      <c r="I84" s="30" t="str">
        <f t="shared" si="2"/>
        <v>Cond4</v>
      </c>
    </row>
    <row r="85" spans="1:9" ht="15">
      <c r="A85" s="68" t="str">
        <f>'G-1 All Habitats'!B85</f>
        <v>Wetland - Lowland raised bog</v>
      </c>
      <c r="B85" s="404">
        <v>3</v>
      </c>
      <c r="C85" s="404">
        <v>2.5</v>
      </c>
      <c r="D85" s="404">
        <v>2</v>
      </c>
      <c r="E85" s="404">
        <v>1.5</v>
      </c>
      <c r="F85" s="404">
        <v>1</v>
      </c>
      <c r="G85" s="404" t="s">
        <v>1051</v>
      </c>
      <c r="H85" s="404" t="s">
        <v>1051</v>
      </c>
      <c r="I85" s="30" t="str">
        <f t="shared" si="2"/>
        <v>Cond4</v>
      </c>
    </row>
    <row r="86" spans="1:9" ht="15">
      <c r="A86" s="68" t="str">
        <f>'G-1 All Habitats'!B86</f>
        <v>Wetland - Oceanic valley mire[1] (D2.1)</v>
      </c>
      <c r="B86" s="404">
        <v>3</v>
      </c>
      <c r="C86" s="404">
        <v>2.5</v>
      </c>
      <c r="D86" s="404">
        <v>2</v>
      </c>
      <c r="E86" s="404">
        <v>1.5</v>
      </c>
      <c r="F86" s="404">
        <v>1</v>
      </c>
      <c r="G86" s="404" t="s">
        <v>1051</v>
      </c>
      <c r="H86" s="404" t="s">
        <v>1051</v>
      </c>
      <c r="I86" s="30" t="str">
        <f t="shared" si="2"/>
        <v>Cond4</v>
      </c>
    </row>
    <row r="87" spans="1:9" ht="15">
      <c r="A87" s="68" t="str">
        <f>'G-1 All Habitats'!B87</f>
        <v>Wetland - Purple moor grass and rush pastures</v>
      </c>
      <c r="B87" s="404">
        <v>3</v>
      </c>
      <c r="C87" s="404">
        <v>2.5</v>
      </c>
      <c r="D87" s="404">
        <v>2</v>
      </c>
      <c r="E87" s="404">
        <v>1.5</v>
      </c>
      <c r="F87" s="404">
        <v>1</v>
      </c>
      <c r="G87" s="404" t="s">
        <v>1051</v>
      </c>
      <c r="H87" s="404" t="s">
        <v>1051</v>
      </c>
      <c r="I87" s="30" t="str">
        <f t="shared" si="2"/>
        <v>Cond4</v>
      </c>
    </row>
    <row r="88" spans="1:9" ht="15">
      <c r="A88" s="68" t="str">
        <f>'G-1 All Habitats'!B88</f>
        <v>Wetland - Reedbeds</v>
      </c>
      <c r="B88" s="404">
        <v>3</v>
      </c>
      <c r="C88" s="404">
        <v>2.5</v>
      </c>
      <c r="D88" s="404">
        <v>2</v>
      </c>
      <c r="E88" s="404">
        <v>1.5</v>
      </c>
      <c r="F88" s="404">
        <v>1</v>
      </c>
      <c r="G88" s="404" t="s">
        <v>1051</v>
      </c>
      <c r="H88" s="404" t="s">
        <v>1051</v>
      </c>
      <c r="I88" s="30" t="str">
        <f t="shared" si="2"/>
        <v>Cond4</v>
      </c>
    </row>
    <row r="89" spans="1:9" ht="15">
      <c r="A89" s="68" t="str">
        <f>'G-1 All Habitats'!B89</f>
        <v>Wetland - Transition mires and quaking bogs (H7140)</v>
      </c>
      <c r="B89" s="404">
        <v>3</v>
      </c>
      <c r="C89" s="404">
        <v>2.5</v>
      </c>
      <c r="D89" s="404">
        <v>2</v>
      </c>
      <c r="E89" s="404">
        <v>1.5</v>
      </c>
      <c r="F89" s="404">
        <v>1</v>
      </c>
      <c r="G89" s="404" t="s">
        <v>1051</v>
      </c>
      <c r="H89" s="404" t="s">
        <v>1051</v>
      </c>
      <c r="I89" s="30" t="str">
        <f t="shared" si="2"/>
        <v>Cond4</v>
      </c>
    </row>
    <row r="90" spans="1:9" ht="15">
      <c r="A90" s="68" t="str">
        <f>'G-1 All Habitats'!B90</f>
        <v>Woodland and forest - Felled</v>
      </c>
      <c r="B90" s="404">
        <v>3</v>
      </c>
      <c r="C90" s="404" t="s">
        <v>1051</v>
      </c>
      <c r="D90" s="404" t="s">
        <v>1051</v>
      </c>
      <c r="E90" s="404" t="s">
        <v>1051</v>
      </c>
      <c r="F90" s="404" t="s">
        <v>1051</v>
      </c>
      <c r="G90" s="404" t="s">
        <v>1051</v>
      </c>
      <c r="H90" s="404" t="s">
        <v>1051</v>
      </c>
      <c r="I90" s="30" t="s">
        <v>1159</v>
      </c>
    </row>
    <row r="91" spans="1:9" ht="15">
      <c r="A91" s="68" t="str">
        <f>'G-1 All Habitats'!B91</f>
        <v>Woodland and forest - Lowland beech and yew woodland</v>
      </c>
      <c r="B91" s="404">
        <v>3</v>
      </c>
      <c r="C91" s="404">
        <v>2.5</v>
      </c>
      <c r="D91" s="404">
        <v>2</v>
      </c>
      <c r="E91" s="404">
        <v>1.5</v>
      </c>
      <c r="F91" s="404">
        <v>1</v>
      </c>
      <c r="G91" s="404" t="s">
        <v>1051</v>
      </c>
      <c r="H91" s="404" t="s">
        <v>1051</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1051</v>
      </c>
      <c r="H92" s="404" t="s">
        <v>1051</v>
      </c>
      <c r="I92" s="30" t="str">
        <f t="shared" si="3"/>
        <v>Cond4</v>
      </c>
    </row>
    <row r="93" spans="1:9" ht="15">
      <c r="A93" s="68" t="str">
        <f>'G-1 All Habitats'!B93</f>
        <v>Woodland and forest - Native pine woodlands</v>
      </c>
      <c r="B93" s="404">
        <v>3</v>
      </c>
      <c r="C93" s="404">
        <v>2.5</v>
      </c>
      <c r="D93" s="404">
        <v>2</v>
      </c>
      <c r="E93" s="404">
        <v>1.5</v>
      </c>
      <c r="F93" s="404">
        <v>1</v>
      </c>
      <c r="G93" s="404" t="s">
        <v>1051</v>
      </c>
      <c r="H93" s="404" t="s">
        <v>1051</v>
      </c>
      <c r="I93" s="30" t="str">
        <f t="shared" si="3"/>
        <v>Cond4</v>
      </c>
    </row>
    <row r="94" spans="1:9" ht="15">
      <c r="A94" s="68" t="str">
        <f>'G-1 All Habitats'!B94</f>
        <v>Woodland and forest - Other coniferous woodland</v>
      </c>
      <c r="B94" s="404">
        <v>3</v>
      </c>
      <c r="C94" s="404">
        <v>2.5</v>
      </c>
      <c r="D94" s="404">
        <v>2</v>
      </c>
      <c r="E94" s="404">
        <v>1.5</v>
      </c>
      <c r="F94" s="404">
        <v>1</v>
      </c>
      <c r="G94" s="404" t="s">
        <v>1051</v>
      </c>
      <c r="H94" s="404" t="s">
        <v>1051</v>
      </c>
      <c r="I94" s="30" t="str">
        <f t="shared" si="3"/>
        <v>Cond4</v>
      </c>
    </row>
    <row r="95" spans="1:9" ht="15">
      <c r="A95" s="68" t="str">
        <f>'G-1 All Habitats'!B95</f>
        <v>Woodland and forest - Other Scot's pine woodland</v>
      </c>
      <c r="B95" s="404">
        <v>3</v>
      </c>
      <c r="C95" s="404">
        <v>2.5</v>
      </c>
      <c r="D95" s="404">
        <v>2</v>
      </c>
      <c r="E95" s="404">
        <v>1.5</v>
      </c>
      <c r="F95" s="404">
        <v>1</v>
      </c>
      <c r="G95" s="404" t="s">
        <v>1051</v>
      </c>
      <c r="H95" s="404" t="s">
        <v>1051</v>
      </c>
      <c r="I95" s="30" t="str">
        <f t="shared" si="3"/>
        <v>Cond4</v>
      </c>
    </row>
    <row r="96" spans="1:9" ht="15">
      <c r="A96" s="68" t="str">
        <f>'G-1 All Habitats'!B96</f>
        <v>Woodland and forest - Other woodland; broadleaved</v>
      </c>
      <c r="B96" s="404">
        <v>3</v>
      </c>
      <c r="C96" s="404">
        <v>2.5</v>
      </c>
      <c r="D96" s="404">
        <v>2</v>
      </c>
      <c r="E96" s="404">
        <v>1.5</v>
      </c>
      <c r="F96" s="404">
        <v>1</v>
      </c>
      <c r="G96" s="404" t="s">
        <v>1051</v>
      </c>
      <c r="H96" s="404" t="s">
        <v>1051</v>
      </c>
      <c r="I96" s="30" t="str">
        <f t="shared" si="3"/>
        <v>Cond4</v>
      </c>
    </row>
    <row r="97" spans="1:9" ht="15">
      <c r="A97" s="68" t="str">
        <f>'G-1 All Habitats'!B97</f>
        <v>Woodland and forest - Other woodland; mixed</v>
      </c>
      <c r="B97" s="404">
        <v>3</v>
      </c>
      <c r="C97" s="404">
        <v>2.5</v>
      </c>
      <c r="D97" s="404">
        <v>2</v>
      </c>
      <c r="E97" s="404">
        <v>1.5</v>
      </c>
      <c r="F97" s="404">
        <v>1</v>
      </c>
      <c r="G97" s="404" t="s">
        <v>1051</v>
      </c>
      <c r="H97" s="404" t="s">
        <v>1051</v>
      </c>
      <c r="I97" s="30" t="str">
        <f t="shared" si="3"/>
        <v>Cond4</v>
      </c>
    </row>
    <row r="98" spans="1:9" ht="15">
      <c r="A98" s="68" t="str">
        <f>'G-1 All Habitats'!B98</f>
        <v>Woodland and forest - Upland birchwoods</v>
      </c>
      <c r="B98" s="404">
        <v>3</v>
      </c>
      <c r="C98" s="404">
        <v>2.5</v>
      </c>
      <c r="D98" s="404">
        <v>2</v>
      </c>
      <c r="E98" s="404">
        <v>1.5</v>
      </c>
      <c r="F98" s="404">
        <v>1</v>
      </c>
      <c r="G98" s="404" t="s">
        <v>1051</v>
      </c>
      <c r="H98" s="404" t="s">
        <v>1051</v>
      </c>
      <c r="I98" s="30" t="str">
        <f t="shared" si="3"/>
        <v>Cond4</v>
      </c>
    </row>
    <row r="99" spans="1:9" ht="15">
      <c r="A99" s="68" t="str">
        <f>'G-1 All Habitats'!B99</f>
        <v>Woodland and forest - Upland mixed ashwoods</v>
      </c>
      <c r="B99" s="404">
        <v>3</v>
      </c>
      <c r="C99" s="404">
        <v>2.5</v>
      </c>
      <c r="D99" s="404">
        <v>2</v>
      </c>
      <c r="E99" s="404">
        <v>1.5</v>
      </c>
      <c r="F99" s="404">
        <v>1</v>
      </c>
      <c r="G99" s="404" t="s">
        <v>1051</v>
      </c>
      <c r="H99" s="404" t="s">
        <v>1051</v>
      </c>
      <c r="I99" s="30" t="str">
        <f t="shared" si="3"/>
        <v>Cond4</v>
      </c>
    </row>
    <row r="100" spans="1:9" ht="15">
      <c r="A100" s="68" t="str">
        <f>'G-1 All Habitats'!B100</f>
        <v>Woodland and forest - Upland oakwood</v>
      </c>
      <c r="B100" s="404">
        <v>3</v>
      </c>
      <c r="C100" s="404">
        <v>2.5</v>
      </c>
      <c r="D100" s="404">
        <v>2</v>
      </c>
      <c r="E100" s="404">
        <v>1.5</v>
      </c>
      <c r="F100" s="404">
        <v>1</v>
      </c>
      <c r="G100" s="404" t="s">
        <v>1051</v>
      </c>
      <c r="H100" s="404" t="s">
        <v>1051</v>
      </c>
      <c r="I100" s="30" t="str">
        <f t="shared" si="3"/>
        <v>Cond4</v>
      </c>
    </row>
    <row r="101" spans="1:9" ht="15">
      <c r="A101" s="68" t="str">
        <f>'G-1 All Habitats'!B101</f>
        <v>Woodland and forest - Wet woodland</v>
      </c>
      <c r="B101" s="404">
        <v>3</v>
      </c>
      <c r="C101" s="404">
        <v>2.5</v>
      </c>
      <c r="D101" s="404">
        <v>2</v>
      </c>
      <c r="E101" s="404">
        <v>1.5</v>
      </c>
      <c r="F101" s="404">
        <v>1</v>
      </c>
      <c r="G101" s="404" t="s">
        <v>1051</v>
      </c>
      <c r="H101" s="404" t="s">
        <v>1051</v>
      </c>
      <c r="I101" s="30" t="str">
        <f t="shared" si="3"/>
        <v>Cond4</v>
      </c>
    </row>
    <row r="102" spans="1:9" ht="15">
      <c r="A102" s="68" t="str">
        <f>'G-1 All Habitats'!B102</f>
        <v>Woodland and forest - Wood-pasture and parkland</v>
      </c>
      <c r="B102" s="404">
        <v>3</v>
      </c>
      <c r="C102" s="404">
        <v>2.5</v>
      </c>
      <c r="D102" s="404">
        <v>2</v>
      </c>
      <c r="E102" s="404">
        <v>1.5</v>
      </c>
      <c r="F102" s="404">
        <v>1</v>
      </c>
      <c r="G102" s="404" t="s">
        <v>1051</v>
      </c>
      <c r="H102" s="404" t="s">
        <v>1051</v>
      </c>
      <c r="I102" s="30" t="str">
        <f t="shared" si="3"/>
        <v>Cond4</v>
      </c>
    </row>
    <row r="103" spans="1:9" ht="15">
      <c r="A103" s="68" t="str">
        <f>'G-1 All Habitats'!B103</f>
        <v>Coastal lagoons - Coastal lagoons</v>
      </c>
      <c r="B103" s="404">
        <v>3</v>
      </c>
      <c r="C103" s="404">
        <v>2.5</v>
      </c>
      <c r="D103" s="404">
        <v>2</v>
      </c>
      <c r="E103" s="404">
        <v>1.5</v>
      </c>
      <c r="F103" s="404">
        <v>1</v>
      </c>
      <c r="G103" s="404" t="s">
        <v>1051</v>
      </c>
      <c r="H103" s="404" t="s">
        <v>1051</v>
      </c>
      <c r="I103" s="30" t="str">
        <f t="shared" si="3"/>
        <v>Cond4</v>
      </c>
    </row>
    <row r="104" spans="1:9" ht="15">
      <c r="A104" s="68" t="str">
        <f>'G-1 All Habitats'!B104</f>
        <v>Rocky shore - High energy littoral rock</v>
      </c>
      <c r="B104" s="404">
        <v>3</v>
      </c>
      <c r="C104" s="404">
        <v>2.5</v>
      </c>
      <c r="D104" s="404">
        <v>2</v>
      </c>
      <c r="E104" s="404">
        <v>1.5</v>
      </c>
      <c r="F104" s="404">
        <v>1</v>
      </c>
      <c r="G104" s="404" t="s">
        <v>1051</v>
      </c>
      <c r="H104" s="404" t="s">
        <v>1051</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1051</v>
      </c>
      <c r="H105" s="404" t="s">
        <v>1051</v>
      </c>
      <c r="I105" s="30" t="str">
        <f t="shared" si="3"/>
        <v>Cond4</v>
      </c>
    </row>
    <row r="106" spans="1:9" ht="15">
      <c r="A106" s="68" t="str">
        <f>'G-1 All Habitats'!B106</f>
        <v>Rocky shore - Moderate energy littoral rock</v>
      </c>
      <c r="B106" s="404">
        <v>3</v>
      </c>
      <c r="C106" s="404">
        <v>2.5</v>
      </c>
      <c r="D106" s="404">
        <v>2</v>
      </c>
      <c r="E106" s="404">
        <v>1.5</v>
      </c>
      <c r="F106" s="404">
        <v>1</v>
      </c>
      <c r="G106" s="404" t="s">
        <v>1051</v>
      </c>
      <c r="H106" s="404" t="s">
        <v>1051</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1051</v>
      </c>
      <c r="H107" s="404" t="s">
        <v>1051</v>
      </c>
      <c r="I107" s="30" t="str">
        <f t="shared" si="3"/>
        <v>Cond4</v>
      </c>
    </row>
    <row r="108" spans="1:9" ht="15">
      <c r="A108" s="68" t="str">
        <f>'G-1 All Habitats'!B108</f>
        <v>Rocky shore - Low energy littoral rock</v>
      </c>
      <c r="B108" s="404">
        <v>3</v>
      </c>
      <c r="C108" s="404">
        <v>2.5</v>
      </c>
      <c r="D108" s="404">
        <v>2</v>
      </c>
      <c r="E108" s="404">
        <v>1.5</v>
      </c>
      <c r="F108" s="404">
        <v>1</v>
      </c>
      <c r="G108" s="404" t="s">
        <v>1051</v>
      </c>
      <c r="H108" s="404" t="s">
        <v>1051</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1051</v>
      </c>
      <c r="H109" s="404" t="s">
        <v>1051</v>
      </c>
      <c r="I109" s="30" t="str">
        <f t="shared" si="3"/>
        <v>Cond4</v>
      </c>
    </row>
    <row r="110" spans="1:9" ht="15">
      <c r="A110" s="68" t="str">
        <f>'G-1 All Habitats'!B110</f>
        <v>Rocky shore - Features of littoral rock</v>
      </c>
      <c r="B110" s="404">
        <v>3</v>
      </c>
      <c r="C110" s="404">
        <v>2.5</v>
      </c>
      <c r="D110" s="404">
        <v>2</v>
      </c>
      <c r="E110" s="404">
        <v>1.5</v>
      </c>
      <c r="F110" s="404">
        <v>1</v>
      </c>
      <c r="G110" s="404" t="s">
        <v>1051</v>
      </c>
      <c r="H110" s="404" t="s">
        <v>1051</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1051</v>
      </c>
      <c r="H111" s="404" t="s">
        <v>1051</v>
      </c>
      <c r="I111" s="30" t="str">
        <f t="shared" si="3"/>
        <v>Cond4</v>
      </c>
    </row>
    <row r="112" spans="1:9" ht="15">
      <c r="A112" s="68" t="str">
        <f>'G-1 All Habitats'!B114</f>
        <v>Intertidal sediment - Littoral coarse sediment</v>
      </c>
      <c r="B112" s="404">
        <v>3</v>
      </c>
      <c r="C112" s="404">
        <v>2.5</v>
      </c>
      <c r="D112" s="404">
        <v>2</v>
      </c>
      <c r="E112" s="404">
        <v>1.5</v>
      </c>
      <c r="F112" s="404">
        <v>1</v>
      </c>
      <c r="G112" s="404" t="s">
        <v>1051</v>
      </c>
      <c r="H112" s="404" t="s">
        <v>1051</v>
      </c>
      <c r="I112" s="30" t="str">
        <f t="shared" si="3"/>
        <v>Cond4</v>
      </c>
    </row>
    <row r="113" spans="1:9" ht="15">
      <c r="A113" s="68" t="str">
        <f>'G-1 All Habitats'!B115</f>
        <v>Intertidal sediment - Littoral mud</v>
      </c>
      <c r="B113" s="404">
        <v>3</v>
      </c>
      <c r="C113" s="404">
        <v>2.5</v>
      </c>
      <c r="D113" s="404">
        <v>2</v>
      </c>
      <c r="E113" s="404">
        <v>1.5</v>
      </c>
      <c r="F113" s="404">
        <v>1</v>
      </c>
      <c r="G113" s="404" t="s">
        <v>1051</v>
      </c>
      <c r="H113" s="404" t="s">
        <v>1051</v>
      </c>
      <c r="I113" s="30" t="str">
        <f t="shared" si="3"/>
        <v>Cond4</v>
      </c>
    </row>
    <row r="114" spans="1:9" ht="15">
      <c r="A114" s="68" t="str">
        <f>'G-1 All Habitats'!B116</f>
        <v>Intertidal sediment - Littoral mixed sediments</v>
      </c>
      <c r="B114" s="404">
        <v>3</v>
      </c>
      <c r="C114" s="404">
        <v>2.5</v>
      </c>
      <c r="D114" s="404">
        <v>2</v>
      </c>
      <c r="E114" s="404">
        <v>1.5</v>
      </c>
      <c r="F114" s="404">
        <v>1</v>
      </c>
      <c r="G114" s="404" t="s">
        <v>1051</v>
      </c>
      <c r="H114" s="404" t="s">
        <v>1051</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1051</v>
      </c>
      <c r="H115" s="404" t="s">
        <v>1051</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1051</v>
      </c>
      <c r="H116" s="404" t="s">
        <v>1051</v>
      </c>
      <c r="I116" s="30" t="str">
        <f t="shared" si="3"/>
        <v>Cond4</v>
      </c>
    </row>
    <row r="117" spans="1:9" ht="15">
      <c r="A117" s="68" t="str">
        <f>'G-1 All Habitats'!B117</f>
        <v>Intertidal sediment - Littoral seagrass</v>
      </c>
      <c r="B117" s="404">
        <v>3</v>
      </c>
      <c r="C117" s="404">
        <v>2.5</v>
      </c>
      <c r="D117" s="404">
        <v>2</v>
      </c>
      <c r="E117" s="404">
        <v>1.5</v>
      </c>
      <c r="F117" s="404">
        <v>1</v>
      </c>
      <c r="G117" s="404" t="s">
        <v>1051</v>
      </c>
      <c r="H117" s="404" t="s">
        <v>1051</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1051</v>
      </c>
      <c r="H118" s="404" t="s">
        <v>1051</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1051</v>
      </c>
      <c r="H119" s="404" t="s">
        <v>1051</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1051</v>
      </c>
      <c r="H120" s="404" t="s">
        <v>1051</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1051</v>
      </c>
      <c r="H121" s="404" t="s">
        <v>1051</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1051</v>
      </c>
      <c r="H122" s="404" t="s">
        <v>1051</v>
      </c>
      <c r="I122" s="30" t="str">
        <f t="shared" si="3"/>
        <v>Cond4</v>
      </c>
    </row>
    <row r="123" spans="1:9" ht="15">
      <c r="A123" s="68" t="str">
        <f>'G-1 All Habitats'!B123</f>
        <v>Intertidal sediment - Artificial littoral mud</v>
      </c>
      <c r="B123" s="404">
        <v>3</v>
      </c>
      <c r="C123" s="404">
        <v>2.5</v>
      </c>
      <c r="D123" s="404">
        <v>2</v>
      </c>
      <c r="E123" s="404">
        <v>1.5</v>
      </c>
      <c r="F123" s="404">
        <v>1</v>
      </c>
      <c r="G123" s="404" t="s">
        <v>1051</v>
      </c>
      <c r="H123" s="404" t="s">
        <v>1051</v>
      </c>
      <c r="I123" s="30" t="str">
        <f t="shared" si="3"/>
        <v>Cond4</v>
      </c>
    </row>
    <row r="124" spans="1:9" ht="15">
      <c r="A124" s="68" t="str">
        <f>'G-1 All Habitats'!B124</f>
        <v>Intertidal sediment - Artificial littoral sand</v>
      </c>
      <c r="B124" s="404">
        <v>3</v>
      </c>
      <c r="C124" s="404">
        <v>2.5</v>
      </c>
      <c r="D124" s="404">
        <v>2</v>
      </c>
      <c r="E124" s="404">
        <v>1.5</v>
      </c>
      <c r="F124" s="404">
        <v>1</v>
      </c>
      <c r="G124" s="404" t="s">
        <v>1051</v>
      </c>
      <c r="H124" s="404" t="s">
        <v>1051</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1051</v>
      </c>
      <c r="H125" s="404" t="s">
        <v>1051</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1051</v>
      </c>
      <c r="H126" s="404" t="s">
        <v>1051</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1051</v>
      </c>
      <c r="H127" s="404" t="s">
        <v>1051</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1051</v>
      </c>
      <c r="H128" s="404" t="s">
        <v>1051</v>
      </c>
      <c r="I128" s="30" t="str">
        <f t="shared" si="3"/>
        <v>Cond4</v>
      </c>
    </row>
    <row r="129" spans="1:9" ht="15">
      <c r="A129" s="68" t="str">
        <f>'G-1 All Habitats'!B129</f>
        <v>Intertidal sediment - Littoral sand</v>
      </c>
      <c r="B129" s="404">
        <v>3</v>
      </c>
      <c r="C129" s="404">
        <v>2.5</v>
      </c>
      <c r="D129" s="404">
        <v>2</v>
      </c>
      <c r="E129" s="404">
        <v>1.5</v>
      </c>
      <c r="F129" s="404">
        <v>1</v>
      </c>
      <c r="G129" s="404" t="s">
        <v>1051</v>
      </c>
      <c r="H129" s="404" t="s">
        <v>1051</v>
      </c>
      <c r="I129" s="30" t="str">
        <f t="shared" si="3"/>
        <v>Cond4</v>
      </c>
    </row>
    <row r="130" spans="1:9" ht="15">
      <c r="A130" s="68" t="str">
        <f>'G-1 All Habitats'!B130</f>
        <v>Intertidal sediment - Littoral muddy sand</v>
      </c>
      <c r="B130" s="404">
        <v>3</v>
      </c>
      <c r="C130" s="404">
        <v>2.5</v>
      </c>
      <c r="D130" s="404">
        <v>2</v>
      </c>
      <c r="E130" s="404">
        <v>1.5</v>
      </c>
      <c r="F130" s="404">
        <v>1</v>
      </c>
      <c r="G130" s="404" t="s">
        <v>1051</v>
      </c>
      <c r="H130" s="404" t="s">
        <v>1051</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1051</v>
      </c>
      <c r="H131" s="404" t="s">
        <v>1051</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1051</v>
      </c>
      <c r="H132" s="404" t="s">
        <v>1051</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1051</v>
      </c>
      <c r="H133" s="404" t="s">
        <v>1051</v>
      </c>
      <c r="I133" s="30" t="str">
        <f t="shared" si="3"/>
        <v>Cond4</v>
      </c>
    </row>
    <row r="134" spans="1:9" ht="15">
      <c r="A134" s="68" t="s">
        <v>929</v>
      </c>
      <c r="B134" s="404" t="s">
        <v>1051</v>
      </c>
      <c r="C134" s="404" t="s">
        <v>1051</v>
      </c>
      <c r="D134" s="404" t="s">
        <v>1051</v>
      </c>
      <c r="E134" s="404" t="s">
        <v>1051</v>
      </c>
      <c r="F134" s="404" t="s">
        <v>1051</v>
      </c>
      <c r="G134" s="404" t="s">
        <v>1051</v>
      </c>
      <c r="H134" s="404">
        <v>0</v>
      </c>
      <c r="I134" s="30" t="str">
        <f t="shared" si="3"/>
        <v>Cond2</v>
      </c>
    </row>
    <row r="135" spans="1:9" ht="15">
      <c r="A135" s="68" t="s">
        <v>747</v>
      </c>
      <c r="B135" s="404">
        <v>3</v>
      </c>
      <c r="C135" s="404">
        <v>2.5</v>
      </c>
      <c r="D135" s="404">
        <v>2</v>
      </c>
      <c r="E135" s="404">
        <v>1.5</v>
      </c>
      <c r="F135" s="404">
        <v>1</v>
      </c>
      <c r="G135" s="404" t="s">
        <v>1051</v>
      </c>
      <c r="H135" s="404" t="s">
        <v>1051</v>
      </c>
      <c r="I135" s="30" t="str">
        <f t="shared" si="3"/>
        <v>Cond4</v>
      </c>
    </row>
    <row r="136" spans="1:9" ht="15"/>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row r="148" ht="14.45" customHeight="1"/>
    <row r="149" ht="14.45" customHeight="1"/>
    <row r="150" ht="14.45" customHeight="1"/>
    <row r="151" ht="14.45" customHeight="1"/>
  </sheetData>
  <sheetProtection algorithmName="SHA-512" hashValue="MCgybX+5nzsjqsvDJMu5SC6MbnKd3pNGjW1Y2s8j7LSa8y6fh1E4stiW5+8RZY8Y6+Ve4ZgdqYZgfhlMeavUxg==" saltValue="zbCP9Vj51VBX7kXO9ah9rA==" spinCount="100000" sheet="1" objects="1" scenarios="1"/>
  <autoFilter ref="A3:H82"/>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CD3"/>
  </sheetPr>
  <dimension ref="A1:S216"/>
  <sheetViews>
    <sheetView showGridLines="0" zoomScale="80" zoomScaleNormal="80" workbookViewId="0"/>
  </sheetViews>
  <sheetFormatPr defaultColWidth="0" defaultRowHeight="15" zeroHeight="1"/>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row r="2" spans="2:4" ht="61.15" customHeight="1" thickBot="1">
      <c r="B2" s="1681" t="s">
        <v>1160</v>
      </c>
      <c r="C2" s="1682"/>
      <c r="D2" s="1683"/>
    </row>
    <row r="3" spans="2:4" ht="16.5" thickBot="1">
      <c r="B3" s="694" t="s">
        <v>1161</v>
      </c>
      <c r="C3" s="695" t="s">
        <v>1162</v>
      </c>
      <c r="D3" s="696" t="s">
        <v>1163</v>
      </c>
    </row>
    <row r="4" spans="2:4">
      <c r="B4" s="697" t="s">
        <v>1164</v>
      </c>
      <c r="C4" s="446" t="s">
        <v>807</v>
      </c>
      <c r="D4" s="444" t="s">
        <v>70</v>
      </c>
    </row>
    <row r="5" spans="2:4">
      <c r="B5" s="613" t="s">
        <v>1165</v>
      </c>
      <c r="C5" s="404" t="s">
        <v>804</v>
      </c>
      <c r="D5" s="452" t="s">
        <v>70</v>
      </c>
    </row>
    <row r="6" spans="2:4">
      <c r="B6" s="613" t="s">
        <v>1166</v>
      </c>
      <c r="C6" s="404" t="s">
        <v>789</v>
      </c>
      <c r="D6" s="452" t="s">
        <v>213</v>
      </c>
    </row>
    <row r="7" spans="2:4">
      <c r="B7" s="613" t="s">
        <v>1167</v>
      </c>
      <c r="C7" s="404" t="s">
        <v>804</v>
      </c>
      <c r="D7" s="452" t="s">
        <v>70</v>
      </c>
    </row>
    <row r="8" spans="2:4">
      <c r="B8" s="613" t="s">
        <v>795</v>
      </c>
      <c r="C8" s="404" t="s">
        <v>797</v>
      </c>
      <c r="D8" s="452" t="s">
        <v>216</v>
      </c>
    </row>
    <row r="9" spans="2:4">
      <c r="B9" s="613" t="s">
        <v>1168</v>
      </c>
      <c r="C9" s="404" t="s">
        <v>792</v>
      </c>
      <c r="D9" s="452" t="s">
        <v>213</v>
      </c>
    </row>
    <row r="10" spans="2:4">
      <c r="B10" s="613" t="s">
        <v>1169</v>
      </c>
      <c r="C10" s="404" t="s">
        <v>797</v>
      </c>
      <c r="D10" s="452" t="s">
        <v>216</v>
      </c>
    </row>
    <row r="11" spans="2:4">
      <c r="B11" s="613" t="s">
        <v>1170</v>
      </c>
      <c r="C11" s="404" t="s">
        <v>807</v>
      </c>
      <c r="D11" s="452" t="s">
        <v>70</v>
      </c>
    </row>
    <row r="12" spans="2:4">
      <c r="B12" s="613" t="s">
        <v>1171</v>
      </c>
      <c r="C12" s="404" t="s">
        <v>789</v>
      </c>
      <c r="D12" s="452" t="s">
        <v>213</v>
      </c>
    </row>
    <row r="13" spans="2:4">
      <c r="B13" s="613" t="s">
        <v>1172</v>
      </c>
      <c r="C13" s="404" t="s">
        <v>807</v>
      </c>
      <c r="D13" s="452" t="s">
        <v>70</v>
      </c>
    </row>
    <row r="14" spans="2:4">
      <c r="B14" s="613" t="s">
        <v>1173</v>
      </c>
      <c r="C14" s="404" t="s">
        <v>590</v>
      </c>
      <c r="D14" s="452" t="s">
        <v>70</v>
      </c>
    </row>
    <row r="15" spans="2:4">
      <c r="B15" s="613" t="s">
        <v>1174</v>
      </c>
      <c r="C15" s="404" t="s">
        <v>590</v>
      </c>
      <c r="D15" s="452" t="s">
        <v>70</v>
      </c>
    </row>
    <row r="16" spans="2:4">
      <c r="B16" s="613" t="s">
        <v>1175</v>
      </c>
      <c r="C16" s="404" t="s">
        <v>590</v>
      </c>
      <c r="D16" s="452" t="s">
        <v>70</v>
      </c>
    </row>
    <row r="17" spans="2:4">
      <c r="B17" s="613" t="s">
        <v>1176</v>
      </c>
      <c r="C17" s="404" t="s">
        <v>824</v>
      </c>
      <c r="D17" s="452" t="s">
        <v>468</v>
      </c>
    </row>
    <row r="18" spans="2:4">
      <c r="B18" s="613" t="s">
        <v>1177</v>
      </c>
      <c r="C18" s="404" t="s">
        <v>824</v>
      </c>
      <c r="D18" s="452" t="s">
        <v>468</v>
      </c>
    </row>
    <row r="19" spans="2:4">
      <c r="B19" s="613" t="s">
        <v>1178</v>
      </c>
      <c r="C19" s="404" t="s">
        <v>797</v>
      </c>
      <c r="D19" s="452" t="s">
        <v>70</v>
      </c>
    </row>
    <row r="20" spans="2:4">
      <c r="B20" s="613" t="s">
        <v>1179</v>
      </c>
      <c r="C20" s="404" t="s">
        <v>824</v>
      </c>
      <c r="D20" s="452" t="s">
        <v>468</v>
      </c>
    </row>
    <row r="21" spans="2:4">
      <c r="B21" s="613" t="s">
        <v>1180</v>
      </c>
      <c r="C21" s="404" t="s">
        <v>743</v>
      </c>
      <c r="D21" s="452" t="s">
        <v>70</v>
      </c>
    </row>
    <row r="22" spans="2:4">
      <c r="B22" s="613" t="s">
        <v>1180</v>
      </c>
      <c r="C22" s="404" t="s">
        <v>747</v>
      </c>
      <c r="D22" s="452" t="s">
        <v>70</v>
      </c>
    </row>
    <row r="23" spans="2:4">
      <c r="B23" s="613" t="s">
        <v>1181</v>
      </c>
      <c r="C23" s="404" t="s">
        <v>782</v>
      </c>
      <c r="D23" s="452" t="s">
        <v>213</v>
      </c>
    </row>
    <row r="24" spans="2:4">
      <c r="B24" s="613" t="s">
        <v>1182</v>
      </c>
      <c r="C24" s="404" t="s">
        <v>782</v>
      </c>
      <c r="D24" s="452" t="s">
        <v>213</v>
      </c>
    </row>
    <row r="25" spans="2:4">
      <c r="B25" s="613" t="s">
        <v>1183</v>
      </c>
      <c r="C25" s="404" t="s">
        <v>782</v>
      </c>
      <c r="D25" s="452" t="s">
        <v>213</v>
      </c>
    </row>
    <row r="26" spans="2:4">
      <c r="B26" s="613" t="s">
        <v>1184</v>
      </c>
      <c r="C26" s="404" t="s">
        <v>782</v>
      </c>
      <c r="D26" s="452" t="s">
        <v>213</v>
      </c>
    </row>
    <row r="27" spans="2:4">
      <c r="B27" s="613" t="s">
        <v>516</v>
      </c>
      <c r="C27" s="404" t="s">
        <v>545</v>
      </c>
      <c r="D27" s="452" t="s">
        <v>70</v>
      </c>
    </row>
    <row r="28" spans="2:4">
      <c r="B28" s="613" t="s">
        <v>516</v>
      </c>
      <c r="C28" s="404" t="s">
        <v>557</v>
      </c>
      <c r="D28" s="452" t="s">
        <v>70</v>
      </c>
    </row>
    <row r="29" spans="2:4">
      <c r="B29" s="613" t="s">
        <v>1185</v>
      </c>
      <c r="C29" s="404" t="s">
        <v>530</v>
      </c>
      <c r="D29" s="452" t="s">
        <v>468</v>
      </c>
    </row>
    <row r="30" spans="2:4">
      <c r="B30" s="613" t="s">
        <v>1185</v>
      </c>
      <c r="C30" s="404" t="s">
        <v>563</v>
      </c>
      <c r="D30" s="452" t="s">
        <v>468</v>
      </c>
    </row>
    <row r="31" spans="2:4">
      <c r="B31" s="613" t="s">
        <v>1186</v>
      </c>
      <c r="C31" s="404" t="s">
        <v>557</v>
      </c>
      <c r="D31" s="452" t="s">
        <v>70</v>
      </c>
    </row>
    <row r="32" spans="2:4">
      <c r="B32" s="613" t="s">
        <v>1186</v>
      </c>
      <c r="C32" s="404" t="s">
        <v>545</v>
      </c>
      <c r="D32" s="452" t="s">
        <v>70</v>
      </c>
    </row>
    <row r="33" spans="2:4">
      <c r="B33" s="613" t="s">
        <v>1187</v>
      </c>
      <c r="C33" s="404" t="s">
        <v>541</v>
      </c>
      <c r="D33" s="452" t="s">
        <v>216</v>
      </c>
    </row>
    <row r="34" spans="2:4">
      <c r="B34" s="613" t="s">
        <v>539</v>
      </c>
      <c r="C34" s="404" t="s">
        <v>548</v>
      </c>
      <c r="D34" s="452" t="s">
        <v>70</v>
      </c>
    </row>
    <row r="35" spans="2:4">
      <c r="B35" s="613" t="s">
        <v>1188</v>
      </c>
      <c r="C35" s="404" t="s">
        <v>536</v>
      </c>
      <c r="D35" s="452" t="s">
        <v>468</v>
      </c>
    </row>
    <row r="36" spans="2:4">
      <c r="B36" s="614" t="s">
        <v>1189</v>
      </c>
      <c r="C36" s="428" t="s">
        <v>548</v>
      </c>
      <c r="D36" s="615" t="s">
        <v>70</v>
      </c>
    </row>
    <row r="37" spans="2:4">
      <c r="B37" s="613" t="s">
        <v>1190</v>
      </c>
      <c r="C37" s="404" t="s">
        <v>541</v>
      </c>
      <c r="D37" s="452" t="s">
        <v>216</v>
      </c>
    </row>
    <row r="38" spans="2:4">
      <c r="B38" s="613" t="s">
        <v>527</v>
      </c>
      <c r="C38" s="404" t="s">
        <v>560</v>
      </c>
      <c r="D38" s="452" t="s">
        <v>213</v>
      </c>
    </row>
    <row r="39" spans="2:4">
      <c r="B39" s="613" t="s">
        <v>527</v>
      </c>
      <c r="C39" s="404" t="s">
        <v>524</v>
      </c>
      <c r="D39" s="452" t="s">
        <v>213</v>
      </c>
    </row>
    <row r="40" spans="2:4">
      <c r="B40" s="613" t="s">
        <v>1191</v>
      </c>
      <c r="C40" s="404" t="s">
        <v>524</v>
      </c>
      <c r="D40" s="452" t="s">
        <v>213</v>
      </c>
    </row>
    <row r="41" spans="2:4">
      <c r="B41" s="613" t="s">
        <v>1191</v>
      </c>
      <c r="C41" s="404" t="s">
        <v>560</v>
      </c>
      <c r="D41" s="452" t="s">
        <v>213</v>
      </c>
    </row>
    <row r="42" spans="2:4" ht="29.45" customHeight="1">
      <c r="B42" s="613" t="s">
        <v>1192</v>
      </c>
      <c r="C42" s="404" t="s">
        <v>560</v>
      </c>
      <c r="D42" s="452" t="s">
        <v>213</v>
      </c>
    </row>
    <row r="43" spans="2:4" ht="29.45" customHeight="1">
      <c r="B43" s="613" t="s">
        <v>1192</v>
      </c>
      <c r="C43" s="404" t="s">
        <v>524</v>
      </c>
      <c r="D43" s="452" t="s">
        <v>213</v>
      </c>
    </row>
    <row r="44" spans="2:4">
      <c r="B44" s="613" t="s">
        <v>1193</v>
      </c>
      <c r="C44" s="404" t="s">
        <v>541</v>
      </c>
      <c r="D44" s="452" t="s">
        <v>216</v>
      </c>
    </row>
    <row r="45" spans="2:4">
      <c r="B45" s="613" t="s">
        <v>1194</v>
      </c>
      <c r="C45" s="404" t="s">
        <v>541</v>
      </c>
      <c r="D45" s="452" t="s">
        <v>216</v>
      </c>
    </row>
    <row r="46" spans="2:4">
      <c r="B46" s="613" t="s">
        <v>1195</v>
      </c>
      <c r="C46" s="404" t="s">
        <v>773</v>
      </c>
      <c r="D46" s="452" t="s">
        <v>468</v>
      </c>
    </row>
    <row r="47" spans="2:4">
      <c r="B47" s="613" t="s">
        <v>1195</v>
      </c>
      <c r="C47" s="404" t="s">
        <v>548</v>
      </c>
      <c r="D47" s="452" t="s">
        <v>70</v>
      </c>
    </row>
    <row r="48" spans="2:4">
      <c r="B48" s="613" t="s">
        <v>1195</v>
      </c>
      <c r="C48" s="404" t="s">
        <v>541</v>
      </c>
      <c r="D48" s="452" t="s">
        <v>216</v>
      </c>
    </row>
    <row r="49" spans="2:4">
      <c r="B49" s="613" t="s">
        <v>1196</v>
      </c>
      <c r="C49" s="404" t="s">
        <v>541</v>
      </c>
      <c r="D49" s="452" t="s">
        <v>216</v>
      </c>
    </row>
    <row r="50" spans="2:4">
      <c r="B50" s="613" t="s">
        <v>1197</v>
      </c>
      <c r="C50" s="404" t="s">
        <v>660</v>
      </c>
      <c r="D50" s="452" t="s">
        <v>213</v>
      </c>
    </row>
    <row r="51" spans="2:4">
      <c r="B51" s="613" t="s">
        <v>1198</v>
      </c>
      <c r="C51" s="404" t="s">
        <v>656</v>
      </c>
      <c r="D51" s="452" t="s">
        <v>213</v>
      </c>
    </row>
    <row r="52" spans="2:4">
      <c r="B52" s="613" t="s">
        <v>1199</v>
      </c>
      <c r="C52" s="404" t="s">
        <v>656</v>
      </c>
      <c r="D52" s="452" t="s">
        <v>213</v>
      </c>
    </row>
    <row r="53" spans="2:4">
      <c r="B53" s="613" t="s">
        <v>1200</v>
      </c>
      <c r="C53" s="404" t="s">
        <v>656</v>
      </c>
      <c r="D53" s="452" t="s">
        <v>213</v>
      </c>
    </row>
    <row r="54" spans="2:4">
      <c r="B54" s="613" t="s">
        <v>1201</v>
      </c>
      <c r="C54" s="404" t="s">
        <v>656</v>
      </c>
      <c r="D54" s="452" t="s">
        <v>213</v>
      </c>
    </row>
    <row r="55" spans="2:4">
      <c r="B55" s="613" t="s">
        <v>1202</v>
      </c>
      <c r="C55" s="404" t="s">
        <v>656</v>
      </c>
      <c r="D55" s="452" t="s">
        <v>213</v>
      </c>
    </row>
    <row r="56" spans="2:4">
      <c r="B56" s="613" t="s">
        <v>1203</v>
      </c>
      <c r="C56" s="404" t="s">
        <v>656</v>
      </c>
      <c r="D56" s="452" t="s">
        <v>213</v>
      </c>
    </row>
    <row r="57" spans="2:4">
      <c r="B57" s="613" t="s">
        <v>1204</v>
      </c>
      <c r="C57" s="404" t="s">
        <v>677</v>
      </c>
      <c r="D57" s="452" t="s">
        <v>213</v>
      </c>
    </row>
    <row r="58" spans="2:4">
      <c r="B58" s="613" t="s">
        <v>1205</v>
      </c>
      <c r="C58" s="404" t="s">
        <v>677</v>
      </c>
      <c r="D58" s="452" t="s">
        <v>213</v>
      </c>
    </row>
    <row r="59" spans="2:4">
      <c r="B59" s="613" t="s">
        <v>1206</v>
      </c>
      <c r="C59" s="404" t="s">
        <v>677</v>
      </c>
      <c r="D59" s="452" t="s">
        <v>213</v>
      </c>
    </row>
    <row r="60" spans="2:4">
      <c r="B60" s="613" t="s">
        <v>1207</v>
      </c>
      <c r="C60" s="404" t="s">
        <v>677</v>
      </c>
      <c r="D60" s="452" t="s">
        <v>213</v>
      </c>
    </row>
    <row r="61" spans="2:4">
      <c r="B61" s="613" t="s">
        <v>1207</v>
      </c>
      <c r="C61" s="404" t="s">
        <v>1208</v>
      </c>
      <c r="D61" s="452" t="s">
        <v>213</v>
      </c>
    </row>
    <row r="62" spans="2:4">
      <c r="B62" s="613" t="s">
        <v>1209</v>
      </c>
      <c r="C62" s="404" t="s">
        <v>677</v>
      </c>
      <c r="D62" s="452" t="s">
        <v>213</v>
      </c>
    </row>
    <row r="63" spans="2:4">
      <c r="B63" s="613" t="s">
        <v>1209</v>
      </c>
      <c r="C63" s="404" t="s">
        <v>536</v>
      </c>
      <c r="D63" s="452" t="s">
        <v>468</v>
      </c>
    </row>
    <row r="64" spans="2:4">
      <c r="B64" s="613" t="s">
        <v>1209</v>
      </c>
      <c r="C64" s="404" t="s">
        <v>530</v>
      </c>
      <c r="D64" s="452" t="s">
        <v>468</v>
      </c>
    </row>
    <row r="65" spans="2:4">
      <c r="B65" s="613" t="s">
        <v>1209</v>
      </c>
      <c r="C65" s="404" t="s">
        <v>545</v>
      </c>
      <c r="D65" s="452" t="s">
        <v>70</v>
      </c>
    </row>
    <row r="66" spans="2:4">
      <c r="B66" s="613" t="s">
        <v>1210</v>
      </c>
      <c r="C66" s="404" t="s">
        <v>677</v>
      </c>
      <c r="D66" s="452" t="s">
        <v>213</v>
      </c>
    </row>
    <row r="67" spans="2:4">
      <c r="B67" s="613" t="s">
        <v>1210</v>
      </c>
      <c r="C67" s="430" t="s">
        <v>583</v>
      </c>
      <c r="D67" s="452" t="s">
        <v>213</v>
      </c>
    </row>
    <row r="68" spans="2:4">
      <c r="B68" s="613" t="s">
        <v>1211</v>
      </c>
      <c r="C68" s="404" t="s">
        <v>1212</v>
      </c>
      <c r="D68" s="452" t="s">
        <v>468</v>
      </c>
    </row>
    <row r="69" spans="2:4">
      <c r="B69" s="613" t="s">
        <v>1211</v>
      </c>
      <c r="C69" s="404" t="s">
        <v>1213</v>
      </c>
      <c r="D69" s="452" t="s">
        <v>70</v>
      </c>
    </row>
    <row r="70" spans="2:4">
      <c r="B70" s="613" t="s">
        <v>1211</v>
      </c>
      <c r="C70" s="404" t="s">
        <v>624</v>
      </c>
      <c r="D70" s="452" t="s">
        <v>213</v>
      </c>
    </row>
    <row r="71" spans="2:4">
      <c r="B71" s="613" t="s">
        <v>1211</v>
      </c>
      <c r="C71" s="404" t="s">
        <v>627</v>
      </c>
      <c r="D71" s="452" t="s">
        <v>213</v>
      </c>
    </row>
    <row r="72" spans="2:4">
      <c r="B72" s="613" t="s">
        <v>1211</v>
      </c>
      <c r="C72" s="404" t="s">
        <v>630</v>
      </c>
      <c r="D72" s="452" t="s">
        <v>213</v>
      </c>
    </row>
    <row r="73" spans="2:4">
      <c r="B73" s="613" t="s">
        <v>1211</v>
      </c>
      <c r="C73" s="404" t="s">
        <v>633</v>
      </c>
      <c r="D73" s="452" t="s">
        <v>213</v>
      </c>
    </row>
    <row r="74" spans="2:4">
      <c r="B74" s="613" t="s">
        <v>1211</v>
      </c>
      <c r="C74" s="404" t="s">
        <v>1214</v>
      </c>
      <c r="D74" s="452" t="s">
        <v>213</v>
      </c>
    </row>
    <row r="75" spans="2:4">
      <c r="B75" s="613" t="s">
        <v>1211</v>
      </c>
      <c r="C75" s="404" t="s">
        <v>1215</v>
      </c>
      <c r="D75" s="452" t="s">
        <v>213</v>
      </c>
    </row>
    <row r="76" spans="2:4">
      <c r="B76" s="613" t="s">
        <v>1211</v>
      </c>
      <c r="C76" s="404" t="s">
        <v>1216</v>
      </c>
      <c r="D76" s="452" t="s">
        <v>70</v>
      </c>
    </row>
    <row r="77" spans="2:4">
      <c r="B77" s="613" t="s">
        <v>1211</v>
      </c>
      <c r="C77" s="404" t="s">
        <v>1217</v>
      </c>
      <c r="D77" s="452" t="s">
        <v>70</v>
      </c>
    </row>
    <row r="78" spans="2:4">
      <c r="B78" s="613" t="s">
        <v>1211</v>
      </c>
      <c r="C78" s="404" t="s">
        <v>1218</v>
      </c>
      <c r="D78" s="452" t="s">
        <v>213</v>
      </c>
    </row>
    <row r="79" spans="2:4">
      <c r="B79" s="613" t="s">
        <v>1219</v>
      </c>
      <c r="C79" s="404" t="s">
        <v>583</v>
      </c>
      <c r="D79" s="452" t="s">
        <v>213</v>
      </c>
    </row>
    <row r="80" spans="2:4">
      <c r="B80" s="613" t="s">
        <v>1219</v>
      </c>
      <c r="C80" s="404" t="s">
        <v>612</v>
      </c>
      <c r="D80" s="452" t="s">
        <v>213</v>
      </c>
    </row>
    <row r="81" spans="2:4">
      <c r="B81" s="613" t="s">
        <v>1220</v>
      </c>
      <c r="C81" s="404" t="s">
        <v>583</v>
      </c>
      <c r="D81" s="452" t="s">
        <v>213</v>
      </c>
    </row>
    <row r="82" spans="2:4">
      <c r="B82" s="613" t="s">
        <v>1220</v>
      </c>
      <c r="C82" s="404" t="s">
        <v>612</v>
      </c>
      <c r="D82" s="452" t="s">
        <v>213</v>
      </c>
    </row>
    <row r="83" spans="2:4">
      <c r="B83" s="613" t="s">
        <v>1221</v>
      </c>
      <c r="C83" s="404" t="s">
        <v>583</v>
      </c>
      <c r="D83" s="452" t="s">
        <v>213</v>
      </c>
    </row>
    <row r="84" spans="2:4">
      <c r="B84" s="613" t="s">
        <v>1221</v>
      </c>
      <c r="C84" s="404" t="s">
        <v>612</v>
      </c>
      <c r="D84" s="452" t="s">
        <v>213</v>
      </c>
    </row>
    <row r="85" spans="2:4">
      <c r="B85" s="613" t="s">
        <v>1222</v>
      </c>
      <c r="C85" s="404" t="s">
        <v>583</v>
      </c>
      <c r="D85" s="452" t="s">
        <v>213</v>
      </c>
    </row>
    <row r="86" spans="2:4">
      <c r="B86" s="613" t="s">
        <v>1222</v>
      </c>
      <c r="C86" s="404" t="s">
        <v>612</v>
      </c>
      <c r="D86" s="452" t="s">
        <v>213</v>
      </c>
    </row>
    <row r="87" spans="2:4">
      <c r="B87" s="613" t="s">
        <v>1223</v>
      </c>
      <c r="C87" s="404" t="s">
        <v>583</v>
      </c>
      <c r="D87" s="452" t="s">
        <v>213</v>
      </c>
    </row>
    <row r="88" spans="2:4">
      <c r="B88" s="613" t="s">
        <v>1223</v>
      </c>
      <c r="C88" s="404" t="s">
        <v>612</v>
      </c>
      <c r="D88" s="452" t="s">
        <v>213</v>
      </c>
    </row>
    <row r="89" spans="2:4">
      <c r="B89" s="613" t="s">
        <v>1224</v>
      </c>
      <c r="C89" s="404" t="s">
        <v>594</v>
      </c>
      <c r="D89" s="452" t="s">
        <v>468</v>
      </c>
    </row>
    <row r="90" spans="2:4">
      <c r="B90" s="613" t="s">
        <v>1225</v>
      </c>
      <c r="C90" s="404" t="s">
        <v>583</v>
      </c>
      <c r="D90" s="452" t="s">
        <v>213</v>
      </c>
    </row>
    <row r="91" spans="2:4">
      <c r="B91" s="613" t="s">
        <v>1226</v>
      </c>
      <c r="C91" s="404" t="s">
        <v>583</v>
      </c>
      <c r="D91" s="452" t="s">
        <v>213</v>
      </c>
    </row>
    <row r="92" spans="2:4">
      <c r="B92" s="613" t="s">
        <v>1225</v>
      </c>
      <c r="C92" s="404" t="s">
        <v>612</v>
      </c>
      <c r="D92" s="452" t="s">
        <v>213</v>
      </c>
    </row>
    <row r="93" spans="2:4">
      <c r="B93" s="613" t="s">
        <v>1226</v>
      </c>
      <c r="C93" s="404" t="s">
        <v>612</v>
      </c>
      <c r="D93" s="452" t="s">
        <v>213</v>
      </c>
    </row>
    <row r="94" spans="2:4">
      <c r="B94" s="613" t="s">
        <v>513</v>
      </c>
      <c r="C94" s="404" t="s">
        <v>514</v>
      </c>
      <c r="D94" s="452" t="s">
        <v>216</v>
      </c>
    </row>
    <row r="95" spans="2:4">
      <c r="B95" s="613" t="s">
        <v>1227</v>
      </c>
      <c r="C95" s="404" t="s">
        <v>514</v>
      </c>
      <c r="D95" s="452" t="s">
        <v>216</v>
      </c>
    </row>
    <row r="96" spans="2:4">
      <c r="B96" s="613" t="s">
        <v>1228</v>
      </c>
      <c r="C96" s="404" t="s">
        <v>514</v>
      </c>
      <c r="D96" s="452" t="s">
        <v>216</v>
      </c>
    </row>
    <row r="97" spans="2:4">
      <c r="B97" s="613" t="s">
        <v>1229</v>
      </c>
      <c r="C97" s="430" t="s">
        <v>669</v>
      </c>
      <c r="D97" s="452" t="s">
        <v>213</v>
      </c>
    </row>
    <row r="98" spans="2:4">
      <c r="B98" s="613" t="s">
        <v>1230</v>
      </c>
      <c r="C98" s="404" t="s">
        <v>514</v>
      </c>
      <c r="D98" s="452" t="s">
        <v>70</v>
      </c>
    </row>
    <row r="99" spans="2:4">
      <c r="B99" s="613" t="s">
        <v>1231</v>
      </c>
      <c r="C99" s="430" t="s">
        <v>992</v>
      </c>
      <c r="D99" s="452" t="s">
        <v>216</v>
      </c>
    </row>
    <row r="100" spans="2:4">
      <c r="B100" s="613" t="s">
        <v>1231</v>
      </c>
      <c r="C100" s="430" t="s">
        <v>667</v>
      </c>
      <c r="D100" s="452" t="s">
        <v>216</v>
      </c>
    </row>
    <row r="101" spans="2:4">
      <c r="B101" s="613" t="s">
        <v>1232</v>
      </c>
      <c r="C101" s="430" t="s">
        <v>992</v>
      </c>
      <c r="D101" s="452" t="s">
        <v>216</v>
      </c>
    </row>
    <row r="102" spans="2:4">
      <c r="B102" s="613" t="s">
        <v>752</v>
      </c>
      <c r="C102" s="404" t="s">
        <v>765</v>
      </c>
      <c r="D102" s="452" t="s">
        <v>468</v>
      </c>
    </row>
    <row r="103" spans="2:4">
      <c r="B103" s="613" t="s">
        <v>1233</v>
      </c>
      <c r="C103" s="404" t="s">
        <v>765</v>
      </c>
      <c r="D103" s="452" t="s">
        <v>468</v>
      </c>
    </row>
    <row r="104" spans="2:4">
      <c r="B104" s="613" t="s">
        <v>749</v>
      </c>
      <c r="C104" s="404" t="s">
        <v>750</v>
      </c>
      <c r="D104" s="452" t="s">
        <v>468</v>
      </c>
    </row>
    <row r="105" spans="2:4">
      <c r="B105" s="613" t="s">
        <v>1234</v>
      </c>
      <c r="C105" s="404" t="s">
        <v>765</v>
      </c>
      <c r="D105" s="452" t="s">
        <v>468</v>
      </c>
    </row>
    <row r="106" spans="2:4">
      <c r="B106" s="613" t="s">
        <v>1235</v>
      </c>
      <c r="C106" s="430" t="s">
        <v>779</v>
      </c>
      <c r="D106" s="452" t="s">
        <v>468</v>
      </c>
    </row>
    <row r="107" spans="2:4">
      <c r="B107" s="613" t="s">
        <v>1236</v>
      </c>
      <c r="C107" s="404" t="s">
        <v>750</v>
      </c>
      <c r="D107" s="452" t="s">
        <v>468</v>
      </c>
    </row>
    <row r="108" spans="2:4">
      <c r="B108" s="613" t="s">
        <v>1236</v>
      </c>
      <c r="C108" s="404" t="s">
        <v>765</v>
      </c>
      <c r="D108" s="452" t="s">
        <v>468</v>
      </c>
    </row>
    <row r="109" spans="2:4">
      <c r="B109" s="613" t="s">
        <v>1237</v>
      </c>
      <c r="C109" s="404" t="s">
        <v>759</v>
      </c>
      <c r="D109" s="452" t="s">
        <v>468</v>
      </c>
    </row>
    <row r="110" spans="2:4">
      <c r="B110" s="613" t="s">
        <v>1238</v>
      </c>
      <c r="C110" s="404" t="s">
        <v>759</v>
      </c>
      <c r="D110" s="452" t="s">
        <v>468</v>
      </c>
    </row>
    <row r="111" spans="2:4">
      <c r="B111" s="613" t="s">
        <v>1239</v>
      </c>
      <c r="C111" s="404" t="s">
        <v>759</v>
      </c>
      <c r="D111" s="452" t="s">
        <v>468</v>
      </c>
    </row>
    <row r="112" spans="2:4">
      <c r="B112" s="613" t="s">
        <v>1240</v>
      </c>
      <c r="C112" s="404" t="s">
        <v>759</v>
      </c>
      <c r="D112" s="452" t="s">
        <v>468</v>
      </c>
    </row>
    <row r="113" spans="2:4">
      <c r="B113" s="613" t="s">
        <v>1241</v>
      </c>
      <c r="C113" s="404" t="s">
        <v>759</v>
      </c>
      <c r="D113" s="452" t="s">
        <v>468</v>
      </c>
    </row>
    <row r="114" spans="2:4">
      <c r="B114" s="613" t="s">
        <v>1242</v>
      </c>
      <c r="C114" s="404" t="s">
        <v>1243</v>
      </c>
      <c r="D114" s="452" t="s">
        <v>468</v>
      </c>
    </row>
    <row r="115" spans="2:4">
      <c r="B115" s="613" t="s">
        <v>1244</v>
      </c>
      <c r="C115" s="404" t="s">
        <v>1243</v>
      </c>
      <c r="D115" s="452" t="s">
        <v>468</v>
      </c>
    </row>
    <row r="116" spans="2:4">
      <c r="B116" s="613" t="s">
        <v>1245</v>
      </c>
      <c r="C116" s="404" t="s">
        <v>1243</v>
      </c>
      <c r="D116" s="452" t="s">
        <v>468</v>
      </c>
    </row>
    <row r="117" spans="2:4">
      <c r="B117" s="613" t="s">
        <v>1246</v>
      </c>
      <c r="C117" s="404" t="s">
        <v>754</v>
      </c>
      <c r="D117" s="452" t="s">
        <v>468</v>
      </c>
    </row>
    <row r="118" spans="2:4">
      <c r="B118" s="613" t="s">
        <v>1247</v>
      </c>
      <c r="C118" s="404" t="s">
        <v>759</v>
      </c>
      <c r="D118" s="452" t="s">
        <v>468</v>
      </c>
    </row>
    <row r="119" spans="2:4">
      <c r="B119" s="613" t="s">
        <v>1248</v>
      </c>
      <c r="C119" s="404" t="s">
        <v>759</v>
      </c>
      <c r="D119" s="452" t="s">
        <v>468</v>
      </c>
    </row>
    <row r="120" spans="2:4">
      <c r="B120" s="613" t="s">
        <v>1248</v>
      </c>
      <c r="C120" s="430" t="s">
        <v>776</v>
      </c>
      <c r="D120" s="615" t="s">
        <v>213</v>
      </c>
    </row>
    <row r="121" spans="2:4">
      <c r="B121" s="613" t="s">
        <v>1249</v>
      </c>
      <c r="C121" s="404" t="s">
        <v>1250</v>
      </c>
      <c r="D121" s="462"/>
    </row>
    <row r="122" spans="2:4">
      <c r="B122" s="613" t="s">
        <v>1251</v>
      </c>
      <c r="C122" s="430" t="s">
        <v>776</v>
      </c>
      <c r="D122" s="615" t="s">
        <v>213</v>
      </c>
    </row>
    <row r="123" spans="2:4">
      <c r="B123" s="613" t="s">
        <v>1252</v>
      </c>
      <c r="C123" s="404" t="s">
        <v>669</v>
      </c>
      <c r="D123" s="452" t="s">
        <v>213</v>
      </c>
    </row>
    <row r="124" spans="2:4">
      <c r="B124" s="613" t="s">
        <v>1253</v>
      </c>
      <c r="C124" s="430" t="s">
        <v>682</v>
      </c>
      <c r="D124" s="452" t="s">
        <v>70</v>
      </c>
    </row>
    <row r="125" spans="2:4">
      <c r="B125" s="613" t="s">
        <v>1254</v>
      </c>
      <c r="C125" s="404" t="s">
        <v>669</v>
      </c>
      <c r="D125" s="452" t="s">
        <v>213</v>
      </c>
    </row>
    <row r="126" spans="2:4">
      <c r="B126" s="613" t="s">
        <v>1255</v>
      </c>
      <c r="C126" s="430" t="s">
        <v>682</v>
      </c>
      <c r="D126" s="452" t="s">
        <v>70</v>
      </c>
    </row>
    <row r="127" spans="2:4">
      <c r="B127" s="613" t="s">
        <v>1256</v>
      </c>
      <c r="C127" s="404" t="s">
        <v>669</v>
      </c>
      <c r="D127" s="452" t="s">
        <v>213</v>
      </c>
    </row>
    <row r="128" spans="2:4">
      <c r="B128" s="613" t="s">
        <v>1257</v>
      </c>
      <c r="C128" s="404" t="s">
        <v>669</v>
      </c>
      <c r="D128" s="452" t="s">
        <v>213</v>
      </c>
    </row>
    <row r="129" spans="2:4">
      <c r="B129" s="613" t="s">
        <v>1258</v>
      </c>
      <c r="C129" s="404" t="s">
        <v>669</v>
      </c>
      <c r="D129" s="452" t="s">
        <v>213</v>
      </c>
    </row>
    <row r="130" spans="2:4">
      <c r="B130" s="613" t="s">
        <v>1259</v>
      </c>
      <c r="C130" s="404" t="s">
        <v>669</v>
      </c>
      <c r="D130" s="452" t="s">
        <v>213</v>
      </c>
    </row>
    <row r="131" spans="2:4">
      <c r="B131" s="613" t="s">
        <v>1260</v>
      </c>
      <c r="C131" s="404" t="s">
        <v>669</v>
      </c>
      <c r="D131" s="452" t="s">
        <v>213</v>
      </c>
    </row>
    <row r="132" spans="2:4">
      <c r="B132" s="613" t="s">
        <v>673</v>
      </c>
      <c r="C132" s="404" t="s">
        <v>674</v>
      </c>
      <c r="D132" s="452" t="s">
        <v>468</v>
      </c>
    </row>
    <row r="133" spans="2:4">
      <c r="B133" s="613" t="s">
        <v>1261</v>
      </c>
      <c r="C133" s="404" t="s">
        <v>682</v>
      </c>
      <c r="D133" s="452" t="s">
        <v>70</v>
      </c>
    </row>
    <row r="134" spans="2:4">
      <c r="B134" s="613" t="s">
        <v>1262</v>
      </c>
      <c r="C134" s="404" t="s">
        <v>682</v>
      </c>
      <c r="D134" s="452" t="s">
        <v>70</v>
      </c>
    </row>
    <row r="135" spans="2:4">
      <c r="B135" s="613" t="s">
        <v>1263</v>
      </c>
      <c r="C135" s="404" t="s">
        <v>682</v>
      </c>
      <c r="D135" s="452" t="s">
        <v>70</v>
      </c>
    </row>
    <row r="136" spans="2:4">
      <c r="B136" s="613" t="s">
        <v>1264</v>
      </c>
      <c r="C136" s="404" t="s">
        <v>682</v>
      </c>
      <c r="D136" s="452" t="s">
        <v>70</v>
      </c>
    </row>
    <row r="137" spans="2:4">
      <c r="B137" s="613" t="s">
        <v>1264</v>
      </c>
      <c r="C137" s="404" t="s">
        <v>682</v>
      </c>
      <c r="D137" s="452" t="s">
        <v>70</v>
      </c>
    </row>
    <row r="138" spans="2:4">
      <c r="B138" s="613" t="s">
        <v>1264</v>
      </c>
      <c r="C138" s="404" t="s">
        <v>682</v>
      </c>
      <c r="D138" s="452" t="s">
        <v>70</v>
      </c>
    </row>
    <row r="139" spans="2:4">
      <c r="B139" s="613" t="s">
        <v>1264</v>
      </c>
      <c r="C139" s="404" t="s">
        <v>682</v>
      </c>
      <c r="D139" s="452" t="s">
        <v>70</v>
      </c>
    </row>
    <row r="140" spans="2:4">
      <c r="B140" s="613" t="s">
        <v>1264</v>
      </c>
      <c r="C140" s="404" t="s">
        <v>682</v>
      </c>
      <c r="D140" s="452" t="s">
        <v>70</v>
      </c>
    </row>
    <row r="141" spans="2:4">
      <c r="B141" s="613" t="s">
        <v>1264</v>
      </c>
      <c r="C141" s="404" t="s">
        <v>682</v>
      </c>
      <c r="D141" s="452" t="s">
        <v>70</v>
      </c>
    </row>
    <row r="142" spans="2:4">
      <c r="B142" s="613" t="s">
        <v>1265</v>
      </c>
      <c r="C142" s="404" t="s">
        <v>1266</v>
      </c>
      <c r="D142" s="452" t="s">
        <v>216</v>
      </c>
    </row>
    <row r="143" spans="2:4">
      <c r="B143" s="613" t="s">
        <v>1267</v>
      </c>
      <c r="C143" s="404" t="s">
        <v>1266</v>
      </c>
      <c r="D143" s="452" t="s">
        <v>216</v>
      </c>
    </row>
    <row r="144" spans="2:4">
      <c r="B144" s="613" t="s">
        <v>1268</v>
      </c>
      <c r="C144" s="404" t="s">
        <v>1266</v>
      </c>
      <c r="D144" s="452" t="s">
        <v>216</v>
      </c>
    </row>
    <row r="145" spans="2:4">
      <c r="B145" s="613" t="s">
        <v>1269</v>
      </c>
      <c r="C145" s="404" t="s">
        <v>687</v>
      </c>
      <c r="D145" s="452" t="s">
        <v>487</v>
      </c>
    </row>
    <row r="146" spans="2:4">
      <c r="B146" s="613" t="s">
        <v>1270</v>
      </c>
      <c r="C146" s="404" t="s">
        <v>485</v>
      </c>
      <c r="D146" s="452" t="s">
        <v>216</v>
      </c>
    </row>
    <row r="147" spans="2:4" ht="36.6" customHeight="1">
      <c r="B147" s="613" t="s">
        <v>1271</v>
      </c>
      <c r="C147" s="382" t="s">
        <v>1272</v>
      </c>
      <c r="D147" s="452" t="s">
        <v>216</v>
      </c>
    </row>
    <row r="148" spans="2:4">
      <c r="B148" s="613" t="s">
        <v>1273</v>
      </c>
      <c r="C148" s="404" t="s">
        <v>541</v>
      </c>
      <c r="D148" s="452" t="s">
        <v>216</v>
      </c>
    </row>
    <row r="149" spans="2:4">
      <c r="B149" s="613" t="s">
        <v>1274</v>
      </c>
      <c r="C149" s="430" t="s">
        <v>992</v>
      </c>
      <c r="D149" s="452" t="s">
        <v>216</v>
      </c>
    </row>
    <row r="150" spans="2:4">
      <c r="B150" s="613" t="s">
        <v>715</v>
      </c>
      <c r="C150" s="404" t="s">
        <v>716</v>
      </c>
      <c r="D150" s="452" t="s">
        <v>216</v>
      </c>
    </row>
    <row r="151" spans="2:4">
      <c r="B151" s="613" t="s">
        <v>1275</v>
      </c>
      <c r="C151" s="404" t="s">
        <v>695</v>
      </c>
      <c r="D151" s="452" t="s">
        <v>487</v>
      </c>
    </row>
    <row r="152" spans="2:4">
      <c r="B152" s="613" t="s">
        <v>1276</v>
      </c>
      <c r="C152" s="404" t="s">
        <v>695</v>
      </c>
      <c r="D152" s="452" t="s">
        <v>487</v>
      </c>
    </row>
    <row r="153" spans="2:4">
      <c r="B153" s="613" t="s">
        <v>1277</v>
      </c>
      <c r="C153" s="404" t="s">
        <v>700</v>
      </c>
      <c r="D153" s="452" t="s">
        <v>487</v>
      </c>
    </row>
    <row r="154" spans="2:4">
      <c r="B154" s="613" t="s">
        <v>1278</v>
      </c>
      <c r="C154" s="404" t="s">
        <v>700</v>
      </c>
      <c r="D154" s="452" t="s">
        <v>487</v>
      </c>
    </row>
    <row r="155" spans="2:4">
      <c r="B155" s="613" t="s">
        <v>1279</v>
      </c>
      <c r="C155" s="404" t="s">
        <v>700</v>
      </c>
      <c r="D155" s="452" t="s">
        <v>487</v>
      </c>
    </row>
    <row r="156" spans="2:4">
      <c r="B156" s="613" t="s">
        <v>1280</v>
      </c>
      <c r="C156" s="404" t="s">
        <v>700</v>
      </c>
      <c r="D156" s="452" t="s">
        <v>487</v>
      </c>
    </row>
    <row r="157" spans="2:4">
      <c r="B157" s="613" t="s">
        <v>737</v>
      </c>
      <c r="C157" s="404" t="s">
        <v>735</v>
      </c>
      <c r="D157" s="452" t="s">
        <v>216</v>
      </c>
    </row>
    <row r="158" spans="2:4" ht="15.75" thickBot="1">
      <c r="B158" s="616" t="s">
        <v>737</v>
      </c>
      <c r="C158" s="388" t="s">
        <v>738</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1:AH81"/>
  <sheetViews>
    <sheetView showGridLines="0" zoomScale="80" zoomScaleNormal="80" workbookViewId="0">
      <selection activeCell="AA10" sqref="AA10"/>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row r="2" spans="2:34" ht="24.95" customHeight="1">
      <c r="B2" s="1057" t="s">
        <v>30</v>
      </c>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9"/>
    </row>
    <row r="3" spans="2:34" ht="15" customHeight="1" thickBot="1">
      <c r="B3" s="1060"/>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2"/>
    </row>
    <row r="4" spans="2:34" ht="15.6" customHeight="1">
      <c r="B4" s="1048" t="s">
        <v>31</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50"/>
    </row>
    <row r="5" spans="2:34" ht="5.0999999999999996" customHeight="1" thickBot="1">
      <c r="B5" s="1051"/>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3"/>
    </row>
    <row r="6" spans="2:34" ht="15.6" hidden="1" customHeight="1">
      <c r="B6" s="1051"/>
      <c r="C6" s="1052"/>
      <c r="D6" s="1052"/>
      <c r="E6" s="1052"/>
      <c r="F6" s="1052"/>
      <c r="G6" s="1052"/>
      <c r="H6" s="1052"/>
      <c r="I6" s="1052"/>
      <c r="J6" s="1052"/>
      <c r="K6" s="1052"/>
      <c r="L6" s="1052"/>
      <c r="M6" s="1052"/>
      <c r="N6" s="1052"/>
      <c r="O6" s="1052"/>
      <c r="P6" s="1052"/>
      <c r="Q6" s="1052"/>
      <c r="R6" s="1052"/>
      <c r="S6" s="1052"/>
      <c r="T6" s="1052"/>
      <c r="U6" s="1052"/>
      <c r="V6" s="1052"/>
      <c r="W6" s="1052"/>
      <c r="X6" s="1052"/>
      <c r="Y6" s="1052"/>
      <c r="Z6" s="1052"/>
      <c r="AA6" s="1053"/>
    </row>
    <row r="7" spans="2:34" ht="14.1" hidden="1" customHeight="1">
      <c r="B7" s="1051"/>
      <c r="C7" s="1052"/>
      <c r="D7" s="1052"/>
      <c r="E7" s="1052"/>
      <c r="F7" s="1052"/>
      <c r="G7" s="1052"/>
      <c r="H7" s="1052"/>
      <c r="I7" s="1052"/>
      <c r="J7" s="1052"/>
      <c r="K7" s="1052"/>
      <c r="L7" s="1052"/>
      <c r="M7" s="1052"/>
      <c r="N7" s="1052"/>
      <c r="O7" s="1052"/>
      <c r="P7" s="1052"/>
      <c r="Q7" s="1052"/>
      <c r="R7" s="1052"/>
      <c r="S7" s="1052"/>
      <c r="T7" s="1052"/>
      <c r="U7" s="1052"/>
      <c r="V7" s="1052"/>
      <c r="W7" s="1052"/>
      <c r="X7" s="1052"/>
      <c r="Y7" s="1052"/>
      <c r="Z7" s="1052"/>
      <c r="AA7" s="1053"/>
    </row>
    <row r="8" spans="2:34" ht="23.1" hidden="1" customHeight="1" thickBot="1">
      <c r="B8" s="1054"/>
      <c r="C8" s="1055"/>
      <c r="D8" s="1055"/>
      <c r="E8" s="1055"/>
      <c r="F8" s="1055"/>
      <c r="G8" s="1055"/>
      <c r="H8" s="1055"/>
      <c r="I8" s="1055"/>
      <c r="J8" s="1055"/>
      <c r="K8" s="1055"/>
      <c r="L8" s="1055"/>
      <c r="M8" s="1055"/>
      <c r="N8" s="1055"/>
      <c r="O8" s="1055"/>
      <c r="P8" s="1055"/>
      <c r="Q8" s="1055"/>
      <c r="R8" s="1055"/>
      <c r="S8" s="1055"/>
      <c r="T8" s="1055"/>
      <c r="U8" s="1055"/>
      <c r="V8" s="1055"/>
      <c r="W8" s="1055"/>
      <c r="X8" s="1055"/>
      <c r="Y8" s="1055"/>
      <c r="Z8" s="1055"/>
      <c r="AA8" s="1056"/>
    </row>
    <row r="9" spans="2:34" s="591" customFormat="1" ht="39.950000000000003" customHeight="1" thickBot="1">
      <c r="B9" s="1035" t="s">
        <v>32</v>
      </c>
      <c r="C9" s="1036"/>
      <c r="D9" s="1063"/>
      <c r="E9" s="1035" t="s">
        <v>33</v>
      </c>
      <c r="F9" s="1036"/>
      <c r="G9" s="1036"/>
      <c r="H9" s="1036"/>
      <c r="I9" s="1036"/>
      <c r="J9" s="1063"/>
      <c r="K9" s="1035" t="s">
        <v>34</v>
      </c>
      <c r="L9" s="1063"/>
      <c r="M9" s="1035" t="s">
        <v>35</v>
      </c>
      <c r="N9" s="1063"/>
      <c r="O9" s="1037" t="s">
        <v>36</v>
      </c>
      <c r="P9" s="1038"/>
      <c r="Q9" s="1038"/>
      <c r="R9" s="1039"/>
      <c r="S9" s="1037" t="s">
        <v>37</v>
      </c>
      <c r="T9" s="1039"/>
      <c r="U9" s="1035" t="s">
        <v>38</v>
      </c>
      <c r="V9" s="1036"/>
      <c r="W9" s="1036"/>
      <c r="X9" s="1036"/>
      <c r="Y9" s="1036"/>
      <c r="Z9" s="1029" t="s">
        <v>1679</v>
      </c>
      <c r="AA9" s="1030"/>
    </row>
    <row r="10" spans="2:34" s="676" customFormat="1" ht="44.45" customHeight="1">
      <c r="B10" s="1070" t="s">
        <v>45</v>
      </c>
      <c r="C10" s="1071"/>
      <c r="D10" s="1072"/>
      <c r="E10" s="1033" t="s">
        <v>1753</v>
      </c>
      <c r="F10" s="1064"/>
      <c r="G10" s="1064"/>
      <c r="H10" s="1064"/>
      <c r="I10" s="1064"/>
      <c r="J10" s="1034"/>
      <c r="K10" s="1068"/>
      <c r="L10" s="1069"/>
      <c r="M10" s="1068">
        <v>0.17618396625999999</v>
      </c>
      <c r="N10" s="1069"/>
      <c r="O10" s="1033" t="s">
        <v>301</v>
      </c>
      <c r="P10" s="1064"/>
      <c r="Q10" s="1064"/>
      <c r="R10" s="1034"/>
      <c r="S10" s="1033" t="s">
        <v>52</v>
      </c>
      <c r="T10" s="1034"/>
      <c r="U10" s="1033">
        <v>25</v>
      </c>
      <c r="V10" s="1064"/>
      <c r="W10" s="1064"/>
      <c r="X10" s="1064"/>
      <c r="Y10" s="1064"/>
      <c r="Z10" s="675" t="s">
        <v>54</v>
      </c>
      <c r="AA10" s="674" t="str">
        <f>IF(AND($O10="Lost", $Z10&lt;&gt;"Yes"), "Irreplaceable habitat lost, bespoke compensation must be agreed with concenting body ▲", "")</f>
        <v/>
      </c>
      <c r="AB10" s="1088" t="str">
        <f>IF(S10="Yes","Please provide a reference to the row number within the baseline where this habitat is mentioned ⚠", "")</f>
        <v>Please provide a reference to the row number within the baseline where this habitat is mentioned ⚠</v>
      </c>
      <c r="AC10" s="1088"/>
      <c r="AD10" s="1088"/>
      <c r="AE10" s="1088"/>
      <c r="AF10" s="1088"/>
      <c r="AG10" s="1088"/>
      <c r="AH10" s="1088"/>
    </row>
    <row r="11" spans="2:34" s="593" customFormat="1" ht="44.45" customHeight="1">
      <c r="B11" s="986"/>
      <c r="C11" s="987"/>
      <c r="D11" s="988"/>
      <c r="E11" s="1022"/>
      <c r="F11" s="1023"/>
      <c r="G11" s="1023"/>
      <c r="H11" s="1023"/>
      <c r="I11" s="1023"/>
      <c r="J11" s="1024"/>
      <c r="K11" s="1025"/>
      <c r="L11" s="1026"/>
      <c r="M11" s="1025"/>
      <c r="N11" s="1026"/>
      <c r="O11" s="1045"/>
      <c r="P11" s="1046"/>
      <c r="Q11" s="1046"/>
      <c r="R11" s="1047"/>
      <c r="S11" s="1033"/>
      <c r="T11" s="1034"/>
      <c r="U11" s="1085"/>
      <c r="V11" s="1086"/>
      <c r="W11" s="1086"/>
      <c r="X11" s="1086"/>
      <c r="Y11" s="1086"/>
      <c r="Z11" s="677"/>
      <c r="AA11" s="674" t="str">
        <f t="shared" ref="AA11:AA31" si="0">IF(AND($O11="Lost", $Z11&lt;&gt;"Yes"), "Irreplaceable habitat lost, bespoke compensation must be agreed with concenting body ▲", "")</f>
        <v/>
      </c>
      <c r="AB11" s="1088" t="str">
        <f t="shared" ref="AB11:AB31" si="1">IF(S11="Yes","Please provide a reference to the row number within the baseline where this habitat is mentioned ⚠", "")</f>
        <v/>
      </c>
      <c r="AC11" s="1088"/>
      <c r="AD11" s="1088"/>
      <c r="AE11" s="1088"/>
      <c r="AF11" s="1088"/>
      <c r="AG11" s="1088"/>
      <c r="AH11" s="1088"/>
    </row>
    <row r="12" spans="2:34" s="593" customFormat="1" ht="44.45" customHeight="1">
      <c r="B12" s="986"/>
      <c r="C12" s="987"/>
      <c r="D12" s="988"/>
      <c r="E12" s="1022"/>
      <c r="F12" s="1023"/>
      <c r="G12" s="1023"/>
      <c r="H12" s="1023"/>
      <c r="I12" s="1023"/>
      <c r="J12" s="1024"/>
      <c r="K12" s="1025"/>
      <c r="L12" s="1026"/>
      <c r="M12" s="1025"/>
      <c r="N12" s="1026"/>
      <c r="O12" s="1045"/>
      <c r="P12" s="1046"/>
      <c r="Q12" s="1046"/>
      <c r="R12" s="1047"/>
      <c r="S12" s="1033"/>
      <c r="T12" s="1034"/>
      <c r="U12" s="1022"/>
      <c r="V12" s="1023"/>
      <c r="W12" s="1023"/>
      <c r="X12" s="1023"/>
      <c r="Y12" s="1023"/>
      <c r="Z12" s="677"/>
      <c r="AA12" s="674" t="str">
        <f t="shared" si="0"/>
        <v/>
      </c>
      <c r="AB12" s="1087" t="str">
        <f t="shared" si="1"/>
        <v/>
      </c>
      <c r="AC12" s="1087"/>
      <c r="AD12" s="1087"/>
      <c r="AE12" s="1087"/>
      <c r="AF12" s="1087"/>
      <c r="AG12" s="1087"/>
      <c r="AH12" s="1087"/>
    </row>
    <row r="13" spans="2:34" s="593" customFormat="1" ht="44.45" customHeight="1">
      <c r="B13" s="986"/>
      <c r="C13" s="987"/>
      <c r="D13" s="988"/>
      <c r="E13" s="1022"/>
      <c r="F13" s="1023"/>
      <c r="G13" s="1023"/>
      <c r="H13" s="1023"/>
      <c r="I13" s="1023"/>
      <c r="J13" s="1024"/>
      <c r="K13" s="1025"/>
      <c r="L13" s="1026"/>
      <c r="M13" s="1025"/>
      <c r="N13" s="1026"/>
      <c r="O13" s="1045"/>
      <c r="P13" s="1046"/>
      <c r="Q13" s="1046"/>
      <c r="R13" s="1047"/>
      <c r="S13" s="1033"/>
      <c r="T13" s="1034"/>
      <c r="U13" s="1022"/>
      <c r="V13" s="1023"/>
      <c r="W13" s="1023"/>
      <c r="X13" s="1023"/>
      <c r="Y13" s="1023"/>
      <c r="Z13" s="677"/>
      <c r="AA13" s="674" t="str">
        <f t="shared" si="0"/>
        <v/>
      </c>
      <c r="AB13" s="1087" t="str">
        <f t="shared" si="1"/>
        <v/>
      </c>
      <c r="AC13" s="1087"/>
      <c r="AD13" s="1087"/>
      <c r="AE13" s="1087"/>
      <c r="AF13" s="1087"/>
      <c r="AG13" s="1087"/>
      <c r="AH13" s="1087"/>
    </row>
    <row r="14" spans="2:34" s="593" customFormat="1" ht="44.45" customHeight="1">
      <c r="B14" s="986"/>
      <c r="C14" s="987"/>
      <c r="D14" s="988"/>
      <c r="E14" s="1022"/>
      <c r="F14" s="1023"/>
      <c r="G14" s="1023"/>
      <c r="H14" s="1023"/>
      <c r="I14" s="1023"/>
      <c r="J14" s="1024"/>
      <c r="K14" s="1025"/>
      <c r="L14" s="1026"/>
      <c r="M14" s="1025"/>
      <c r="N14" s="1026"/>
      <c r="O14" s="1045"/>
      <c r="P14" s="1046"/>
      <c r="Q14" s="1046"/>
      <c r="R14" s="1047"/>
      <c r="S14" s="1033"/>
      <c r="T14" s="1034"/>
      <c r="U14" s="1022"/>
      <c r="V14" s="1023"/>
      <c r="W14" s="1023"/>
      <c r="X14" s="1023"/>
      <c r="Y14" s="1023"/>
      <c r="Z14" s="677"/>
      <c r="AA14" s="674" t="str">
        <f t="shared" si="0"/>
        <v/>
      </c>
      <c r="AB14" s="1087" t="str">
        <f t="shared" si="1"/>
        <v/>
      </c>
      <c r="AC14" s="1087"/>
      <c r="AD14" s="1087"/>
      <c r="AE14" s="1087"/>
      <c r="AF14" s="1087"/>
      <c r="AG14" s="1087"/>
      <c r="AH14" s="1087"/>
    </row>
    <row r="15" spans="2:34" s="593" customFormat="1" ht="44.45" customHeight="1">
      <c r="B15" s="986"/>
      <c r="C15" s="987"/>
      <c r="D15" s="988"/>
      <c r="E15" s="1022"/>
      <c r="F15" s="1023"/>
      <c r="G15" s="1023"/>
      <c r="H15" s="1023"/>
      <c r="I15" s="1023"/>
      <c r="J15" s="1024"/>
      <c r="K15" s="1025"/>
      <c r="L15" s="1026"/>
      <c r="M15" s="1025"/>
      <c r="N15" s="1026"/>
      <c r="O15" s="1045"/>
      <c r="P15" s="1046"/>
      <c r="Q15" s="1046"/>
      <c r="R15" s="1047"/>
      <c r="S15" s="1033"/>
      <c r="T15" s="1034"/>
      <c r="U15" s="1022"/>
      <c r="V15" s="1023"/>
      <c r="W15" s="1023"/>
      <c r="X15" s="1023"/>
      <c r="Y15" s="1023"/>
      <c r="Z15" s="677"/>
      <c r="AA15" s="674" t="str">
        <f t="shared" si="0"/>
        <v/>
      </c>
      <c r="AB15" s="1087" t="str">
        <f t="shared" si="1"/>
        <v/>
      </c>
      <c r="AC15" s="1087"/>
      <c r="AD15" s="1087"/>
      <c r="AE15" s="1087"/>
      <c r="AF15" s="1087"/>
      <c r="AG15" s="1087"/>
      <c r="AH15" s="1087"/>
    </row>
    <row r="16" spans="2:34" s="593" customFormat="1" ht="44.45" customHeight="1">
      <c r="B16" s="986"/>
      <c r="C16" s="987"/>
      <c r="D16" s="988"/>
      <c r="E16" s="1022"/>
      <c r="F16" s="1023"/>
      <c r="G16" s="1023"/>
      <c r="H16" s="1023"/>
      <c r="I16" s="1023"/>
      <c r="J16" s="1024"/>
      <c r="K16" s="1025"/>
      <c r="L16" s="1026"/>
      <c r="M16" s="1025"/>
      <c r="N16" s="1026"/>
      <c r="O16" s="1045"/>
      <c r="P16" s="1046"/>
      <c r="Q16" s="1046"/>
      <c r="R16" s="1047"/>
      <c r="S16" s="1033"/>
      <c r="T16" s="1034"/>
      <c r="U16" s="1022"/>
      <c r="V16" s="1023"/>
      <c r="W16" s="1023"/>
      <c r="X16" s="1023"/>
      <c r="Y16" s="1023"/>
      <c r="Z16" s="677"/>
      <c r="AA16" s="674" t="str">
        <f t="shared" si="0"/>
        <v/>
      </c>
      <c r="AB16" s="1087" t="str">
        <f t="shared" si="1"/>
        <v/>
      </c>
      <c r="AC16" s="1087"/>
      <c r="AD16" s="1087"/>
      <c r="AE16" s="1087"/>
      <c r="AF16" s="1087"/>
      <c r="AG16" s="1087"/>
      <c r="AH16" s="1087"/>
    </row>
    <row r="17" spans="2:34" s="593" customFormat="1" ht="44.45" customHeight="1">
      <c r="B17" s="986"/>
      <c r="C17" s="987"/>
      <c r="D17" s="988"/>
      <c r="E17" s="1022"/>
      <c r="F17" s="1023"/>
      <c r="G17" s="1023"/>
      <c r="H17" s="1023"/>
      <c r="I17" s="1023"/>
      <c r="J17" s="1024"/>
      <c r="K17" s="1025"/>
      <c r="L17" s="1026"/>
      <c r="M17" s="1025"/>
      <c r="N17" s="1026"/>
      <c r="O17" s="1045"/>
      <c r="P17" s="1046"/>
      <c r="Q17" s="1046"/>
      <c r="R17" s="1047"/>
      <c r="S17" s="1033"/>
      <c r="T17" s="1034"/>
      <c r="U17" s="1022"/>
      <c r="V17" s="1023"/>
      <c r="W17" s="1023"/>
      <c r="X17" s="1023"/>
      <c r="Y17" s="1023"/>
      <c r="Z17" s="677"/>
      <c r="AA17" s="674" t="str">
        <f t="shared" si="0"/>
        <v/>
      </c>
      <c r="AB17" s="1087" t="str">
        <f t="shared" si="1"/>
        <v/>
      </c>
      <c r="AC17" s="1087"/>
      <c r="AD17" s="1087"/>
      <c r="AE17" s="1087"/>
      <c r="AF17" s="1087"/>
      <c r="AG17" s="1087"/>
      <c r="AH17" s="1087"/>
    </row>
    <row r="18" spans="2:34" s="593" customFormat="1" ht="44.45" customHeight="1">
      <c r="B18" s="986"/>
      <c r="C18" s="987"/>
      <c r="D18" s="988"/>
      <c r="E18" s="1022"/>
      <c r="F18" s="1023"/>
      <c r="G18" s="1023"/>
      <c r="H18" s="1023"/>
      <c r="I18" s="1023"/>
      <c r="J18" s="1024"/>
      <c r="K18" s="1025"/>
      <c r="L18" s="1026"/>
      <c r="M18" s="1025"/>
      <c r="N18" s="1026"/>
      <c r="O18" s="1045"/>
      <c r="P18" s="1046"/>
      <c r="Q18" s="1046"/>
      <c r="R18" s="1047"/>
      <c r="S18" s="1033"/>
      <c r="T18" s="1034"/>
      <c r="U18" s="1022"/>
      <c r="V18" s="1023"/>
      <c r="W18" s="1023"/>
      <c r="X18" s="1023"/>
      <c r="Y18" s="1023"/>
      <c r="Z18" s="677"/>
      <c r="AA18" s="674" t="str">
        <f t="shared" si="0"/>
        <v/>
      </c>
      <c r="AB18" s="1087" t="str">
        <f t="shared" si="1"/>
        <v/>
      </c>
      <c r="AC18" s="1087"/>
      <c r="AD18" s="1087"/>
      <c r="AE18" s="1087"/>
      <c r="AF18" s="1087"/>
      <c r="AG18" s="1087"/>
      <c r="AH18" s="1087"/>
    </row>
    <row r="19" spans="2:34" s="593" customFormat="1" ht="44.45" customHeight="1">
      <c r="B19" s="986"/>
      <c r="C19" s="987"/>
      <c r="D19" s="988"/>
      <c r="E19" s="1022"/>
      <c r="F19" s="1023"/>
      <c r="G19" s="1023"/>
      <c r="H19" s="1023"/>
      <c r="I19" s="1023"/>
      <c r="J19" s="1024"/>
      <c r="K19" s="1025"/>
      <c r="L19" s="1026"/>
      <c r="M19" s="1025"/>
      <c r="N19" s="1026"/>
      <c r="O19" s="1045"/>
      <c r="P19" s="1046"/>
      <c r="Q19" s="1046"/>
      <c r="R19" s="1047"/>
      <c r="S19" s="1033"/>
      <c r="T19" s="1034"/>
      <c r="U19" s="1022"/>
      <c r="V19" s="1023"/>
      <c r="W19" s="1023"/>
      <c r="X19" s="1023"/>
      <c r="Y19" s="1023"/>
      <c r="Z19" s="677"/>
      <c r="AA19" s="674" t="str">
        <f t="shared" si="0"/>
        <v/>
      </c>
      <c r="AB19" s="1087" t="str">
        <f t="shared" si="1"/>
        <v/>
      </c>
      <c r="AC19" s="1087"/>
      <c r="AD19" s="1087"/>
      <c r="AE19" s="1087"/>
      <c r="AF19" s="1087"/>
      <c r="AG19" s="1087"/>
      <c r="AH19" s="1087"/>
    </row>
    <row r="20" spans="2:34" s="593" customFormat="1" ht="44.45" customHeight="1">
      <c r="B20" s="986"/>
      <c r="C20" s="987"/>
      <c r="D20" s="988"/>
      <c r="E20" s="1022"/>
      <c r="F20" s="1023"/>
      <c r="G20" s="1023"/>
      <c r="H20" s="1023"/>
      <c r="I20" s="1023"/>
      <c r="J20" s="1024"/>
      <c r="K20" s="1025"/>
      <c r="L20" s="1026"/>
      <c r="M20" s="1025"/>
      <c r="N20" s="1026"/>
      <c r="O20" s="1045"/>
      <c r="P20" s="1046"/>
      <c r="Q20" s="1046"/>
      <c r="R20" s="1047"/>
      <c r="S20" s="1033"/>
      <c r="T20" s="1034"/>
      <c r="U20" s="1022"/>
      <c r="V20" s="1023"/>
      <c r="W20" s="1023"/>
      <c r="X20" s="1023"/>
      <c r="Y20" s="1023"/>
      <c r="Z20" s="677"/>
      <c r="AA20" s="674" t="str">
        <f t="shared" si="0"/>
        <v/>
      </c>
      <c r="AB20" s="1087" t="str">
        <f t="shared" si="1"/>
        <v/>
      </c>
      <c r="AC20" s="1087"/>
      <c r="AD20" s="1087"/>
      <c r="AE20" s="1087"/>
      <c r="AF20" s="1087"/>
      <c r="AG20" s="1087"/>
      <c r="AH20" s="1087"/>
    </row>
    <row r="21" spans="2:34" s="593" customFormat="1" ht="44.45" customHeight="1">
      <c r="B21" s="986"/>
      <c r="C21" s="987"/>
      <c r="D21" s="988"/>
      <c r="E21" s="1022"/>
      <c r="F21" s="1023"/>
      <c r="G21" s="1023"/>
      <c r="H21" s="1023"/>
      <c r="I21" s="1023"/>
      <c r="J21" s="1024"/>
      <c r="K21" s="1025"/>
      <c r="L21" s="1026"/>
      <c r="M21" s="1025"/>
      <c r="N21" s="1026"/>
      <c r="O21" s="1045"/>
      <c r="P21" s="1046"/>
      <c r="Q21" s="1046"/>
      <c r="R21" s="1047"/>
      <c r="S21" s="1033"/>
      <c r="T21" s="1034"/>
      <c r="U21" s="1022"/>
      <c r="V21" s="1023"/>
      <c r="W21" s="1023"/>
      <c r="X21" s="1023"/>
      <c r="Y21" s="1023"/>
      <c r="Z21" s="677"/>
      <c r="AA21" s="674" t="str">
        <f t="shared" si="0"/>
        <v/>
      </c>
      <c r="AB21" s="1087" t="str">
        <f t="shared" si="1"/>
        <v/>
      </c>
      <c r="AC21" s="1087"/>
      <c r="AD21" s="1087"/>
      <c r="AE21" s="1087"/>
      <c r="AF21" s="1087"/>
      <c r="AG21" s="1087"/>
      <c r="AH21" s="1087"/>
    </row>
    <row r="22" spans="2:34" s="593" customFormat="1" ht="44.45" customHeight="1">
      <c r="B22" s="986"/>
      <c r="C22" s="987"/>
      <c r="D22" s="988"/>
      <c r="E22" s="1022"/>
      <c r="F22" s="1023"/>
      <c r="G22" s="1023"/>
      <c r="H22" s="1023"/>
      <c r="I22" s="1023"/>
      <c r="J22" s="1024"/>
      <c r="K22" s="1025"/>
      <c r="L22" s="1026"/>
      <c r="M22" s="1025"/>
      <c r="N22" s="1026"/>
      <c r="O22" s="1045"/>
      <c r="P22" s="1046"/>
      <c r="Q22" s="1046"/>
      <c r="R22" s="1047"/>
      <c r="S22" s="1033"/>
      <c r="T22" s="1034"/>
      <c r="U22" s="1022"/>
      <c r="V22" s="1023"/>
      <c r="W22" s="1023"/>
      <c r="X22" s="1023"/>
      <c r="Y22" s="1023"/>
      <c r="Z22" s="677"/>
      <c r="AA22" s="674" t="str">
        <f t="shared" si="0"/>
        <v/>
      </c>
      <c r="AB22" s="1087" t="str">
        <f t="shared" si="1"/>
        <v/>
      </c>
      <c r="AC22" s="1087"/>
      <c r="AD22" s="1087"/>
      <c r="AE22" s="1087"/>
      <c r="AF22" s="1087"/>
      <c r="AG22" s="1087"/>
      <c r="AH22" s="1087"/>
    </row>
    <row r="23" spans="2:34" s="593" customFormat="1" ht="44.45" customHeight="1">
      <c r="B23" s="986"/>
      <c r="C23" s="987"/>
      <c r="D23" s="988"/>
      <c r="E23" s="1022"/>
      <c r="F23" s="1023"/>
      <c r="G23" s="1023"/>
      <c r="H23" s="1023"/>
      <c r="I23" s="1023"/>
      <c r="J23" s="1024"/>
      <c r="K23" s="1025"/>
      <c r="L23" s="1026"/>
      <c r="M23" s="1025"/>
      <c r="N23" s="1026"/>
      <c r="O23" s="1045"/>
      <c r="P23" s="1046"/>
      <c r="Q23" s="1046"/>
      <c r="R23" s="1047"/>
      <c r="S23" s="1033"/>
      <c r="T23" s="1034"/>
      <c r="U23" s="1022"/>
      <c r="V23" s="1023"/>
      <c r="W23" s="1023"/>
      <c r="X23" s="1023"/>
      <c r="Y23" s="1023"/>
      <c r="Z23" s="677"/>
      <c r="AA23" s="674" t="str">
        <f t="shared" si="0"/>
        <v/>
      </c>
      <c r="AB23" s="1087" t="str">
        <f t="shared" si="1"/>
        <v/>
      </c>
      <c r="AC23" s="1087"/>
      <c r="AD23" s="1087"/>
      <c r="AE23" s="1087"/>
      <c r="AF23" s="1087"/>
      <c r="AG23" s="1087"/>
      <c r="AH23" s="1087"/>
    </row>
    <row r="24" spans="2:34" s="593" customFormat="1" ht="44.45" customHeight="1">
      <c r="B24" s="986"/>
      <c r="C24" s="987"/>
      <c r="D24" s="988"/>
      <c r="E24" s="1022"/>
      <c r="F24" s="1023"/>
      <c r="G24" s="1023"/>
      <c r="H24" s="1023"/>
      <c r="I24" s="1023"/>
      <c r="J24" s="1024"/>
      <c r="K24" s="1025"/>
      <c r="L24" s="1026"/>
      <c r="M24" s="1025"/>
      <c r="N24" s="1026"/>
      <c r="O24" s="1045"/>
      <c r="P24" s="1046"/>
      <c r="Q24" s="1046"/>
      <c r="R24" s="1047"/>
      <c r="S24" s="1033"/>
      <c r="T24" s="1034"/>
      <c r="U24" s="1022"/>
      <c r="V24" s="1023"/>
      <c r="W24" s="1023"/>
      <c r="X24" s="1023"/>
      <c r="Y24" s="1023"/>
      <c r="Z24" s="677"/>
      <c r="AA24" s="674" t="str">
        <f t="shared" si="0"/>
        <v/>
      </c>
      <c r="AB24" s="1087" t="str">
        <f t="shared" si="1"/>
        <v/>
      </c>
      <c r="AC24" s="1087"/>
      <c r="AD24" s="1087"/>
      <c r="AE24" s="1087"/>
      <c r="AF24" s="1087"/>
      <c r="AG24" s="1087"/>
      <c r="AH24" s="1087"/>
    </row>
    <row r="25" spans="2:34" s="593" customFormat="1" ht="44.45" customHeight="1">
      <c r="B25" s="986"/>
      <c r="C25" s="987"/>
      <c r="D25" s="988"/>
      <c r="E25" s="1022"/>
      <c r="F25" s="1023"/>
      <c r="G25" s="1023"/>
      <c r="H25" s="1023"/>
      <c r="I25" s="1023"/>
      <c r="J25" s="1024"/>
      <c r="K25" s="1081"/>
      <c r="L25" s="1082"/>
      <c r="M25" s="1025"/>
      <c r="N25" s="1026"/>
      <c r="O25" s="1045"/>
      <c r="P25" s="1046"/>
      <c r="Q25" s="1046"/>
      <c r="R25" s="1047"/>
      <c r="S25" s="1033"/>
      <c r="T25" s="1034"/>
      <c r="U25" s="1022"/>
      <c r="V25" s="1023"/>
      <c r="W25" s="1023"/>
      <c r="X25" s="1023"/>
      <c r="Y25" s="1023"/>
      <c r="Z25" s="677"/>
      <c r="AA25" s="674" t="str">
        <f t="shared" si="0"/>
        <v/>
      </c>
      <c r="AB25" s="1087" t="str">
        <f t="shared" si="1"/>
        <v/>
      </c>
      <c r="AC25" s="1087"/>
      <c r="AD25" s="1087"/>
      <c r="AE25" s="1087"/>
      <c r="AF25" s="1087"/>
      <c r="AG25" s="1087"/>
      <c r="AH25" s="1087"/>
    </row>
    <row r="26" spans="2:34" s="593" customFormat="1" ht="44.45" customHeight="1">
      <c r="B26" s="986"/>
      <c r="C26" s="987"/>
      <c r="D26" s="988"/>
      <c r="E26" s="1022"/>
      <c r="F26" s="1023"/>
      <c r="G26" s="1023"/>
      <c r="H26" s="1023"/>
      <c r="I26" s="1023"/>
      <c r="J26" s="1024"/>
      <c r="K26" s="1025"/>
      <c r="L26" s="1026"/>
      <c r="M26" s="1025"/>
      <c r="N26" s="1026"/>
      <c r="O26" s="1045"/>
      <c r="P26" s="1046"/>
      <c r="Q26" s="1046"/>
      <c r="R26" s="1047"/>
      <c r="S26" s="1033"/>
      <c r="T26" s="1034"/>
      <c r="U26" s="1022"/>
      <c r="V26" s="1023"/>
      <c r="W26" s="1023"/>
      <c r="X26" s="1023"/>
      <c r="Y26" s="1023"/>
      <c r="Z26" s="677"/>
      <c r="AA26" s="674" t="str">
        <f t="shared" si="0"/>
        <v/>
      </c>
      <c r="AB26" s="1087" t="str">
        <f t="shared" si="1"/>
        <v/>
      </c>
      <c r="AC26" s="1087"/>
      <c r="AD26" s="1087"/>
      <c r="AE26" s="1087"/>
      <c r="AF26" s="1087"/>
      <c r="AG26" s="1087"/>
      <c r="AH26" s="1087"/>
    </row>
    <row r="27" spans="2:34" s="593" customFormat="1" ht="44.45" customHeight="1">
      <c r="B27" s="986"/>
      <c r="C27" s="987"/>
      <c r="D27" s="988"/>
      <c r="E27" s="1022"/>
      <c r="F27" s="1023"/>
      <c r="G27" s="1023"/>
      <c r="H27" s="1023"/>
      <c r="I27" s="1023"/>
      <c r="J27" s="1024"/>
      <c r="K27" s="1025"/>
      <c r="L27" s="1026"/>
      <c r="M27" s="1025"/>
      <c r="N27" s="1026"/>
      <c r="O27" s="1045"/>
      <c r="P27" s="1046"/>
      <c r="Q27" s="1046"/>
      <c r="R27" s="1047"/>
      <c r="S27" s="1033"/>
      <c r="T27" s="1034"/>
      <c r="U27" s="1022"/>
      <c r="V27" s="1023"/>
      <c r="W27" s="1023"/>
      <c r="X27" s="1023"/>
      <c r="Y27" s="1023"/>
      <c r="Z27" s="677"/>
      <c r="AA27" s="674" t="str">
        <f t="shared" si="0"/>
        <v/>
      </c>
      <c r="AB27" s="1087" t="str">
        <f t="shared" si="1"/>
        <v/>
      </c>
      <c r="AC27" s="1087"/>
      <c r="AD27" s="1087"/>
      <c r="AE27" s="1087"/>
      <c r="AF27" s="1087"/>
      <c r="AG27" s="1087"/>
      <c r="AH27" s="1087"/>
    </row>
    <row r="28" spans="2:34" s="593" customFormat="1" ht="44.45" customHeight="1">
      <c r="B28" s="986"/>
      <c r="C28" s="987"/>
      <c r="D28" s="988"/>
      <c r="E28" s="1022"/>
      <c r="F28" s="1023"/>
      <c r="G28" s="1023"/>
      <c r="H28" s="1023"/>
      <c r="I28" s="1023"/>
      <c r="J28" s="1024"/>
      <c r="K28" s="1025"/>
      <c r="L28" s="1026"/>
      <c r="M28" s="1025"/>
      <c r="N28" s="1026"/>
      <c r="O28" s="1045"/>
      <c r="P28" s="1046"/>
      <c r="Q28" s="1046"/>
      <c r="R28" s="1047"/>
      <c r="S28" s="1033"/>
      <c r="T28" s="1034"/>
      <c r="U28" s="1022"/>
      <c r="V28" s="1023"/>
      <c r="W28" s="1023"/>
      <c r="X28" s="1023"/>
      <c r="Y28" s="1023"/>
      <c r="Z28" s="677"/>
      <c r="AA28" s="674" t="str">
        <f t="shared" si="0"/>
        <v/>
      </c>
      <c r="AB28" s="1087" t="str">
        <f t="shared" si="1"/>
        <v/>
      </c>
      <c r="AC28" s="1087"/>
      <c r="AD28" s="1087"/>
      <c r="AE28" s="1087"/>
      <c r="AF28" s="1087"/>
      <c r="AG28" s="1087"/>
      <c r="AH28" s="1087"/>
    </row>
    <row r="29" spans="2:34" s="593" customFormat="1" ht="44.45" customHeight="1">
      <c r="B29" s="986"/>
      <c r="C29" s="987"/>
      <c r="D29" s="988"/>
      <c r="E29" s="1022"/>
      <c r="F29" s="1023"/>
      <c r="G29" s="1023"/>
      <c r="H29" s="1023"/>
      <c r="I29" s="1023"/>
      <c r="J29" s="1024"/>
      <c r="K29" s="1025"/>
      <c r="L29" s="1026"/>
      <c r="M29" s="1025"/>
      <c r="N29" s="1026"/>
      <c r="O29" s="1045"/>
      <c r="P29" s="1046"/>
      <c r="Q29" s="1046"/>
      <c r="R29" s="1047"/>
      <c r="S29" s="1033"/>
      <c r="T29" s="1034"/>
      <c r="U29" s="1022"/>
      <c r="V29" s="1023"/>
      <c r="W29" s="1023"/>
      <c r="X29" s="1023"/>
      <c r="Y29" s="1023"/>
      <c r="Z29" s="677"/>
      <c r="AA29" s="674" t="str">
        <f t="shared" si="0"/>
        <v/>
      </c>
      <c r="AB29" s="1087" t="str">
        <f t="shared" si="1"/>
        <v/>
      </c>
      <c r="AC29" s="1087"/>
      <c r="AD29" s="1087"/>
      <c r="AE29" s="1087"/>
      <c r="AF29" s="1087"/>
      <c r="AG29" s="1087"/>
      <c r="AH29" s="1087"/>
    </row>
    <row r="30" spans="2:34" s="593" customFormat="1" ht="44.45" customHeight="1">
      <c r="B30" s="986"/>
      <c r="C30" s="987"/>
      <c r="D30" s="988"/>
      <c r="E30" s="1022"/>
      <c r="F30" s="1023"/>
      <c r="G30" s="1023"/>
      <c r="H30" s="1023"/>
      <c r="I30" s="1023"/>
      <c r="J30" s="1024"/>
      <c r="K30" s="1025"/>
      <c r="L30" s="1026"/>
      <c r="M30" s="1025"/>
      <c r="N30" s="1026"/>
      <c r="O30" s="1045"/>
      <c r="P30" s="1046"/>
      <c r="Q30" s="1046"/>
      <c r="R30" s="1047"/>
      <c r="S30" s="1033"/>
      <c r="T30" s="1034"/>
      <c r="U30" s="1022"/>
      <c r="V30" s="1023"/>
      <c r="W30" s="1023"/>
      <c r="X30" s="1023"/>
      <c r="Y30" s="1023"/>
      <c r="Z30" s="677"/>
      <c r="AA30" s="674" t="str">
        <f t="shared" si="0"/>
        <v/>
      </c>
      <c r="AB30" s="1087" t="str">
        <f t="shared" si="1"/>
        <v/>
      </c>
      <c r="AC30" s="1087"/>
      <c r="AD30" s="1087"/>
      <c r="AE30" s="1087"/>
      <c r="AF30" s="1087"/>
      <c r="AG30" s="1087"/>
      <c r="AH30" s="1087"/>
    </row>
    <row r="31" spans="2:34" s="593" customFormat="1" ht="44.45" customHeight="1" thickBot="1">
      <c r="B31" s="1073"/>
      <c r="C31" s="1074"/>
      <c r="D31" s="1075"/>
      <c r="E31" s="1031"/>
      <c r="F31" s="1032"/>
      <c r="G31" s="1032"/>
      <c r="H31" s="1032"/>
      <c r="I31" s="1032"/>
      <c r="J31" s="1080"/>
      <c r="K31" s="1040"/>
      <c r="L31" s="1041"/>
      <c r="M31" s="1040"/>
      <c r="N31" s="1041"/>
      <c r="O31" s="1077"/>
      <c r="P31" s="1078"/>
      <c r="Q31" s="1078"/>
      <c r="R31" s="1079"/>
      <c r="S31" s="1033"/>
      <c r="T31" s="1034"/>
      <c r="U31" s="1031"/>
      <c r="V31" s="1032"/>
      <c r="W31" s="1032"/>
      <c r="X31" s="1032"/>
      <c r="Y31" s="1032"/>
      <c r="Z31" s="678"/>
      <c r="AA31" s="674" t="str">
        <f t="shared" si="0"/>
        <v/>
      </c>
      <c r="AB31" s="1087" t="str">
        <f t="shared" si="1"/>
        <v/>
      </c>
      <c r="AC31" s="1087"/>
      <c r="AD31" s="1087"/>
      <c r="AE31" s="1087"/>
      <c r="AF31" s="1087"/>
      <c r="AG31" s="1087"/>
      <c r="AH31" s="1087"/>
    </row>
    <row r="32" spans="2:34" ht="15.95" customHeight="1" thickBot="1">
      <c r="B32" s="1067"/>
      <c r="C32" s="1065"/>
      <c r="D32" s="1066"/>
      <c r="E32" s="1067"/>
      <c r="F32" s="1065"/>
      <c r="G32" s="1065"/>
      <c r="H32" s="1065"/>
      <c r="I32" s="1065"/>
      <c r="J32" s="1066"/>
      <c r="K32" s="984">
        <f>SUM(K10:L31)</f>
        <v>0</v>
      </c>
      <c r="L32" s="985"/>
      <c r="M32" s="984">
        <f>SUM(M10:N31)</f>
        <v>0.17618396625999999</v>
      </c>
      <c r="N32" s="985"/>
      <c r="O32" s="1042"/>
      <c r="P32" s="1043"/>
      <c r="Q32" s="1043"/>
      <c r="R32" s="1044"/>
      <c r="S32" s="656"/>
      <c r="T32" s="656"/>
      <c r="U32" s="1067"/>
      <c r="V32" s="1065"/>
      <c r="W32" s="1065"/>
      <c r="X32" s="1065"/>
      <c r="Y32" s="1065"/>
      <c r="Z32" s="1065"/>
      <c r="AA32" s="1066"/>
    </row>
    <row r="33" spans="2:27" ht="31.5" customHeight="1"/>
    <row r="34" spans="2:27" ht="19.5" customHeight="1" thickBot="1"/>
    <row r="35" spans="2:27" ht="38.1" customHeight="1" thickBot="1">
      <c r="B35" s="981" t="s">
        <v>39</v>
      </c>
      <c r="C35" s="982"/>
      <c r="D35" s="982"/>
      <c r="E35" s="982"/>
      <c r="F35" s="982"/>
      <c r="G35" s="982"/>
      <c r="H35" s="982"/>
      <c r="I35" s="982"/>
      <c r="J35" s="982"/>
      <c r="K35" s="983" t="s">
        <v>40</v>
      </c>
      <c r="L35" s="983"/>
      <c r="M35" s="1083"/>
      <c r="N35" s="1083"/>
      <c r="O35" s="1076" t="s">
        <v>41</v>
      </c>
      <c r="P35" s="1076"/>
      <c r="Q35" s="1084"/>
      <c r="R35" s="1084"/>
      <c r="S35" s="657" t="s">
        <v>42</v>
      </c>
      <c r="T35" s="658"/>
      <c r="U35" s="1076" t="s">
        <v>43</v>
      </c>
      <c r="V35" s="1076"/>
      <c r="W35" s="1027">
        <f>M35+Q35+T35</f>
        <v>0</v>
      </c>
      <c r="X35" s="1027"/>
      <c r="Y35" s="1027"/>
      <c r="Z35" s="1027"/>
      <c r="AA35" s="1028"/>
    </row>
    <row r="36" spans="2:27" ht="15.95" customHeight="1" thickBot="1">
      <c r="I36" s="593"/>
      <c r="J36" s="593"/>
      <c r="S36" s="562">
        <f ca="1">SUMIF(S10:S31,"Yes",M11:N31)</f>
        <v>0</v>
      </c>
      <c r="T36" s="562"/>
    </row>
    <row r="37" spans="2:27" ht="15.6" customHeight="1" thickBot="1">
      <c r="B37" s="1013" t="s">
        <v>44</v>
      </c>
      <c r="C37" s="1014"/>
      <c r="D37" s="1014"/>
      <c r="E37" s="1014"/>
      <c r="F37" s="1014"/>
      <c r="G37" s="1014"/>
      <c r="H37" s="1014"/>
      <c r="I37" s="1014"/>
      <c r="J37" s="1015"/>
      <c r="K37" s="583"/>
      <c r="L37" s="583"/>
      <c r="S37" s="592">
        <f ca="1">M32-S36</f>
        <v>0.17618396625999999</v>
      </c>
      <c r="T37" s="592"/>
    </row>
    <row r="38" spans="2:27" ht="15.6" customHeight="1" thickBot="1">
      <c r="B38" s="1004" t="s">
        <v>45</v>
      </c>
      <c r="C38" s="1005"/>
      <c r="D38" s="1005"/>
      <c r="E38" s="1005"/>
      <c r="F38" s="1005"/>
      <c r="G38" s="1005"/>
      <c r="H38" s="1005"/>
      <c r="I38" s="1005"/>
      <c r="J38" s="1006"/>
      <c r="K38" s="584"/>
      <c r="L38" s="584"/>
      <c r="R38" s="562"/>
      <c r="S38" s="594">
        <f>SUMIF(S10:S31,"No",M10:N31)</f>
        <v>0</v>
      </c>
      <c r="T38" s="562"/>
    </row>
    <row r="39" spans="2:27" ht="15.95" customHeight="1">
      <c r="B39" s="995" t="s">
        <v>46</v>
      </c>
      <c r="C39" s="996"/>
      <c r="D39" s="996"/>
      <c r="E39" s="996"/>
      <c r="F39" s="996"/>
      <c r="G39" s="996"/>
      <c r="H39" s="997"/>
      <c r="I39" s="989">
        <f ca="1">K32-S36</f>
        <v>0</v>
      </c>
      <c r="J39" s="990"/>
      <c r="K39" s="585"/>
      <c r="L39" s="585"/>
    </row>
    <row r="40" spans="2:27">
      <c r="B40" s="998" t="s">
        <v>47</v>
      </c>
      <c r="C40" s="999"/>
      <c r="D40" s="999"/>
      <c r="E40" s="999"/>
      <c r="F40" s="999"/>
      <c r="G40" s="999"/>
      <c r="H40" s="1000"/>
      <c r="I40" s="991">
        <f>M32</f>
        <v>0.17618396625999999</v>
      </c>
      <c r="J40" s="992"/>
      <c r="K40" s="585"/>
      <c r="L40" s="585"/>
    </row>
    <row r="41" spans="2:27" ht="15.95" customHeight="1">
      <c r="B41" s="998" t="s">
        <v>48</v>
      </c>
      <c r="C41" s="999"/>
      <c r="D41" s="999"/>
      <c r="E41" s="999"/>
      <c r="F41" s="999"/>
      <c r="G41" s="999"/>
      <c r="H41" s="1000"/>
      <c r="I41" s="1016" t="str">
        <f ca="1">IF(OR(M32=0,I39=0),"0.00",(M32/I39))</f>
        <v>0.00</v>
      </c>
      <c r="J41" s="1017"/>
      <c r="K41" s="586"/>
      <c r="L41" s="586"/>
    </row>
    <row r="42" spans="2:27" ht="15.6" customHeight="1">
      <c r="B42" s="998" t="s">
        <v>49</v>
      </c>
      <c r="C42" s="999"/>
      <c r="D42" s="999"/>
      <c r="E42" s="999"/>
      <c r="F42" s="999"/>
      <c r="G42" s="999"/>
      <c r="H42" s="1000"/>
      <c r="I42" s="1018">
        <f ca="1">SUMIF(O10:R31, "Retained",M10:N31)</f>
        <v>0.17618396625999999</v>
      </c>
      <c r="J42" s="1019"/>
      <c r="K42" s="587"/>
      <c r="L42" s="587"/>
    </row>
    <row r="43" spans="2:27">
      <c r="B43" s="998" t="s">
        <v>50</v>
      </c>
      <c r="C43" s="999"/>
      <c r="D43" s="999"/>
      <c r="E43" s="999"/>
      <c r="F43" s="999"/>
      <c r="G43" s="999"/>
      <c r="H43" s="1000"/>
      <c r="I43" s="1018">
        <f ca="1">SUMIF(O10:R31,"Enhanced",M11:N31)</f>
        <v>0</v>
      </c>
      <c r="J43" s="1019"/>
      <c r="K43" s="587"/>
      <c r="L43" s="587"/>
    </row>
    <row r="44" spans="2:27" ht="15.95" customHeight="1" thickBot="1">
      <c r="B44" s="1001" t="s">
        <v>51</v>
      </c>
      <c r="C44" s="1002"/>
      <c r="D44" s="1002"/>
      <c r="E44" s="1002"/>
      <c r="F44" s="1002"/>
      <c r="G44" s="1002"/>
      <c r="H44" s="1003"/>
      <c r="I44" s="1020">
        <f ca="1">SUMIF(O10:R31, "Lost",M10:N31)</f>
        <v>0</v>
      </c>
      <c r="J44" s="1021"/>
      <c r="K44" s="584"/>
      <c r="L44" s="584"/>
      <c r="O44" s="562" t="s">
        <v>52</v>
      </c>
    </row>
    <row r="45" spans="2:27" ht="15.95" customHeight="1" thickBot="1">
      <c r="B45" s="1004" t="s">
        <v>53</v>
      </c>
      <c r="C45" s="1005"/>
      <c r="D45" s="1005"/>
      <c r="E45" s="1005"/>
      <c r="F45" s="1005"/>
      <c r="G45" s="1005"/>
      <c r="H45" s="1005"/>
      <c r="I45" s="1005"/>
      <c r="J45" s="1006"/>
      <c r="K45" s="588"/>
      <c r="L45" s="588"/>
      <c r="O45" s="562" t="s">
        <v>54</v>
      </c>
    </row>
    <row r="46" spans="2:27" ht="15.6" customHeight="1">
      <c r="B46" s="995" t="s">
        <v>55</v>
      </c>
      <c r="C46" s="996"/>
      <c r="D46" s="996"/>
      <c r="E46" s="996"/>
      <c r="F46" s="996"/>
      <c r="G46" s="996"/>
      <c r="H46" s="997"/>
      <c r="I46" s="1007">
        <f ca="1">SUMIF(B10:D31, "=Hedgerows",K10:L31)</f>
        <v>0</v>
      </c>
      <c r="J46" s="1008"/>
      <c r="K46" s="588"/>
      <c r="L46" s="588"/>
    </row>
    <row r="47" spans="2:27">
      <c r="B47" s="998" t="s">
        <v>56</v>
      </c>
      <c r="C47" s="999"/>
      <c r="D47" s="999"/>
      <c r="E47" s="999"/>
      <c r="F47" s="999"/>
      <c r="G47" s="999"/>
      <c r="H47" s="1000"/>
      <c r="I47" s="1009">
        <f>SUM(SUMIFS(K10:K31,B10:B31, ("=Hedgerows"),O10:O31, ("=Retained")))</f>
        <v>0</v>
      </c>
      <c r="J47" s="1010"/>
      <c r="K47" s="588"/>
      <c r="L47" s="588"/>
      <c r="O47" s="562" t="s">
        <v>53</v>
      </c>
    </row>
    <row r="48" spans="2:27">
      <c r="B48" s="998" t="s">
        <v>57</v>
      </c>
      <c r="C48" s="999"/>
      <c r="D48" s="999"/>
      <c r="E48" s="999"/>
      <c r="F48" s="999"/>
      <c r="G48" s="999"/>
      <c r="H48" s="1000"/>
      <c r="I48" s="1009">
        <f>SUM(SUMIFS(K10:K31,B10:B31, ("=Hedgerows"),O10:O31, ("=Enhanced")))</f>
        <v>0</v>
      </c>
      <c r="J48" s="1010"/>
      <c r="K48" s="584"/>
      <c r="L48" s="584"/>
      <c r="O48" s="562" t="s">
        <v>52</v>
      </c>
    </row>
    <row r="49" spans="2:12" ht="15.95" customHeight="1" thickBot="1">
      <c r="B49" s="1001" t="s">
        <v>58</v>
      </c>
      <c r="C49" s="1002"/>
      <c r="D49" s="1002"/>
      <c r="E49" s="1002"/>
      <c r="F49" s="1002"/>
      <c r="G49" s="1002"/>
      <c r="H49" s="1003"/>
      <c r="I49" s="1011">
        <f>SUM(SUMIFS(K10:K31,B10:B31, ("=Hedgerows"),O10:O31, ("=Lost")))</f>
        <v>0</v>
      </c>
      <c r="J49" s="1012"/>
      <c r="K49" s="585"/>
      <c r="L49" s="585"/>
    </row>
    <row r="50" spans="2:12" ht="16.5" thickBot="1">
      <c r="B50" s="671" t="s">
        <v>59</v>
      </c>
      <c r="C50" s="672"/>
      <c r="D50" s="672"/>
      <c r="E50" s="672"/>
      <c r="F50" s="672"/>
      <c r="G50" s="672"/>
      <c r="H50" s="672"/>
      <c r="I50" s="672"/>
      <c r="J50" s="673"/>
      <c r="K50" s="589"/>
      <c r="L50" s="589"/>
    </row>
    <row r="51" spans="2:12" ht="15.6" customHeight="1">
      <c r="B51" s="995" t="s">
        <v>1680</v>
      </c>
      <c r="C51" s="996"/>
      <c r="D51" s="996"/>
      <c r="E51" s="996"/>
      <c r="F51" s="996"/>
      <c r="G51" s="996"/>
      <c r="H51" s="997"/>
      <c r="I51" s="989">
        <f ca="1">SUMIF(B10:D31, "=Watercourse",K10:L31)</f>
        <v>0</v>
      </c>
      <c r="J51" s="990"/>
      <c r="K51" s="589"/>
      <c r="L51" s="589"/>
    </row>
    <row r="52" spans="2:12">
      <c r="B52" s="998" t="s">
        <v>60</v>
      </c>
      <c r="C52" s="999"/>
      <c r="D52" s="999"/>
      <c r="E52" s="999"/>
      <c r="F52" s="999"/>
      <c r="G52" s="999"/>
      <c r="H52" s="1000"/>
      <c r="I52" s="991">
        <f>SUMIFS(K10:K32,B10:B32, "=Watercourse", O10:O32, "=Retained")</f>
        <v>0</v>
      </c>
      <c r="J52" s="992"/>
    </row>
    <row r="53" spans="2:12">
      <c r="B53" s="998" t="s">
        <v>1681</v>
      </c>
      <c r="C53" s="999"/>
      <c r="D53" s="999"/>
      <c r="E53" s="999"/>
      <c r="F53" s="999"/>
      <c r="G53" s="999"/>
      <c r="H53" s="1000"/>
      <c r="I53" s="991">
        <f>SUMIFS(K10:K31,B10:B31, "=Watercourse", O10:O31, "=Enhanced")</f>
        <v>0</v>
      </c>
      <c r="J53" s="992"/>
    </row>
    <row r="54" spans="2:12" ht="15.95" customHeight="1" thickBot="1">
      <c r="B54" s="1001" t="s">
        <v>61</v>
      </c>
      <c r="C54" s="1002"/>
      <c r="D54" s="1002"/>
      <c r="E54" s="1002"/>
      <c r="F54" s="1002"/>
      <c r="G54" s="1002"/>
      <c r="H54" s="1003"/>
      <c r="I54" s="993">
        <f>SUM(SUMIFS(K10:K31,B10:B31, ("=Watercourse"),O10:O31, ("=Lost")))</f>
        <v>0</v>
      </c>
      <c r="J54" s="994"/>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Text" dxfId="927" priority="9" operator="containsText" text="Area">
      <formula>NOT(ISERROR(SEARCH("Area",B10)))</formula>
    </cfRule>
    <cfRule type="containsText" dxfId="926" priority="10" operator="containsText" text="Watercourses">
      <formula>NOT(ISERROR(SEARCH("Watercourses",B10)))</formula>
    </cfRule>
    <cfRule type="containsText" dxfId="925" priority="11" operator="containsText" text="Hedgerows">
      <formula>NOT(ISERROR(SEARCH("Hedgerows",B10)))</formula>
    </cfRule>
  </conditionalFormatting>
  <conditionalFormatting sqref="M11:N31 M10">
    <cfRule type="expression" dxfId="924" priority="7">
      <formula>B10="Hedgerows"</formula>
    </cfRule>
    <cfRule type="expression" dxfId="923" priority="8">
      <formula>B10="Watercourses"</formula>
    </cfRule>
  </conditionalFormatting>
  <conditionalFormatting sqref="B10:D31">
    <cfRule type="containsBlanks" priority="6">
      <formula>LEN(TRIM(B10))=0</formula>
    </cfRule>
  </conditionalFormatting>
  <conditionalFormatting sqref="K10:L31">
    <cfRule type="expression" dxfId="922" priority="4">
      <formula>B10="Area habitats"</formula>
    </cfRule>
  </conditionalFormatting>
  <conditionalFormatting sqref="AB10:AB31">
    <cfRule type="containsText" dxfId="921" priority="2" operator="containsText" text="Please">
      <formula>NOT(ISERROR(SEARCH("Please",AB10)))</formula>
    </cfRule>
  </conditionalFormatting>
  <conditionalFormatting sqref="AA10:AA31">
    <cfRule type="containsText" dxfId="920" priority="1" operator="containsText" text="▲">
      <formula>NOT(ISERROR(SEARCH("▲",AA10)))</formula>
    </cfRule>
  </conditionalFormatting>
  <dataValidations count="3">
    <dataValidation type="list" allowBlank="1" showInputMessage="1" showErrorMessage="1" sqref="B10:B31">
      <formula1>"Area habitats, Hedgerows, Watercourses"</formula1>
    </dataValidation>
    <dataValidation type="list" allowBlank="1" showInputMessage="1" showErrorMessage="1" sqref="Z10:Z31 S10:T31">
      <formula1>"Yes, No"</formula1>
    </dataValidation>
    <dataValidation type="list" allowBlank="1" showInputMessage="1" showErrorMessage="1" sqref="O10:R31">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4"/>
      <c r="E10" s="1684"/>
      <c r="F10" s="1684"/>
      <c r="G10" s="1684"/>
      <c r="H10" s="1684"/>
      <c r="I10" s="1684"/>
      <c r="J10" s="1684"/>
      <c r="K10" s="1684"/>
      <c r="L10" s="1684"/>
      <c r="M10" s="16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A1:D378"/>
  <sheetViews>
    <sheetView showGridLines="0" zoomScale="80" zoomScaleNormal="80" workbookViewId="0"/>
  </sheetViews>
  <sheetFormatPr defaultColWidth="9.140625" defaultRowHeight="1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c r="A1" s="252" t="s">
        <v>1281</v>
      </c>
      <c r="B1" s="253" t="s">
        <v>1282</v>
      </c>
      <c r="D1" s="225" t="s">
        <v>1283</v>
      </c>
    </row>
    <row r="2" spans="1:4">
      <c r="A2" s="496" t="s">
        <v>1284</v>
      </c>
      <c r="B2" s="497" t="s">
        <v>1285</v>
      </c>
      <c r="D2" s="496" t="str">
        <f>'G-1 All Habitats'!B3</f>
        <v>Cropland - Arable field margins cultivated annually</v>
      </c>
    </row>
    <row r="3" spans="1:4">
      <c r="A3" s="496" t="s">
        <v>1286</v>
      </c>
      <c r="B3" s="497" t="s">
        <v>1287</v>
      </c>
      <c r="D3" s="496" t="str">
        <f>'G-1 All Habitats'!B4</f>
        <v>Cropland - Arable field margins game bird mix</v>
      </c>
    </row>
    <row r="4" spans="1:4">
      <c r="A4" s="496" t="s">
        <v>1288</v>
      </c>
      <c r="B4" s="497" t="s">
        <v>1289</v>
      </c>
      <c r="D4" s="496" t="str">
        <f>'G-1 All Habitats'!B5</f>
        <v>Cropland - Arable field margins pollen and nectar</v>
      </c>
    </row>
    <row r="5" spans="1:4">
      <c r="A5" s="496" t="s">
        <v>1290</v>
      </c>
      <c r="B5" s="497" t="s">
        <v>1291</v>
      </c>
      <c r="D5" s="496" t="str">
        <f>'G-1 All Habitats'!B6</f>
        <v>Cropland - Arable field margins tussocky</v>
      </c>
    </row>
    <row r="6" spans="1:4">
      <c r="A6" s="496" t="s">
        <v>1292</v>
      </c>
      <c r="B6" s="497" t="s">
        <v>1293</v>
      </c>
      <c r="D6" s="496" t="str">
        <f>'G-1 All Habitats'!B7</f>
        <v>Cropland - Cereal crops</v>
      </c>
    </row>
    <row r="7" spans="1:4">
      <c r="A7" s="496" t="s">
        <v>1294</v>
      </c>
      <c r="B7" s="497" t="s">
        <v>1295</v>
      </c>
      <c r="D7" s="496" t="str">
        <f>'G-1 All Habitats'!B8</f>
        <v>Cropland - Winter stubble</v>
      </c>
    </row>
    <row r="8" spans="1:4">
      <c r="A8" s="496" t="s">
        <v>1296</v>
      </c>
      <c r="B8" s="497" t="s">
        <v>1297</v>
      </c>
      <c r="D8" s="496" t="str">
        <f>'G-1 All Habitats'!B9</f>
        <v>Cropland - Horticulture</v>
      </c>
    </row>
    <row r="9" spans="1:4">
      <c r="A9" s="496" t="s">
        <v>1298</v>
      </c>
      <c r="B9" s="497" t="s">
        <v>1299</v>
      </c>
      <c r="D9" s="496" t="str">
        <f>'G-1 All Habitats'!B10</f>
        <v>Cropland - Intensive orchards</v>
      </c>
    </row>
    <row r="10" spans="1:4">
      <c r="A10" s="496" t="s">
        <v>1300</v>
      </c>
      <c r="B10" s="497" t="s">
        <v>1301</v>
      </c>
      <c r="D10" s="496" t="str">
        <f>'G-1 All Habitats'!B11</f>
        <v>Cropland - Non-cereal crops</v>
      </c>
    </row>
    <row r="11" spans="1:4">
      <c r="A11" s="496" t="s">
        <v>1302</v>
      </c>
      <c r="B11" s="497" t="s">
        <v>1303</v>
      </c>
      <c r="D11" s="496" t="str">
        <f>'G-1 All Habitats'!B12</f>
        <v>Cropland - Temporary grass and clover leys</v>
      </c>
    </row>
    <row r="12" spans="1:4">
      <c r="A12" s="496" t="s">
        <v>1304</v>
      </c>
      <c r="B12" s="497" t="s">
        <v>1305</v>
      </c>
      <c r="D12" s="496" t="str">
        <f>'G-1 All Habitats'!B13</f>
        <v>Grassland - Traditional orchards</v>
      </c>
    </row>
    <row r="13" spans="1:4">
      <c r="A13" s="496" t="s">
        <v>1306</v>
      </c>
      <c r="B13" s="497" t="s">
        <v>1307</v>
      </c>
      <c r="D13" s="496" t="str">
        <f>'G-1 All Habitats'!B14</f>
        <v>Grassland - Bracken</v>
      </c>
    </row>
    <row r="14" spans="1:4">
      <c r="A14" s="496" t="s">
        <v>1308</v>
      </c>
      <c r="B14" s="497" t="s">
        <v>1309</v>
      </c>
      <c r="D14" s="496" t="str">
        <f>'G-1 All Habitats'!B15</f>
        <v>Grassland - Floodplain wetland mosaic and CFGM</v>
      </c>
    </row>
    <row r="15" spans="1:4">
      <c r="A15" s="496" t="s">
        <v>1310</v>
      </c>
      <c r="B15" s="497" t="s">
        <v>1311</v>
      </c>
      <c r="D15" s="496" t="str">
        <f>'G-1 All Habitats'!B16</f>
        <v>Grassland - Lowland calcareous grassland</v>
      </c>
    </row>
    <row r="16" spans="1:4">
      <c r="A16" s="496" t="s">
        <v>1312</v>
      </c>
      <c r="B16" s="497" t="s">
        <v>1313</v>
      </c>
      <c r="D16" s="496" t="str">
        <f>'G-1 All Habitats'!B17</f>
        <v>Grassland - Lowland dry acid grassland</v>
      </c>
    </row>
    <row r="17" spans="1:4">
      <c r="A17" s="496" t="s">
        <v>1314</v>
      </c>
      <c r="D17" s="496" t="str">
        <f>'G-1 All Habitats'!B18</f>
        <v>Grassland - Lowland meadows</v>
      </c>
    </row>
    <row r="18" spans="1:4">
      <c r="A18" s="496" t="s">
        <v>1315</v>
      </c>
      <c r="D18" s="496" t="str">
        <f>'G-1 All Habitats'!B19</f>
        <v>Grassland - Modified grassland</v>
      </c>
    </row>
    <row r="19" spans="1:4">
      <c r="A19" s="496" t="s">
        <v>1316</v>
      </c>
      <c r="D19" s="496" t="str">
        <f>'G-1 All Habitats'!B20</f>
        <v>Grassland - Other lowland acid grassland</v>
      </c>
    </row>
    <row r="20" spans="1:4">
      <c r="A20" s="496" t="s">
        <v>1317</v>
      </c>
      <c r="D20" s="496" t="str">
        <f>'G-1 All Habitats'!B21</f>
        <v>Grassland - Other neutral grassland</v>
      </c>
    </row>
    <row r="21" spans="1:4">
      <c r="A21" s="496" t="s">
        <v>1318</v>
      </c>
      <c r="D21" s="496" t="str">
        <f>'G-1 All Habitats'!B22</f>
        <v>Grassland - Tall herb communities (H6430)</v>
      </c>
    </row>
    <row r="22" spans="1:4">
      <c r="A22" s="496" t="s">
        <v>1319</v>
      </c>
      <c r="D22" s="496" t="str">
        <f>'G-1 All Habitats'!B23</f>
        <v>Grassland - Upland acid grassland</v>
      </c>
    </row>
    <row r="23" spans="1:4">
      <c r="A23" s="496" t="s">
        <v>1320</v>
      </c>
      <c r="D23" s="496" t="str">
        <f>'G-1 All Habitats'!B24</f>
        <v>Grassland - Upland calcareous grassland</v>
      </c>
    </row>
    <row r="24" spans="1:4">
      <c r="A24" s="496" t="s">
        <v>1321</v>
      </c>
      <c r="D24" s="496" t="str">
        <f>'G-1 All Habitats'!B25</f>
        <v>Grassland - Upland hay meadows</v>
      </c>
    </row>
    <row r="25" spans="1:4">
      <c r="A25" s="496" t="s">
        <v>1322</v>
      </c>
      <c r="D25" s="496" t="str">
        <f>'G-1 All Habitats'!B26</f>
        <v>Heathland and shrub - Blackthorn scrub</v>
      </c>
    </row>
    <row r="26" spans="1:4">
      <c r="A26" s="496" t="s">
        <v>1323</v>
      </c>
      <c r="D26" s="496" t="str">
        <f>'G-1 All Habitats'!B27</f>
        <v>Heathland and shrub - Bramble scrub</v>
      </c>
    </row>
    <row r="27" spans="1:4">
      <c r="A27" s="496" t="s">
        <v>1324</v>
      </c>
      <c r="D27" s="496" t="str">
        <f>'G-1 All Habitats'!B28</f>
        <v>Heathland and shrub - Gorse scrub</v>
      </c>
    </row>
    <row r="28" spans="1:4">
      <c r="A28" s="496" t="s">
        <v>1325</v>
      </c>
      <c r="D28" s="496" t="str">
        <f>'G-1 All Habitats'!B29</f>
        <v>Heathland and shrub - Hawthorn scrub</v>
      </c>
    </row>
    <row r="29" spans="1:4">
      <c r="A29" s="496" t="s">
        <v>1326</v>
      </c>
      <c r="D29" s="496" t="str">
        <f>'G-1 All Habitats'!B30</f>
        <v>Heathland and shrub - Hazel scrub</v>
      </c>
    </row>
    <row r="30" spans="1:4">
      <c r="A30" s="496" t="s">
        <v>1327</v>
      </c>
      <c r="D30" s="496" t="str">
        <f>'G-1 All Habitats'!B31</f>
        <v>Heathland and shrub - Lowland heathland</v>
      </c>
    </row>
    <row r="31" spans="1:4">
      <c r="A31" s="496" t="s">
        <v>1328</v>
      </c>
      <c r="D31" s="496" t="str">
        <f>'G-1 All Habitats'!B32</f>
        <v>Heathland and shrub - Mixed scrub</v>
      </c>
    </row>
    <row r="32" spans="1:4">
      <c r="A32" s="496" t="s">
        <v>1329</v>
      </c>
      <c r="D32" s="496" t="str">
        <f>'G-1 All Habitats'!B33</f>
        <v>Heathland and shrub - Mountain heaths and willow scrub</v>
      </c>
    </row>
    <row r="33" spans="1:4">
      <c r="A33" s="496" t="s">
        <v>1330</v>
      </c>
      <c r="D33" s="496" t="str">
        <f>'G-1 All Habitats'!B34</f>
        <v>Heathland and shrub - Rhododendron scrub</v>
      </c>
    </row>
    <row r="34" spans="1:4">
      <c r="A34" s="496" t="s">
        <v>1331</v>
      </c>
      <c r="D34" s="496" t="str">
        <f>'G-1 All Habitats'!B35</f>
        <v>Heathland and shrub - Dunes with sea buckthorn (H2160)</v>
      </c>
    </row>
    <row r="35" spans="1:4">
      <c r="A35" s="496" t="s">
        <v>1332</v>
      </c>
      <c r="D35" s="496" t="str">
        <f>'G-1 All Habitats'!B36</f>
        <v>Heathland and shrub - Other sea buckthorn scrub</v>
      </c>
    </row>
    <row r="36" spans="1:4">
      <c r="A36" s="496" t="s">
        <v>1333</v>
      </c>
      <c r="D36" s="496" t="str">
        <f>'G-1 All Habitats'!B38</f>
        <v>Heathland and shrub - Upland heathland</v>
      </c>
    </row>
    <row r="37" spans="1:4">
      <c r="A37" s="496" t="s">
        <v>1334</v>
      </c>
      <c r="D37" s="496" t="str">
        <f>'G-1 All Habitats'!B39</f>
        <v>Lakes - Aquifer fed naturally fluctuating water bodies</v>
      </c>
    </row>
    <row r="38" spans="1:4">
      <c r="A38" s="496" t="s">
        <v>1335</v>
      </c>
      <c r="D38" s="496" t="str">
        <f>'G-1 All Habitats'!B41</f>
        <v>Lakes - High alkalinity lakes</v>
      </c>
    </row>
    <row r="39" spans="1:4">
      <c r="A39" s="496" t="s">
        <v>1336</v>
      </c>
      <c r="D39" s="496" t="str">
        <f>'G-1 All Habitats'!B42</f>
        <v>Lakes - Low alkalinity lakes</v>
      </c>
    </row>
    <row r="40" spans="1:4">
      <c r="A40" s="496" t="s">
        <v>1337</v>
      </c>
      <c r="D40" s="496" t="str">
        <f>'G-1 All Habitats'!B43</f>
        <v>Lakes - Marl lakes</v>
      </c>
    </row>
    <row r="41" spans="1:4">
      <c r="A41" s="496" t="s">
        <v>1338</v>
      </c>
      <c r="D41" s="496" t="str">
        <f>'G-1 All Habitats'!B44</f>
        <v>Lakes - Moderate alkalinity lakes</v>
      </c>
    </row>
    <row r="42" spans="1:4">
      <c r="A42" s="496" t="s">
        <v>1339</v>
      </c>
      <c r="D42" s="496" t="str">
        <f>'G-1 All Habitats'!B45</f>
        <v>Lakes - Peat lakes</v>
      </c>
    </row>
    <row r="43" spans="1:4">
      <c r="A43" s="496" t="s">
        <v>1340</v>
      </c>
      <c r="D43" s="496" t="str">
        <f>'G-1 All Habitats'!B46</f>
        <v>Lakes - Ponds (priority habitat)</v>
      </c>
    </row>
    <row r="44" spans="1:4">
      <c r="A44" s="496" t="s">
        <v>1341</v>
      </c>
      <c r="D44" s="496" t="str">
        <f>'G-1 All Habitats'!B47</f>
        <v>Lakes - Ponds (non-priority habitat)</v>
      </c>
    </row>
    <row r="45" spans="1:4">
      <c r="A45" s="496" t="s">
        <v>1342</v>
      </c>
      <c r="D45" s="496" t="str">
        <f>'G-1 All Habitats'!B48</f>
        <v>Lakes - Reservoirs</v>
      </c>
    </row>
    <row r="46" spans="1:4">
      <c r="A46" s="496" t="s">
        <v>1343</v>
      </c>
      <c r="D46" s="496" t="str">
        <f>'G-1 All Habitats'!B49</f>
        <v>Lakes - Temporary lakes ponds and pools (H3170)</v>
      </c>
    </row>
    <row r="47" spans="1:4">
      <c r="A47" s="496" t="s">
        <v>1344</v>
      </c>
      <c r="D47" s="496" t="str">
        <f>'G-1 All Habitats'!B50</f>
        <v>Sparsely vegetated land - Calaminarian grasslands</v>
      </c>
    </row>
    <row r="48" spans="1:4">
      <c r="A48" s="496" t="s">
        <v>1345</v>
      </c>
      <c r="D48" s="496" t="str">
        <f>'G-1 All Habitats'!B51</f>
        <v>Sparsely vegetated land - Coastal sand dunes</v>
      </c>
    </row>
    <row r="49" spans="1:4">
      <c r="A49" s="496" t="s">
        <v>1346</v>
      </c>
      <c r="D49" s="496" t="str">
        <f>'G-1 All Habitats'!B52</f>
        <v>Sparsely vegetated land - Coastal vegetated shingle</v>
      </c>
    </row>
    <row r="50" spans="1:4">
      <c r="A50" s="496" t="s">
        <v>1347</v>
      </c>
      <c r="D50" s="496" t="str">
        <f>'G-1 All Habitats'!B53</f>
        <v>Sparsely vegetated land - Ruderal/Ephemeral</v>
      </c>
    </row>
    <row r="51" spans="1:4">
      <c r="A51" s="496" t="s">
        <v>1348</v>
      </c>
      <c r="D51" s="496" t="str">
        <f>'G-1 All Habitats'!B55</f>
        <v>Sparsely vegetated land - Inland rock outcrop and scree habitats</v>
      </c>
    </row>
    <row r="52" spans="1:4">
      <c r="A52" s="496" t="s">
        <v>1349</v>
      </c>
      <c r="D52" s="496" t="str">
        <f>'G-1 All Habitats'!B56</f>
        <v>Sparsely vegetated land - Limestone pavement</v>
      </c>
    </row>
    <row r="53" spans="1:4">
      <c r="A53" s="496" t="s">
        <v>1350</v>
      </c>
      <c r="D53" s="496" t="str">
        <f>'G-1 All Habitats'!B57</f>
        <v>Sparsely vegetated land - Maritime cliff and slopes</v>
      </c>
    </row>
    <row r="54" spans="1:4">
      <c r="A54" s="496" t="s">
        <v>1351</v>
      </c>
      <c r="D54" s="496" t="str">
        <f>'G-1 All Habitats'!B58</f>
        <v>Sparsely vegetated land - Other inland rock and scree</v>
      </c>
    </row>
    <row r="55" spans="1:4">
      <c r="A55" s="496" t="s">
        <v>1352</v>
      </c>
      <c r="D55" s="496" t="str">
        <f>'G-1 All Habitats'!B59</f>
        <v>Urban - Allotments</v>
      </c>
    </row>
    <row r="56" spans="1:4">
      <c r="A56" s="496" t="s">
        <v>1353</v>
      </c>
      <c r="D56" s="496" t="str">
        <f>'G-1 All Habitats'!B40</f>
        <v>Lakes - Ornamental lake or pond</v>
      </c>
    </row>
    <row r="57" spans="1:4">
      <c r="A57" s="496" t="s">
        <v>1354</v>
      </c>
      <c r="D57" s="496" t="str">
        <f>'G-1 All Habitats'!B60</f>
        <v>Urban - Artificial unvegetated, unsealed surface</v>
      </c>
    </row>
    <row r="58" spans="1:4">
      <c r="A58" s="496" t="s">
        <v>1355</v>
      </c>
      <c r="D58" s="496" t="str">
        <f>'G-1 All Habitats'!B61</f>
        <v>Urban - Bioswale</v>
      </c>
    </row>
    <row r="59" spans="1:4">
      <c r="A59" s="496" t="s">
        <v>1356</v>
      </c>
      <c r="D59" s="496" t="str">
        <f>'G-1 All Habitats'!B62</f>
        <v>Urban - Intensive green roof</v>
      </c>
    </row>
    <row r="60" spans="1:4">
      <c r="A60" s="496" t="s">
        <v>1357</v>
      </c>
      <c r="D60" s="496" t="str">
        <f>'G-1 All Habitats'!B63</f>
        <v>Urban - Built linear features</v>
      </c>
    </row>
    <row r="61" spans="1:4">
      <c r="A61" s="496" t="s">
        <v>1358</v>
      </c>
      <c r="D61" s="496" t="str">
        <f>'G-1 All Habitats'!B64</f>
        <v>Urban - Cemeteries and churchyards</v>
      </c>
    </row>
    <row r="62" spans="1:4">
      <c r="A62" s="496" t="s">
        <v>1359</v>
      </c>
      <c r="D62" s="496" t="str">
        <f>'G-1 All Habitats'!B65</f>
        <v>Urban - Developed land; sealed surface</v>
      </c>
    </row>
    <row r="63" spans="1:4">
      <c r="A63" s="496" t="s">
        <v>1360</v>
      </c>
      <c r="D63" s="496" t="str">
        <f>'G-1 All Habitats'!B66</f>
        <v>Urban - Other green roof</v>
      </c>
    </row>
    <row r="64" spans="1:4">
      <c r="A64" s="496" t="s">
        <v>1361</v>
      </c>
      <c r="D64" s="496" t="str">
        <f>'G-1 All Habitats'!B67</f>
        <v>Urban - Facade-bound green wall</v>
      </c>
    </row>
    <row r="65" spans="1:4">
      <c r="A65" s="496" t="s">
        <v>1362</v>
      </c>
      <c r="D65" s="496" t="str">
        <f>'G-1 All Habitats'!B68</f>
        <v>Urban - Ground based green wall</v>
      </c>
    </row>
    <row r="66" spans="1:4">
      <c r="A66" s="496" t="s">
        <v>1363</v>
      </c>
      <c r="D66" s="496" t="str">
        <f>'G-1 All Habitats'!B69</f>
        <v>Urban - Ground level planters</v>
      </c>
    </row>
    <row r="67" spans="1:4">
      <c r="A67" s="496" t="s">
        <v>1364</v>
      </c>
      <c r="D67" s="496" t="str">
        <f>'G-1 All Habitats'!B70</f>
        <v>Urban - Biodiverse green roof</v>
      </c>
    </row>
    <row r="68" spans="1:4">
      <c r="A68" s="496" t="s">
        <v>1365</v>
      </c>
      <c r="D68" s="496" t="str">
        <f>'G-1 All Habitats'!B71</f>
        <v>Urban - Introduced shrub</v>
      </c>
    </row>
    <row r="69" spans="1:4">
      <c r="A69" s="496" t="s">
        <v>1366</v>
      </c>
      <c r="D69" s="496" t="str">
        <f>'G-1 All Habitats'!B72</f>
        <v>Urban - Open mosaic habitats on previously developed land</v>
      </c>
    </row>
    <row r="70" spans="1:4">
      <c r="A70" s="496" t="s">
        <v>1367</v>
      </c>
      <c r="D70" s="496" t="str">
        <f>'G-1 All Habitats'!B73</f>
        <v>Urban - Rain garden</v>
      </c>
    </row>
    <row r="71" spans="1:4">
      <c r="A71" s="496" t="s">
        <v>1368</v>
      </c>
      <c r="D71" s="496" t="str">
        <f>'G-1 All Habitats'!B74</f>
        <v>Urban - Actively worked sand pit quarry or open cast mine</v>
      </c>
    </row>
    <row r="72" spans="1:4">
      <c r="A72" s="496" t="s">
        <v>1369</v>
      </c>
      <c r="D72" s="496" t="str">
        <f>'G-1 All Habitats'!B80</f>
        <v>Individual trees - Urban tree</v>
      </c>
    </row>
    <row r="73" spans="1:4">
      <c r="A73" s="496" t="s">
        <v>1370</v>
      </c>
      <c r="D73" s="496" t="str">
        <f>'G-1 All Habitats'!B75</f>
        <v>Urban - Sustainable drainage system</v>
      </c>
    </row>
    <row r="74" spans="1:4">
      <c r="A74" s="496" t="s">
        <v>1371</v>
      </c>
      <c r="D74" s="496" t="str">
        <f>'G-1 All Habitats'!B76</f>
        <v>Urban - Unvegetated garden</v>
      </c>
    </row>
    <row r="75" spans="1:4">
      <c r="A75" s="496" t="s">
        <v>1372</v>
      </c>
      <c r="D75" s="496" t="str">
        <f>'G-1 All Habitats'!B77</f>
        <v>Urban - Vacant or derelict land</v>
      </c>
    </row>
    <row r="76" spans="1:4">
      <c r="A76" s="496" t="s">
        <v>1373</v>
      </c>
      <c r="D76" s="496" t="str">
        <f>'G-1 All Habitats'!B79</f>
        <v>Urban - Vegetated garden</v>
      </c>
    </row>
    <row r="77" spans="1:4">
      <c r="A77" s="496" t="s">
        <v>1374</v>
      </c>
      <c r="D77" s="496" t="str">
        <f>'G-1 All Habitats'!B82</f>
        <v>Wetland - Blanket bog</v>
      </c>
    </row>
    <row r="78" spans="1:4">
      <c r="A78" s="496" t="s">
        <v>1375</v>
      </c>
      <c r="D78" s="496" t="str">
        <f>'G-1 All Habitats'!B83</f>
        <v>Wetland - Depressions on peat substrates (H7150)</v>
      </c>
    </row>
    <row r="79" spans="1:4">
      <c r="A79" s="496" t="s">
        <v>1376</v>
      </c>
      <c r="D79" s="496" t="str">
        <f>'G-1 All Habitats'!B84</f>
        <v>Wetland - Fens (upland and lowland)</v>
      </c>
    </row>
    <row r="80" spans="1:4">
      <c r="A80" s="496" t="s">
        <v>1377</v>
      </c>
      <c r="D80" s="496" t="str">
        <f>'G-1 All Habitats'!B85</f>
        <v>Wetland - Lowland raised bog</v>
      </c>
    </row>
    <row r="81" spans="1:4">
      <c r="A81" s="496" t="s">
        <v>1378</v>
      </c>
      <c r="D81" s="496" t="str">
        <f>'G-1 All Habitats'!B86</f>
        <v>Wetland - Oceanic valley mire[1] (D2.1)</v>
      </c>
    </row>
    <row r="82" spans="1:4">
      <c r="A82" s="496" t="s">
        <v>1379</v>
      </c>
      <c r="D82" s="496" t="str">
        <f>'G-1 All Habitats'!B87</f>
        <v>Wetland - Purple moor grass and rush pastures</v>
      </c>
    </row>
    <row r="83" spans="1:4">
      <c r="A83" s="496" t="s">
        <v>1380</v>
      </c>
      <c r="D83" s="496" t="str">
        <f>'G-1 All Habitats'!B88</f>
        <v>Wetland - Reedbeds</v>
      </c>
    </row>
    <row r="84" spans="1:4">
      <c r="A84" s="496" t="s">
        <v>1381</v>
      </c>
      <c r="D84" s="496" t="str">
        <f>'G-1 All Habitats'!B89</f>
        <v>Wetland - Transition mires and quaking bogs (H7140)</v>
      </c>
    </row>
    <row r="85" spans="1:4">
      <c r="A85" s="496" t="s">
        <v>1382</v>
      </c>
      <c r="D85" s="496" t="str">
        <f>'G-1 All Habitats'!B90</f>
        <v>Woodland and forest - Felled</v>
      </c>
    </row>
    <row r="86" spans="1:4">
      <c r="A86" s="496" t="s">
        <v>1383</v>
      </c>
      <c r="D86" s="496" t="str">
        <f>'G-1 All Habitats'!B91</f>
        <v>Woodland and forest - Lowland beech and yew woodland</v>
      </c>
    </row>
    <row r="87" spans="1:4">
      <c r="A87" s="496" t="s">
        <v>1384</v>
      </c>
      <c r="D87" s="496" t="str">
        <f>'G-1 All Habitats'!B92</f>
        <v>Woodland and forest - Lowland mixed deciduous woodland</v>
      </c>
    </row>
    <row r="88" spans="1:4">
      <c r="A88" s="496" t="s">
        <v>1385</v>
      </c>
      <c r="D88" s="496" t="str">
        <f>'G-1 All Habitats'!B93</f>
        <v>Woodland and forest - Native pine woodlands</v>
      </c>
    </row>
    <row r="89" spans="1:4">
      <c r="A89" s="496" t="s">
        <v>1386</v>
      </c>
      <c r="D89" s="496" t="str">
        <f>'G-1 All Habitats'!B94</f>
        <v>Woodland and forest - Other coniferous woodland</v>
      </c>
    </row>
    <row r="90" spans="1:4">
      <c r="A90" s="496" t="s">
        <v>1387</v>
      </c>
      <c r="D90" s="496" t="str">
        <f>'G-1 All Habitats'!B95</f>
        <v>Woodland and forest - Other Scot's pine woodland</v>
      </c>
    </row>
    <row r="91" spans="1:4">
      <c r="A91" s="496" t="s">
        <v>1388</v>
      </c>
      <c r="D91" s="496" t="str">
        <f>'G-1 All Habitats'!B96</f>
        <v>Woodland and forest - Other woodland; broadleaved</v>
      </c>
    </row>
    <row r="92" spans="1:4">
      <c r="A92" s="496" t="s">
        <v>1389</v>
      </c>
      <c r="D92" s="496" t="str">
        <f>'G-1 All Habitats'!B97</f>
        <v>Woodland and forest - Other woodland; mixed</v>
      </c>
    </row>
    <row r="93" spans="1:4">
      <c r="A93" s="496" t="s">
        <v>1390</v>
      </c>
      <c r="D93" s="496" t="str">
        <f>'G-1 All Habitats'!B98</f>
        <v>Woodland and forest - Upland birchwoods</v>
      </c>
    </row>
    <row r="94" spans="1:4">
      <c r="A94" s="496" t="s">
        <v>1391</v>
      </c>
      <c r="D94" s="496" t="str">
        <f>'G-1 All Habitats'!B99</f>
        <v>Woodland and forest - Upland mixed ashwoods</v>
      </c>
    </row>
    <row r="95" spans="1:4">
      <c r="A95" s="496" t="s">
        <v>1392</v>
      </c>
      <c r="D95" s="496" t="str">
        <f>'G-1 All Habitats'!B100</f>
        <v>Woodland and forest - Upland oakwood</v>
      </c>
    </row>
    <row r="96" spans="1:4">
      <c r="A96" s="496" t="s">
        <v>1393</v>
      </c>
      <c r="D96" s="496" t="str">
        <f>'G-1 All Habitats'!B101</f>
        <v>Woodland and forest - Wet woodland</v>
      </c>
    </row>
    <row r="97" spans="1:4">
      <c r="A97" s="496" t="s">
        <v>1394</v>
      </c>
      <c r="D97" s="496" t="str">
        <f>'G-1 All Habitats'!B102</f>
        <v>Woodland and forest - Wood-pasture and parkland</v>
      </c>
    </row>
    <row r="98" spans="1:4">
      <c r="A98" s="496" t="s">
        <v>1395</v>
      </c>
      <c r="D98" s="496" t="str">
        <f>'G-1 All Habitats'!B103</f>
        <v>Coastal lagoons - Coastal lagoons</v>
      </c>
    </row>
    <row r="99" spans="1:4">
      <c r="A99" s="496" t="s">
        <v>1396</v>
      </c>
      <c r="D99" s="496" t="str">
        <f>'G-1 All Habitats'!B104</f>
        <v>Rocky shore - High energy littoral rock</v>
      </c>
    </row>
    <row r="100" spans="1:4">
      <c r="A100" s="496" t="s">
        <v>1397</v>
      </c>
      <c r="D100" s="496" t="str">
        <f>'G-1 All Habitats'!B105</f>
        <v>Rocky shore - High energy littoral rock - on peat, clay or chalk</v>
      </c>
    </row>
    <row r="101" spans="1:4">
      <c r="A101" s="496" t="s">
        <v>1398</v>
      </c>
      <c r="D101" s="496" t="str">
        <f>'G-1 All Habitats'!B106</f>
        <v>Rocky shore - Moderate energy littoral rock</v>
      </c>
    </row>
    <row r="102" spans="1:4">
      <c r="A102" s="496" t="s">
        <v>1399</v>
      </c>
      <c r="D102" s="496" t="str">
        <f>'G-1 All Habitats'!B107</f>
        <v>Rocky shore - Moderate energy littoral rock - on peat, clay or chalk</v>
      </c>
    </row>
    <row r="103" spans="1:4">
      <c r="A103" s="496" t="s">
        <v>1400</v>
      </c>
      <c r="D103" s="496" t="str">
        <f>'G-1 All Habitats'!B108</f>
        <v>Rocky shore - Low energy littoral rock</v>
      </c>
    </row>
    <row r="104" spans="1:4">
      <c r="A104" s="496" t="s">
        <v>1401</v>
      </c>
      <c r="D104" s="496" t="str">
        <f>'G-1 All Habitats'!B109</f>
        <v>Rocky shore - Low energy littoral rock - on peat, clay or chalk</v>
      </c>
    </row>
    <row r="105" spans="1:4">
      <c r="A105" s="496" t="s">
        <v>1402</v>
      </c>
      <c r="D105" s="496" t="str">
        <f>'G-1 All Habitats'!B110</f>
        <v>Rocky shore - Features of littoral rock</v>
      </c>
    </row>
    <row r="106" spans="1:4">
      <c r="A106" s="496" t="s">
        <v>1403</v>
      </c>
      <c r="D106" s="496" t="str">
        <f>'G-1 All Habitats'!B111</f>
        <v>Rocky shore - Features of littoral rock - on peat, clay or chalk</v>
      </c>
    </row>
    <row r="107" spans="1:4">
      <c r="A107" s="496" t="s">
        <v>1404</v>
      </c>
      <c r="D107" s="496" t="str">
        <f>'G-1 All Habitats'!B114</f>
        <v>Intertidal sediment - Littoral coarse sediment</v>
      </c>
    </row>
    <row r="108" spans="1:4">
      <c r="A108" s="496" t="s">
        <v>1405</v>
      </c>
      <c r="D108" s="496" t="str">
        <f>'G-1 All Habitats'!B115</f>
        <v>Intertidal sediment - Littoral mud</v>
      </c>
    </row>
    <row r="109" spans="1:4">
      <c r="A109" s="496" t="s">
        <v>1406</v>
      </c>
      <c r="D109" s="496" t="str">
        <f>'G-1 All Habitats'!B116</f>
        <v>Intertidal sediment - Littoral mixed sediments</v>
      </c>
    </row>
    <row r="110" spans="1:4">
      <c r="A110" s="496" t="s">
        <v>1407</v>
      </c>
      <c r="D110" s="496" t="str">
        <f>'G-1 All Habitats'!B112</f>
        <v>Coastal saltmarsh - Saltmarshes and saline reedbeds</v>
      </c>
    </row>
    <row r="111" spans="1:4">
      <c r="A111" s="496" t="s">
        <v>1408</v>
      </c>
      <c r="D111" s="496" t="str">
        <f>'G-1 All Habitats'!B117</f>
        <v>Intertidal sediment - Littoral seagrass</v>
      </c>
    </row>
    <row r="112" spans="1:4">
      <c r="A112" s="496" t="s">
        <v>1409</v>
      </c>
      <c r="D112" s="496" t="str">
        <f>'G-1 All Habitats'!B118</f>
        <v>Intertidal sediment - Littoral seagrass on peat, clay or chalk</v>
      </c>
    </row>
    <row r="113" spans="1:4">
      <c r="A113" s="496" t="s">
        <v>1410</v>
      </c>
      <c r="D113" s="496" t="str">
        <f>'G-1 All Habitats'!B120</f>
        <v>Intertidal sediment - Littoral biogenic reefs - Sabellaria</v>
      </c>
    </row>
    <row r="114" spans="1:4">
      <c r="A114" s="496" t="s">
        <v>1411</v>
      </c>
      <c r="D114" s="496" t="str">
        <f>'G-1 All Habitats'!B121</f>
        <v>Intertidal sediment - Features of littoral sediment</v>
      </c>
    </row>
    <row r="115" spans="1:4">
      <c r="A115" s="496" t="s">
        <v>1412</v>
      </c>
      <c r="D115" s="496" t="str">
        <f>'G-1 All Habitats'!B122</f>
        <v>Intertidal sediment - Artificial littoral coarse sediment</v>
      </c>
    </row>
    <row r="116" spans="1:4">
      <c r="A116" s="496" t="s">
        <v>1413</v>
      </c>
      <c r="D116" s="496" t="str">
        <f>'G-1 All Habitats'!B125</f>
        <v>Intertidal sediment - Artificial littoral muddy sand</v>
      </c>
    </row>
    <row r="117" spans="1:4">
      <c r="A117" s="496" t="s">
        <v>1414</v>
      </c>
      <c r="D117" s="496" t="str">
        <f>'G-1 All Habitats'!B126</f>
        <v>Intertidal sediment - Artificial littoral mixed sediments</v>
      </c>
    </row>
    <row r="118" spans="1:4">
      <c r="A118" s="496" t="s">
        <v>1415</v>
      </c>
      <c r="D118" s="496" t="str">
        <f>'G-1 All Habitats'!B127</f>
        <v>Intertidal sediment - Artificial littoral seagrass</v>
      </c>
    </row>
    <row r="119" spans="1:4">
      <c r="A119" s="496" t="s">
        <v>1416</v>
      </c>
      <c r="D119" s="496" t="str">
        <f>'G-1 All Habitats'!B128</f>
        <v>Intertidal sediment - Artificial littoral biogenic reefs</v>
      </c>
    </row>
    <row r="120" spans="1:4">
      <c r="A120" s="496" t="s">
        <v>1417</v>
      </c>
      <c r="D120" s="496" t="str">
        <f>'G-1 All Habitats'!B81</f>
        <v>Individual trees - Rural tree</v>
      </c>
    </row>
    <row r="121" spans="1:4">
      <c r="A121" s="496" t="s">
        <v>1418</v>
      </c>
      <c r="D121" s="496">
        <f>'G-1 All Habitats'!B135</f>
        <v>0</v>
      </c>
    </row>
    <row r="122" spans="1:4">
      <c r="A122" s="496" t="s">
        <v>1419</v>
      </c>
      <c r="D122" s="496">
        <f>'G-1 All Habitats'!B136</f>
        <v>0</v>
      </c>
    </row>
    <row r="123" spans="1:4">
      <c r="A123" s="496" t="s">
        <v>1420</v>
      </c>
      <c r="D123" s="496">
        <f>'G-1 All Habitats'!B137</f>
        <v>0</v>
      </c>
    </row>
    <row r="124" spans="1:4">
      <c r="A124" s="496" t="s">
        <v>1421</v>
      </c>
      <c r="D124" s="496">
        <f>'G-1 All Habitats'!B138</f>
        <v>0</v>
      </c>
    </row>
    <row r="125" spans="1:4">
      <c r="A125" s="496" t="s">
        <v>1422</v>
      </c>
      <c r="D125" s="496">
        <f>'G-1 All Habitats'!B139</f>
        <v>0</v>
      </c>
    </row>
    <row r="126" spans="1:4">
      <c r="A126" s="496" t="s">
        <v>1423</v>
      </c>
      <c r="D126" s="496">
        <f>'G-1 All Habitats'!B140</f>
        <v>0</v>
      </c>
    </row>
    <row r="127" spans="1:4">
      <c r="A127" s="496" t="s">
        <v>1424</v>
      </c>
      <c r="D127" s="496">
        <f>'G-1 All Habitats'!B141</f>
        <v>0</v>
      </c>
    </row>
    <row r="128" spans="1:4">
      <c r="A128" s="496" t="s">
        <v>1425</v>
      </c>
      <c r="D128" s="496">
        <f>'G-1 All Habitats'!B142</f>
        <v>0</v>
      </c>
    </row>
    <row r="129" spans="1:4">
      <c r="A129" s="496" t="s">
        <v>1426</v>
      </c>
      <c r="D129" s="496">
        <f>'G-1 All Habitats'!B143</f>
        <v>0</v>
      </c>
    </row>
    <row r="130" spans="1:4">
      <c r="A130" s="496" t="s">
        <v>1427</v>
      </c>
      <c r="D130" s="496">
        <f>'G-1 All Habitats'!B144</f>
        <v>0</v>
      </c>
    </row>
    <row r="131" spans="1:4">
      <c r="A131" s="496" t="s">
        <v>1428</v>
      </c>
      <c r="D131" s="496">
        <f>'G-1 All Habitats'!B145</f>
        <v>0</v>
      </c>
    </row>
    <row r="132" spans="1:4">
      <c r="A132" s="496" t="s">
        <v>1429</v>
      </c>
      <c r="D132" s="496">
        <f>'G-1 All Habitats'!B146</f>
        <v>0</v>
      </c>
    </row>
    <row r="133" spans="1:4">
      <c r="A133" s="496" t="s">
        <v>1430</v>
      </c>
      <c r="D133" s="496">
        <f>'G-1 All Habitats'!B147</f>
        <v>0</v>
      </c>
    </row>
    <row r="134" spans="1:4">
      <c r="A134" s="496" t="s">
        <v>1431</v>
      </c>
      <c r="D134" s="496">
        <f>'G-1 All Habitats'!B148</f>
        <v>0</v>
      </c>
    </row>
    <row r="135" spans="1:4">
      <c r="A135" s="496" t="s">
        <v>1432</v>
      </c>
      <c r="D135" s="496">
        <f>'G-1 All Habitats'!B149</f>
        <v>0</v>
      </c>
    </row>
    <row r="136" spans="1:4">
      <c r="A136" s="496" t="s">
        <v>1433</v>
      </c>
      <c r="D136" s="496">
        <f>'G-1 All Habitats'!B150</f>
        <v>0</v>
      </c>
    </row>
    <row r="137" spans="1:4">
      <c r="A137" s="496" t="s">
        <v>1434</v>
      </c>
      <c r="D137" s="496">
        <f>'G-1 All Habitats'!B151</f>
        <v>0</v>
      </c>
    </row>
    <row r="138" spans="1:4">
      <c r="A138" s="496" t="s">
        <v>1435</v>
      </c>
      <c r="D138" s="496">
        <f>'G-1 All Habitats'!B152</f>
        <v>0</v>
      </c>
    </row>
    <row r="139" spans="1:4">
      <c r="A139" s="496" t="s">
        <v>1436</v>
      </c>
      <c r="D139" s="496">
        <f>'G-1 All Habitats'!B153</f>
        <v>0</v>
      </c>
    </row>
    <row r="140" spans="1:4">
      <c r="A140" s="496" t="s">
        <v>1437</v>
      </c>
      <c r="D140" s="496">
        <f>'G-1 All Habitats'!B154</f>
        <v>0</v>
      </c>
    </row>
    <row r="141" spans="1:4">
      <c r="A141" s="496" t="s">
        <v>1438</v>
      </c>
    </row>
    <row r="142" spans="1:4">
      <c r="A142" s="496" t="s">
        <v>1439</v>
      </c>
    </row>
    <row r="143" spans="1:4">
      <c r="A143" s="496" t="s">
        <v>1440</v>
      </c>
    </row>
    <row r="144" spans="1:4">
      <c r="A144" s="496" t="s">
        <v>1441</v>
      </c>
    </row>
    <row r="145" spans="1:1">
      <c r="A145" s="496" t="s">
        <v>1442</v>
      </c>
    </row>
    <row r="146" spans="1:1">
      <c r="A146" s="496" t="s">
        <v>1443</v>
      </c>
    </row>
    <row r="147" spans="1:1">
      <c r="A147" s="496" t="s">
        <v>1444</v>
      </c>
    </row>
    <row r="148" spans="1:1">
      <c r="A148" s="496" t="s">
        <v>1445</v>
      </c>
    </row>
    <row r="149" spans="1:1">
      <c r="A149" s="496" t="s">
        <v>1446</v>
      </c>
    </row>
    <row r="150" spans="1:1">
      <c r="A150" s="496" t="s">
        <v>1447</v>
      </c>
    </row>
    <row r="151" spans="1:1">
      <c r="A151" s="496" t="s">
        <v>1448</v>
      </c>
    </row>
    <row r="152" spans="1:1">
      <c r="A152" s="496" t="s">
        <v>1449</v>
      </c>
    </row>
    <row r="153" spans="1:1">
      <c r="A153" s="496" t="s">
        <v>1450</v>
      </c>
    </row>
    <row r="154" spans="1:1">
      <c r="A154" s="496" t="s">
        <v>1451</v>
      </c>
    </row>
    <row r="155" spans="1:1">
      <c r="A155" s="496" t="s">
        <v>1452</v>
      </c>
    </row>
    <row r="156" spans="1:1">
      <c r="A156" s="496" t="s">
        <v>1453</v>
      </c>
    </row>
    <row r="157" spans="1:1">
      <c r="A157" s="496" t="s">
        <v>1454</v>
      </c>
    </row>
    <row r="158" spans="1:1">
      <c r="A158" s="496" t="s">
        <v>1455</v>
      </c>
    </row>
    <row r="159" spans="1:1">
      <c r="A159" s="496" t="s">
        <v>1456</v>
      </c>
    </row>
    <row r="160" spans="1:1">
      <c r="A160" s="496" t="s">
        <v>1457</v>
      </c>
    </row>
    <row r="161" spans="1:1">
      <c r="A161" s="496" t="s">
        <v>1458</v>
      </c>
    </row>
    <row r="162" spans="1:1">
      <c r="A162" s="496" t="s">
        <v>1459</v>
      </c>
    </row>
    <row r="163" spans="1:1">
      <c r="A163" s="496" t="s">
        <v>1460</v>
      </c>
    </row>
    <row r="164" spans="1:1">
      <c r="A164" s="496" t="s">
        <v>1461</v>
      </c>
    </row>
    <row r="165" spans="1:1">
      <c r="A165" s="496" t="s">
        <v>1462</v>
      </c>
    </row>
    <row r="166" spans="1:1">
      <c r="A166" s="496" t="s">
        <v>1463</v>
      </c>
    </row>
    <row r="167" spans="1:1">
      <c r="A167" s="496" t="s">
        <v>1464</v>
      </c>
    </row>
    <row r="168" spans="1:1">
      <c r="A168" s="496" t="s">
        <v>1465</v>
      </c>
    </row>
    <row r="169" spans="1:1">
      <c r="A169" s="496" t="s">
        <v>1466</v>
      </c>
    </row>
    <row r="170" spans="1:1">
      <c r="A170" s="496" t="s">
        <v>1467</v>
      </c>
    </row>
    <row r="171" spans="1:1">
      <c r="A171" s="496" t="s">
        <v>1468</v>
      </c>
    </row>
    <row r="172" spans="1:1">
      <c r="A172" s="496" t="s">
        <v>1469</v>
      </c>
    </row>
    <row r="173" spans="1:1">
      <c r="A173" s="496" t="s">
        <v>1470</v>
      </c>
    </row>
    <row r="174" spans="1:1">
      <c r="A174" s="496" t="s">
        <v>1471</v>
      </c>
    </row>
    <row r="175" spans="1:1">
      <c r="A175" s="496" t="s">
        <v>1472</v>
      </c>
    </row>
    <row r="176" spans="1:1">
      <c r="A176" s="496" t="s">
        <v>1473</v>
      </c>
    </row>
    <row r="177" spans="1:1">
      <c r="A177" s="496" t="s">
        <v>1474</v>
      </c>
    </row>
    <row r="178" spans="1:1">
      <c r="A178" s="496" t="s">
        <v>1475</v>
      </c>
    </row>
    <row r="179" spans="1:1">
      <c r="A179" s="496" t="s">
        <v>1476</v>
      </c>
    </row>
    <row r="180" spans="1:1">
      <c r="A180" s="496" t="s">
        <v>1477</v>
      </c>
    </row>
    <row r="181" spans="1:1">
      <c r="A181" s="496" t="s">
        <v>1478</v>
      </c>
    </row>
    <row r="182" spans="1:1">
      <c r="A182" s="496" t="s">
        <v>1479</v>
      </c>
    </row>
    <row r="183" spans="1:1">
      <c r="A183" s="496" t="s">
        <v>1480</v>
      </c>
    </row>
    <row r="184" spans="1:1">
      <c r="A184" s="496" t="s">
        <v>1481</v>
      </c>
    </row>
    <row r="185" spans="1:1">
      <c r="A185" s="496" t="s">
        <v>1482</v>
      </c>
    </row>
    <row r="186" spans="1:1">
      <c r="A186" s="496" t="s">
        <v>1483</v>
      </c>
    </row>
    <row r="187" spans="1:1">
      <c r="A187" s="496" t="s">
        <v>1484</v>
      </c>
    </row>
    <row r="188" spans="1:1">
      <c r="A188" s="496" t="s">
        <v>1485</v>
      </c>
    </row>
    <row r="189" spans="1:1">
      <c r="A189" s="496" t="s">
        <v>1486</v>
      </c>
    </row>
    <row r="190" spans="1:1">
      <c r="A190" s="496" t="s">
        <v>1487</v>
      </c>
    </row>
    <row r="191" spans="1:1">
      <c r="A191" s="496" t="s">
        <v>1488</v>
      </c>
    </row>
    <row r="192" spans="1:1">
      <c r="A192" s="496" t="s">
        <v>1489</v>
      </c>
    </row>
    <row r="193" spans="1:1">
      <c r="A193" s="496" t="s">
        <v>1490</v>
      </c>
    </row>
    <row r="194" spans="1:1">
      <c r="A194" s="496" t="s">
        <v>1491</v>
      </c>
    </row>
    <row r="195" spans="1:1">
      <c r="A195" s="496" t="s">
        <v>1492</v>
      </c>
    </row>
    <row r="196" spans="1:1">
      <c r="A196" s="496" t="s">
        <v>1493</v>
      </c>
    </row>
    <row r="197" spans="1:1">
      <c r="A197" s="496" t="s">
        <v>1494</v>
      </c>
    </row>
    <row r="198" spans="1:1">
      <c r="A198" s="496" t="s">
        <v>1495</v>
      </c>
    </row>
    <row r="199" spans="1:1">
      <c r="A199" s="496" t="s">
        <v>1496</v>
      </c>
    </row>
    <row r="200" spans="1:1">
      <c r="A200" s="496" t="s">
        <v>1497</v>
      </c>
    </row>
    <row r="201" spans="1:1">
      <c r="A201" s="496" t="s">
        <v>1498</v>
      </c>
    </row>
    <row r="202" spans="1:1">
      <c r="A202" s="496" t="s">
        <v>1499</v>
      </c>
    </row>
    <row r="203" spans="1:1">
      <c r="A203" s="496" t="s">
        <v>1500</v>
      </c>
    </row>
    <row r="204" spans="1:1">
      <c r="A204" s="496" t="s">
        <v>1501</v>
      </c>
    </row>
    <row r="205" spans="1:1">
      <c r="A205" s="496" t="s">
        <v>1502</v>
      </c>
    </row>
    <row r="206" spans="1:1">
      <c r="A206" s="496" t="s">
        <v>1503</v>
      </c>
    </row>
    <row r="207" spans="1:1">
      <c r="A207" s="496" t="s">
        <v>1504</v>
      </c>
    </row>
    <row r="208" spans="1:1">
      <c r="A208" s="496" t="s">
        <v>1505</v>
      </c>
    </row>
    <row r="209" spans="1:1">
      <c r="A209" s="496" t="s">
        <v>1506</v>
      </c>
    </row>
    <row r="210" spans="1:1">
      <c r="A210" s="496" t="s">
        <v>1507</v>
      </c>
    </row>
    <row r="211" spans="1:1">
      <c r="A211" s="496" t="s">
        <v>1508</v>
      </c>
    </row>
    <row r="212" spans="1:1">
      <c r="A212" s="496" t="s">
        <v>1509</v>
      </c>
    </row>
    <row r="213" spans="1:1">
      <c r="A213" s="496" t="s">
        <v>1510</v>
      </c>
    </row>
    <row r="214" spans="1:1">
      <c r="A214" s="496" t="s">
        <v>1511</v>
      </c>
    </row>
    <row r="215" spans="1:1">
      <c r="A215" s="496" t="s">
        <v>1512</v>
      </c>
    </row>
    <row r="216" spans="1:1">
      <c r="A216" s="496" t="s">
        <v>1513</v>
      </c>
    </row>
    <row r="217" spans="1:1">
      <c r="A217" s="496" t="s">
        <v>1514</v>
      </c>
    </row>
    <row r="218" spans="1:1">
      <c r="A218" s="496" t="s">
        <v>1515</v>
      </c>
    </row>
    <row r="219" spans="1:1">
      <c r="A219" s="496" t="s">
        <v>1516</v>
      </c>
    </row>
    <row r="220" spans="1:1">
      <c r="A220" s="496" t="s">
        <v>1517</v>
      </c>
    </row>
    <row r="221" spans="1:1">
      <c r="A221" s="496" t="s">
        <v>1518</v>
      </c>
    </row>
    <row r="222" spans="1:1">
      <c r="A222" s="496" t="s">
        <v>1519</v>
      </c>
    </row>
    <row r="223" spans="1:1">
      <c r="A223" s="496" t="s">
        <v>1520</v>
      </c>
    </row>
    <row r="224" spans="1:1">
      <c r="A224" s="496" t="s">
        <v>1521</v>
      </c>
    </row>
    <row r="225" spans="1:1">
      <c r="A225" s="496" t="s">
        <v>1522</v>
      </c>
    </row>
    <row r="226" spans="1:1">
      <c r="A226" s="496" t="s">
        <v>1523</v>
      </c>
    </row>
    <row r="227" spans="1:1">
      <c r="A227" s="496" t="s">
        <v>1524</v>
      </c>
    </row>
    <row r="228" spans="1:1">
      <c r="A228" s="496" t="s">
        <v>1525</v>
      </c>
    </row>
    <row r="229" spans="1:1">
      <c r="A229" s="496" t="s">
        <v>1526</v>
      </c>
    </row>
    <row r="230" spans="1:1">
      <c r="A230" s="496" t="s">
        <v>1527</v>
      </c>
    </row>
    <row r="231" spans="1:1">
      <c r="A231" s="496" t="s">
        <v>1528</v>
      </c>
    </row>
    <row r="232" spans="1:1">
      <c r="A232" s="496" t="s">
        <v>1529</v>
      </c>
    </row>
    <row r="233" spans="1:1">
      <c r="A233" s="496" t="s">
        <v>1530</v>
      </c>
    </row>
    <row r="234" spans="1:1">
      <c r="A234" s="496" t="s">
        <v>1531</v>
      </c>
    </row>
    <row r="235" spans="1:1">
      <c r="A235" s="496" t="s">
        <v>1532</v>
      </c>
    </row>
    <row r="236" spans="1:1">
      <c r="A236" s="496" t="s">
        <v>1533</v>
      </c>
    </row>
    <row r="237" spans="1:1">
      <c r="A237" s="496" t="s">
        <v>1534</v>
      </c>
    </row>
    <row r="238" spans="1:1">
      <c r="A238" s="496" t="s">
        <v>1535</v>
      </c>
    </row>
    <row r="239" spans="1:1">
      <c r="A239" s="496" t="s">
        <v>1536</v>
      </c>
    </row>
    <row r="240" spans="1:1">
      <c r="A240" s="496" t="s">
        <v>1537</v>
      </c>
    </row>
    <row r="241" spans="1:1">
      <c r="A241" s="496" t="s">
        <v>1538</v>
      </c>
    </row>
    <row r="242" spans="1:1">
      <c r="A242" s="496" t="s">
        <v>1539</v>
      </c>
    </row>
    <row r="243" spans="1:1">
      <c r="A243" s="496" t="s">
        <v>1540</v>
      </c>
    </row>
    <row r="244" spans="1:1">
      <c r="A244" s="496" t="s">
        <v>1541</v>
      </c>
    </row>
    <row r="245" spans="1:1">
      <c r="A245" s="496" t="s">
        <v>1542</v>
      </c>
    </row>
    <row r="246" spans="1:1">
      <c r="A246" s="496" t="s">
        <v>1543</v>
      </c>
    </row>
    <row r="247" spans="1:1">
      <c r="A247" s="496" t="s">
        <v>1544</v>
      </c>
    </row>
    <row r="248" spans="1:1">
      <c r="A248" s="496" t="s">
        <v>1545</v>
      </c>
    </row>
    <row r="249" spans="1:1">
      <c r="A249" s="496" t="s">
        <v>1546</v>
      </c>
    </row>
    <row r="250" spans="1:1">
      <c r="A250" s="496" t="s">
        <v>1547</v>
      </c>
    </row>
    <row r="251" spans="1:1">
      <c r="A251" s="496" t="s">
        <v>1548</v>
      </c>
    </row>
    <row r="252" spans="1:1">
      <c r="A252" s="496" t="s">
        <v>1549</v>
      </c>
    </row>
    <row r="253" spans="1:1">
      <c r="A253" s="496" t="s">
        <v>1550</v>
      </c>
    </row>
    <row r="254" spans="1:1">
      <c r="A254" s="496" t="s">
        <v>1551</v>
      </c>
    </row>
    <row r="255" spans="1:1">
      <c r="A255" s="496" t="s">
        <v>1552</v>
      </c>
    </row>
    <row r="256" spans="1:1">
      <c r="A256" s="496" t="s">
        <v>1553</v>
      </c>
    </row>
    <row r="257" spans="1:1">
      <c r="A257" s="496" t="s">
        <v>1554</v>
      </c>
    </row>
    <row r="258" spans="1:1">
      <c r="A258" s="496" t="s">
        <v>1555</v>
      </c>
    </row>
    <row r="259" spans="1:1">
      <c r="A259" s="496" t="s">
        <v>1556</v>
      </c>
    </row>
    <row r="260" spans="1:1">
      <c r="A260" s="496" t="s">
        <v>1557</v>
      </c>
    </row>
    <row r="261" spans="1:1">
      <c r="A261" s="496" t="s">
        <v>1558</v>
      </c>
    </row>
    <row r="262" spans="1:1">
      <c r="A262" s="496" t="s">
        <v>1559</v>
      </c>
    </row>
    <row r="263" spans="1:1">
      <c r="A263" s="496" t="s">
        <v>1560</v>
      </c>
    </row>
    <row r="264" spans="1:1">
      <c r="A264" s="496" t="s">
        <v>1561</v>
      </c>
    </row>
    <row r="265" spans="1:1">
      <c r="A265" s="496" t="s">
        <v>1562</v>
      </c>
    </row>
    <row r="266" spans="1:1">
      <c r="A266" s="496" t="s">
        <v>1563</v>
      </c>
    </row>
    <row r="267" spans="1:1">
      <c r="A267" s="496" t="s">
        <v>1564</v>
      </c>
    </row>
    <row r="268" spans="1:1">
      <c r="A268" s="496" t="s">
        <v>1565</v>
      </c>
    </row>
    <row r="269" spans="1:1">
      <c r="A269" s="496" t="s">
        <v>1566</v>
      </c>
    </row>
    <row r="270" spans="1:1">
      <c r="A270" s="496" t="s">
        <v>1567</v>
      </c>
    </row>
    <row r="271" spans="1:1">
      <c r="A271" s="496" t="s">
        <v>1568</v>
      </c>
    </row>
    <row r="272" spans="1:1">
      <c r="A272" s="496" t="s">
        <v>1569</v>
      </c>
    </row>
    <row r="273" spans="1:1">
      <c r="A273" s="496" t="s">
        <v>1570</v>
      </c>
    </row>
    <row r="274" spans="1:1">
      <c r="A274" s="496" t="s">
        <v>1571</v>
      </c>
    </row>
    <row r="275" spans="1:1">
      <c r="A275" s="496" t="s">
        <v>1572</v>
      </c>
    </row>
    <row r="276" spans="1:1">
      <c r="A276" s="496" t="s">
        <v>1573</v>
      </c>
    </row>
    <row r="277" spans="1:1">
      <c r="A277" s="496" t="s">
        <v>1574</v>
      </c>
    </row>
    <row r="278" spans="1:1">
      <c r="A278" s="496" t="s">
        <v>1575</v>
      </c>
    </row>
    <row r="279" spans="1:1">
      <c r="A279" s="496" t="s">
        <v>1576</v>
      </c>
    </row>
    <row r="280" spans="1:1">
      <c r="A280" s="496" t="s">
        <v>1577</v>
      </c>
    </row>
    <row r="281" spans="1:1">
      <c r="A281" s="496" t="s">
        <v>1578</v>
      </c>
    </row>
    <row r="282" spans="1:1">
      <c r="A282" s="496" t="s">
        <v>1579</v>
      </c>
    </row>
    <row r="283" spans="1:1">
      <c r="A283" s="496" t="s">
        <v>1580</v>
      </c>
    </row>
    <row r="284" spans="1:1">
      <c r="A284" s="496" t="s">
        <v>1581</v>
      </c>
    </row>
    <row r="285" spans="1:1">
      <c r="A285" s="496" t="s">
        <v>1582</v>
      </c>
    </row>
    <row r="286" spans="1:1">
      <c r="A286" s="496" t="s">
        <v>1583</v>
      </c>
    </row>
    <row r="287" spans="1:1">
      <c r="A287" s="496" t="s">
        <v>1584</v>
      </c>
    </row>
    <row r="288" spans="1:1">
      <c r="A288" s="496" t="s">
        <v>1585</v>
      </c>
    </row>
    <row r="289" spans="1:1">
      <c r="A289" s="496" t="s">
        <v>1586</v>
      </c>
    </row>
    <row r="290" spans="1:1">
      <c r="A290" s="496" t="s">
        <v>1587</v>
      </c>
    </row>
    <row r="291" spans="1:1">
      <c r="A291" s="496" t="s">
        <v>1588</v>
      </c>
    </row>
    <row r="292" spans="1:1">
      <c r="A292" s="496" t="s">
        <v>1589</v>
      </c>
    </row>
    <row r="293" spans="1:1">
      <c r="A293" s="496" t="s">
        <v>1590</v>
      </c>
    </row>
    <row r="294" spans="1:1">
      <c r="A294" s="496" t="s">
        <v>1591</v>
      </c>
    </row>
    <row r="295" spans="1:1">
      <c r="A295" s="496" t="s">
        <v>1592</v>
      </c>
    </row>
    <row r="296" spans="1:1">
      <c r="A296" s="496" t="s">
        <v>1593</v>
      </c>
    </row>
    <row r="297" spans="1:1">
      <c r="A297" s="496" t="s">
        <v>1594</v>
      </c>
    </row>
    <row r="298" spans="1:1">
      <c r="A298" s="496" t="s">
        <v>1595</v>
      </c>
    </row>
    <row r="299" spans="1:1">
      <c r="A299" s="496" t="s">
        <v>1596</v>
      </c>
    </row>
    <row r="300" spans="1:1">
      <c r="A300" s="496" t="s">
        <v>1597</v>
      </c>
    </row>
    <row r="301" spans="1:1">
      <c r="A301" s="496" t="s">
        <v>1598</v>
      </c>
    </row>
    <row r="302" spans="1:1">
      <c r="A302" s="496" t="s">
        <v>1599</v>
      </c>
    </row>
    <row r="303" spans="1:1">
      <c r="A303" s="496" t="s">
        <v>1600</v>
      </c>
    </row>
    <row r="304" spans="1:1">
      <c r="A304" s="496" t="s">
        <v>1601</v>
      </c>
    </row>
    <row r="305" spans="1:1">
      <c r="A305" s="496" t="s">
        <v>1602</v>
      </c>
    </row>
    <row r="306" spans="1:1">
      <c r="A306" s="496" t="s">
        <v>1603</v>
      </c>
    </row>
    <row r="307" spans="1:1">
      <c r="A307" s="496" t="s">
        <v>1604</v>
      </c>
    </row>
    <row r="308" spans="1:1">
      <c r="A308" s="496" t="s">
        <v>1605</v>
      </c>
    </row>
    <row r="309" spans="1:1">
      <c r="A309" s="496" t="s">
        <v>1606</v>
      </c>
    </row>
    <row r="310" spans="1:1">
      <c r="A310" s="496" t="s">
        <v>1607</v>
      </c>
    </row>
    <row r="311" spans="1:1">
      <c r="A311" s="496" t="s">
        <v>1608</v>
      </c>
    </row>
    <row r="312" spans="1:1">
      <c r="A312" s="496" t="s">
        <v>1609</v>
      </c>
    </row>
    <row r="313" spans="1:1">
      <c r="A313" s="496" t="s">
        <v>1610</v>
      </c>
    </row>
    <row r="314" spans="1:1">
      <c r="A314" s="496" t="s">
        <v>1611</v>
      </c>
    </row>
    <row r="315" spans="1:1">
      <c r="A315" s="496" t="s">
        <v>1612</v>
      </c>
    </row>
    <row r="316" spans="1:1">
      <c r="A316" s="496" t="s">
        <v>1613</v>
      </c>
    </row>
    <row r="317" spans="1:1">
      <c r="A317" s="496" t="s">
        <v>1614</v>
      </c>
    </row>
    <row r="318" spans="1:1">
      <c r="A318" s="496" t="s">
        <v>1615</v>
      </c>
    </row>
    <row r="319" spans="1:1">
      <c r="A319" s="496" t="s">
        <v>1616</v>
      </c>
    </row>
    <row r="320" spans="1:1">
      <c r="A320" s="496" t="s">
        <v>1617</v>
      </c>
    </row>
    <row r="321" spans="1:1">
      <c r="A321" s="496" t="s">
        <v>1618</v>
      </c>
    </row>
    <row r="322" spans="1:1">
      <c r="A322" s="496" t="s">
        <v>1619</v>
      </c>
    </row>
    <row r="323" spans="1:1">
      <c r="A323" s="496" t="s">
        <v>1620</v>
      </c>
    </row>
    <row r="324" spans="1:1">
      <c r="A324" s="496" t="s">
        <v>1621</v>
      </c>
    </row>
    <row r="325" spans="1:1">
      <c r="A325" s="496" t="s">
        <v>1622</v>
      </c>
    </row>
    <row r="326" spans="1:1">
      <c r="A326" s="496" t="s">
        <v>1623</v>
      </c>
    </row>
    <row r="327" spans="1:1">
      <c r="A327" s="496" t="s">
        <v>1624</v>
      </c>
    </row>
    <row r="328" spans="1:1">
      <c r="A328" s="496" t="s">
        <v>1625</v>
      </c>
    </row>
    <row r="329" spans="1:1">
      <c r="A329" s="496" t="s">
        <v>1626</v>
      </c>
    </row>
    <row r="330" spans="1:1">
      <c r="A330" s="496" t="s">
        <v>1627</v>
      </c>
    </row>
    <row r="331" spans="1:1">
      <c r="A331" s="496" t="s">
        <v>1628</v>
      </c>
    </row>
    <row r="332" spans="1:1">
      <c r="A332" s="496" t="s">
        <v>1629</v>
      </c>
    </row>
    <row r="333" spans="1:1">
      <c r="A333" s="496" t="s">
        <v>1630</v>
      </c>
    </row>
    <row r="334" spans="1:1">
      <c r="A334" s="496" t="s">
        <v>1631</v>
      </c>
    </row>
    <row r="335" spans="1:1">
      <c r="A335" s="496" t="s">
        <v>1632</v>
      </c>
    </row>
    <row r="336" spans="1:1">
      <c r="A336" s="496" t="s">
        <v>1633</v>
      </c>
    </row>
    <row r="337" spans="1:1">
      <c r="A337" s="496" t="s">
        <v>1634</v>
      </c>
    </row>
    <row r="338" spans="1:1">
      <c r="A338" s="496" t="s">
        <v>1635</v>
      </c>
    </row>
    <row r="339" spans="1:1">
      <c r="A339" s="496" t="s">
        <v>1636</v>
      </c>
    </row>
    <row r="340" spans="1:1">
      <c r="A340" s="496" t="s">
        <v>1637</v>
      </c>
    </row>
    <row r="341" spans="1:1">
      <c r="A341" s="496" t="s">
        <v>1638</v>
      </c>
    </row>
    <row r="342" spans="1:1">
      <c r="A342" s="496" t="s">
        <v>1639</v>
      </c>
    </row>
    <row r="343" spans="1:1">
      <c r="A343" s="496" t="s">
        <v>1640</v>
      </c>
    </row>
    <row r="344" spans="1:1">
      <c r="A344" s="496" t="s">
        <v>1641</v>
      </c>
    </row>
    <row r="345" spans="1:1">
      <c r="A345" s="496" t="s">
        <v>1642</v>
      </c>
    </row>
    <row r="346" spans="1:1">
      <c r="A346" s="496" t="s">
        <v>1643</v>
      </c>
    </row>
    <row r="347" spans="1:1">
      <c r="A347" s="496" t="s">
        <v>1644</v>
      </c>
    </row>
    <row r="348" spans="1:1">
      <c r="A348" s="496" t="s">
        <v>1645</v>
      </c>
    </row>
    <row r="349" spans="1:1">
      <c r="A349" s="496" t="s">
        <v>1646</v>
      </c>
    </row>
    <row r="350" spans="1:1">
      <c r="A350" s="496" t="s">
        <v>1647</v>
      </c>
    </row>
    <row r="351" spans="1:1">
      <c r="A351" s="496" t="s">
        <v>1648</v>
      </c>
    </row>
    <row r="352" spans="1:1">
      <c r="A352" s="496" t="s">
        <v>1649</v>
      </c>
    </row>
    <row r="353" spans="1:1">
      <c r="A353" s="496" t="s">
        <v>1650</v>
      </c>
    </row>
    <row r="354" spans="1:1">
      <c r="A354" s="496" t="s">
        <v>1651</v>
      </c>
    </row>
    <row r="355" spans="1:1">
      <c r="A355" s="496" t="s">
        <v>1652</v>
      </c>
    </row>
    <row r="356" spans="1:1">
      <c r="A356" s="496" t="s">
        <v>1653</v>
      </c>
    </row>
    <row r="357" spans="1:1">
      <c r="A357" s="496" t="s">
        <v>1654</v>
      </c>
    </row>
    <row r="358" spans="1:1">
      <c r="A358" s="496" t="s">
        <v>1655</v>
      </c>
    </row>
    <row r="359" spans="1:1">
      <c r="A359" s="496" t="s">
        <v>1656</v>
      </c>
    </row>
    <row r="360" spans="1:1">
      <c r="A360" s="496" t="s">
        <v>1657</v>
      </c>
    </row>
    <row r="361" spans="1:1">
      <c r="A361" s="496" t="s">
        <v>1658</v>
      </c>
    </row>
    <row r="362" spans="1:1">
      <c r="A362" s="496" t="s">
        <v>1659</v>
      </c>
    </row>
    <row r="363" spans="1:1">
      <c r="A363" s="496" t="s">
        <v>1660</v>
      </c>
    </row>
    <row r="364" spans="1:1">
      <c r="A364" s="496" t="s">
        <v>1661</v>
      </c>
    </row>
    <row r="365" spans="1:1">
      <c r="A365" s="496" t="s">
        <v>1662</v>
      </c>
    </row>
    <row r="366" spans="1:1">
      <c r="A366" s="496" t="s">
        <v>1663</v>
      </c>
    </row>
    <row r="367" spans="1:1">
      <c r="A367" s="496" t="s">
        <v>1664</v>
      </c>
    </row>
    <row r="368" spans="1:1">
      <c r="A368" s="496" t="s">
        <v>1665</v>
      </c>
    </row>
    <row r="369" spans="1:1">
      <c r="A369" s="496" t="s">
        <v>1666</v>
      </c>
    </row>
    <row r="370" spans="1:1">
      <c r="A370" s="496" t="s">
        <v>1667</v>
      </c>
    </row>
    <row r="371" spans="1:1">
      <c r="A371" s="496" t="s">
        <v>1668</v>
      </c>
    </row>
    <row r="372" spans="1:1">
      <c r="A372" s="496" t="s">
        <v>1669</v>
      </c>
    </row>
    <row r="373" spans="1:1">
      <c r="A373" s="496" t="s">
        <v>1670</v>
      </c>
    </row>
    <row r="374" spans="1:1">
      <c r="A374" s="496" t="s">
        <v>1671</v>
      </c>
    </row>
    <row r="375" spans="1:1">
      <c r="A375" s="496" t="s">
        <v>1672</v>
      </c>
    </row>
    <row r="376" spans="1:1">
      <c r="A376" s="496" t="s">
        <v>1673</v>
      </c>
    </row>
    <row r="377" spans="1:1">
      <c r="A377" s="496" t="s">
        <v>1674</v>
      </c>
    </row>
    <row r="378" spans="1:1">
      <c r="A378" s="496" t="s">
        <v>1675</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249977111117893"/>
    <pageSetUpPr autoPageBreaks="0"/>
  </sheetPr>
  <dimension ref="A1:AE53"/>
  <sheetViews>
    <sheetView showGridLines="0" showRowColHeaders="0" zoomScale="80" zoomScaleNormal="80" workbookViewId="0">
      <selection activeCell="V13" sqref="V13"/>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c r="B1" s="2"/>
      <c r="C1" s="2"/>
      <c r="E1" s="6"/>
      <c r="F1" s="1097"/>
      <c r="G1" s="1097"/>
      <c r="H1" s="1097"/>
      <c r="I1" s="1097"/>
      <c r="J1" s="1097"/>
      <c r="K1" s="1098"/>
      <c r="L1" s="1098"/>
      <c r="M1" s="1098"/>
      <c r="N1" s="1098"/>
      <c r="O1" s="1098"/>
    </row>
    <row r="2" spans="1:23" ht="15.75" customHeight="1">
      <c r="B2" s="2"/>
      <c r="C2" s="2"/>
      <c r="D2" s="1092"/>
      <c r="E2" s="1092"/>
    </row>
    <row r="3" spans="1:23" ht="15.75" customHeight="1">
      <c r="A3" s="6"/>
      <c r="B3" s="6"/>
      <c r="C3" s="6"/>
      <c r="D3" s="6"/>
      <c r="E3" s="6"/>
      <c r="F3" s="7"/>
      <c r="G3" s="7"/>
      <c r="H3" s="7"/>
      <c r="I3" s="7"/>
      <c r="J3" s="7"/>
      <c r="K3" s="7"/>
      <c r="L3" s="7"/>
      <c r="M3" s="7"/>
      <c r="N3" s="7"/>
      <c r="O3" s="7"/>
      <c r="P3" s="7"/>
      <c r="Q3" s="1095" t="s">
        <v>62</v>
      </c>
      <c r="R3" s="1096"/>
      <c r="S3" s="1096"/>
    </row>
    <row r="4" spans="1:23" ht="35.25" customHeight="1">
      <c r="A4" s="6"/>
      <c r="B4" s="6"/>
      <c r="C4" s="6"/>
      <c r="D4" s="6"/>
      <c r="E4" s="6"/>
      <c r="F4" s="7"/>
      <c r="G4" s="7"/>
      <c r="H4" s="7"/>
      <c r="I4" s="7"/>
      <c r="J4" s="7"/>
      <c r="K4" s="7"/>
      <c r="L4" s="7"/>
      <c r="M4" s="7"/>
      <c r="N4" s="7"/>
      <c r="O4" s="7"/>
      <c r="P4" s="7"/>
      <c r="Q4" s="1090" t="s">
        <v>63</v>
      </c>
      <c r="R4" s="1093" t="s">
        <v>64</v>
      </c>
      <c r="S4" s="1093"/>
      <c r="T4" s="1093"/>
      <c r="U4" s="1093"/>
      <c r="V4" s="1093"/>
      <c r="W4" s="1094"/>
    </row>
    <row r="5" spans="1:23" ht="16.5" customHeight="1">
      <c r="A5" s="6"/>
      <c r="B5" s="6"/>
      <c r="C5" s="6"/>
      <c r="D5" s="6"/>
      <c r="E5" s="6"/>
      <c r="F5" s="4"/>
      <c r="G5" s="4"/>
      <c r="H5" s="4"/>
      <c r="I5" s="4"/>
      <c r="J5" s="4"/>
      <c r="K5" s="4"/>
      <c r="L5" s="4"/>
      <c r="M5" s="4"/>
      <c r="N5" s="4"/>
      <c r="O5" s="4"/>
      <c r="P5" s="4"/>
      <c r="Q5" s="1091"/>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v>91</v>
      </c>
      <c r="U7" s="420">
        <f>T7*'G-3 Multipliers'!$Z$5</f>
        <v>3.3345618407438891</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v>152</v>
      </c>
      <c r="U8" s="420">
        <f>T8*'G-3 Multipliers'!$Z$6</f>
        <v>11.620977420299694</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243</v>
      </c>
      <c r="U9" s="419">
        <f t="shared" si="0"/>
        <v>14.955539261043583</v>
      </c>
      <c r="V9" s="491">
        <f t="shared" si="0"/>
        <v>0</v>
      </c>
      <c r="W9" s="419">
        <f t="shared" si="0"/>
        <v>0</v>
      </c>
    </row>
    <row r="10" spans="1:23" ht="30" customHeight="1">
      <c r="B10" s="2"/>
      <c r="C10" s="2"/>
      <c r="D10" s="5"/>
      <c r="E10" s="5"/>
      <c r="F10" s="1089"/>
      <c r="G10" s="1089"/>
      <c r="H10" s="1089"/>
      <c r="I10" s="1089"/>
      <c r="J10" s="1089"/>
      <c r="K10" s="1089"/>
      <c r="L10" s="1089"/>
      <c r="M10" s="1089"/>
      <c r="N10" s="1089"/>
      <c r="O10" s="1089"/>
      <c r="P10" s="1089"/>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4D4D4"/>
  </sheetPr>
  <dimension ref="A1:AE53"/>
  <sheetViews>
    <sheetView showGridLines="0" showRowColHeaders="0" zoomScale="80" zoomScaleNormal="80" workbookViewId="0"/>
  </sheetViews>
  <sheetFormatPr defaultColWidth="0" defaultRowHeight="0" customHeight="1" zeroHeight="1"/>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c r="B1" s="204"/>
      <c r="C1" s="204"/>
      <c r="E1" s="205"/>
      <c r="F1" s="1099"/>
      <c r="G1" s="1099"/>
      <c r="H1" s="1099"/>
      <c r="I1" s="1099"/>
      <c r="J1" s="1099"/>
      <c r="K1" s="1100"/>
      <c r="L1" s="1100"/>
      <c r="M1" s="1100"/>
      <c r="N1" s="1100"/>
      <c r="O1" s="1100"/>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1"/>
      <c r="E10" s="1101"/>
      <c r="F10" s="1101"/>
      <c r="G10" s="1101"/>
      <c r="H10" s="1101"/>
      <c r="I10" s="1101"/>
      <c r="J10" s="1101"/>
      <c r="K10" s="1101"/>
      <c r="L10" s="1101"/>
      <c r="M10" s="1101"/>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4D4D4"/>
  </sheetPr>
  <dimension ref="A1:XFC129"/>
  <sheetViews>
    <sheetView showGridLines="0" showRowColHeaders="0" zoomScale="80" zoomScaleNormal="80" workbookViewId="0">
      <selection activeCell="K38" sqref="K38"/>
    </sheetView>
  </sheetViews>
  <sheetFormatPr defaultColWidth="0" defaultRowHeight="15" zeroHeight="1"/>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33" t="str">
        <f>IF(Start!$F$12="","",Start!$F$12)</f>
        <v>Barnsley West Commerical</v>
      </c>
      <c r="C2" s="1134"/>
      <c r="D2" s="1135"/>
      <c r="F2" s="1150"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50"/>
      <c r="H2" s="1150"/>
      <c r="I2" s="1150"/>
    </row>
    <row r="3" spans="2:22" ht="15.75" customHeight="1">
      <c r="B3" s="1127" t="str">
        <f ca="1">MID(CELL("filename",A1),FIND("]",CELL("filename",A1))+1,256)</f>
        <v>Headline Results</v>
      </c>
      <c r="C3" s="1128"/>
      <c r="D3" s="1129"/>
      <c r="F3" s="1150"/>
      <c r="G3" s="1150"/>
      <c r="H3" s="1150"/>
      <c r="I3" s="1150"/>
    </row>
    <row r="4" spans="2:22" ht="15.75" customHeight="1" thickBot="1">
      <c r="B4" s="1130"/>
      <c r="C4" s="1131"/>
      <c r="D4" s="1132"/>
      <c r="F4" s="1150"/>
      <c r="G4" s="1150"/>
      <c r="H4" s="1150"/>
      <c r="I4" s="1150"/>
    </row>
    <row r="5" spans="2:22" ht="9.9499999999999993" customHeight="1">
      <c r="B5" s="1189" t="s">
        <v>73</v>
      </c>
      <c r="C5" s="1190"/>
      <c r="D5" s="1191"/>
      <c r="F5" s="1150"/>
      <c r="G5" s="1150"/>
      <c r="H5" s="1150"/>
      <c r="I5" s="1150"/>
    </row>
    <row r="6" spans="2:22" ht="9.9499999999999993" customHeight="1">
      <c r="B6" s="1192"/>
      <c r="C6" s="1193"/>
      <c r="D6" s="1194"/>
      <c r="K6" s="23"/>
      <c r="L6" s="23"/>
      <c r="M6" s="23"/>
      <c r="N6" s="23"/>
    </row>
    <row r="7" spans="2:22" ht="9.9499999999999993" customHeight="1" thickBot="1">
      <c r="B7" s="1195"/>
      <c r="C7" s="1196"/>
      <c r="D7" s="1197"/>
      <c r="K7" s="23"/>
      <c r="L7" s="23"/>
      <c r="M7" s="23"/>
      <c r="N7" s="23"/>
      <c r="O7" s="24"/>
      <c r="Q7" s="24"/>
      <c r="R7" s="24"/>
    </row>
    <row r="8" spans="2:22" ht="21.95" customHeight="1">
      <c r="B8" s="1115" t="s">
        <v>74</v>
      </c>
      <c r="C8" s="1116"/>
      <c r="D8" s="1116"/>
      <c r="E8" s="1116"/>
      <c r="F8" s="1124" t="s">
        <v>75</v>
      </c>
      <c r="G8" s="1125"/>
      <c r="H8" s="1138">
        <f>IFERROR('A-1 On-Site Habitat Baseline'!Q259,"Check Data ⚠")</f>
        <v>108.41945758035799</v>
      </c>
      <c r="I8" s="1139"/>
      <c r="J8" s="25"/>
      <c r="K8" s="23"/>
      <c r="L8" s="23"/>
      <c r="M8" s="23"/>
      <c r="N8" s="23"/>
      <c r="O8" s="24"/>
      <c r="P8" s="24"/>
      <c r="Q8" s="24"/>
      <c r="R8" s="24"/>
      <c r="S8" s="24"/>
    </row>
    <row r="9" spans="2:22" ht="21.95" customHeight="1">
      <c r="B9" s="1118"/>
      <c r="C9" s="1119"/>
      <c r="D9" s="1119"/>
      <c r="E9" s="1119"/>
      <c r="F9" s="1104" t="s">
        <v>76</v>
      </c>
      <c r="G9" s="1105"/>
      <c r="H9" s="1140">
        <f>IFERROR('B-1 On-Site Hedge Baseline'!N258,"Check Data ⚠")</f>
        <v>21.110029579900001</v>
      </c>
      <c r="I9" s="1141"/>
      <c r="K9" s="23"/>
      <c r="L9" s="23"/>
      <c r="M9" s="23"/>
      <c r="N9" s="23"/>
    </row>
    <row r="10" spans="2:22" ht="21.95" customHeight="1" thickBot="1">
      <c r="B10" s="1121"/>
      <c r="C10" s="1122"/>
      <c r="D10" s="1122"/>
      <c r="E10" s="1122"/>
      <c r="F10" s="1108" t="s">
        <v>77</v>
      </c>
      <c r="G10" s="1109"/>
      <c r="H10" s="1110">
        <f>'C-1 On-Site WaterC'' Baseline'!R258</f>
        <v>4.9818498038999994</v>
      </c>
      <c r="I10" s="1111"/>
      <c r="K10" s="23"/>
      <c r="L10" s="23"/>
      <c r="M10" s="23"/>
      <c r="N10" s="23"/>
    </row>
    <row r="11" spans="2:22" ht="4.5" customHeight="1" thickBot="1">
      <c r="H11" s="255"/>
      <c r="I11" s="255"/>
      <c r="K11" s="23"/>
      <c r="L11" s="23"/>
      <c r="M11" s="23"/>
      <c r="N11" s="23"/>
    </row>
    <row r="12" spans="2:22" ht="21.95" customHeight="1">
      <c r="B12" s="1115" t="s">
        <v>78</v>
      </c>
      <c r="C12" s="1116"/>
      <c r="D12" s="1116"/>
      <c r="E12" s="1117"/>
      <c r="F12" s="1124" t="s">
        <v>75</v>
      </c>
      <c r="G12" s="1125"/>
      <c r="H12" s="1102">
        <f>IFERROR('A-2 On-Site Habitat Creation'!Y257+'A-3 On-Site Habitat Enhancement'!AN258+'A-1 On-Site Habitat Baseline'!U259,"Check Data ⚠")</f>
        <v>132.63094766263066</v>
      </c>
      <c r="I12" s="1103"/>
      <c r="K12" s="23"/>
      <c r="L12" s="23"/>
      <c r="M12" s="23"/>
      <c r="N12" s="23"/>
      <c r="U12" s="1161"/>
      <c r="V12" s="1161"/>
    </row>
    <row r="13" spans="2:22" ht="21.95" customHeight="1">
      <c r="B13" s="1118"/>
      <c r="C13" s="1119"/>
      <c r="D13" s="1119"/>
      <c r="E13" s="1120"/>
      <c r="F13" s="1104" t="s">
        <v>76</v>
      </c>
      <c r="G13" s="1105"/>
      <c r="H13" s="1162">
        <f ca="1">IFERROR('B-2 On-Site Hedge Creation'!W260+'B-3 On-Site Hedge Enhancement'!AH258+'B-1 On-Site Hedge Baseline'!R258,"Check Data⚠")</f>
        <v>32.278596390868827</v>
      </c>
      <c r="I13" s="1107"/>
      <c r="K13" s="23"/>
      <c r="L13" s="23"/>
      <c r="M13" s="23"/>
      <c r="N13" s="23"/>
      <c r="U13" s="1161"/>
      <c r="V13" s="1161"/>
    </row>
    <row r="14" spans="2:22" ht="21.95" customHeight="1" thickBot="1">
      <c r="B14" s="1121"/>
      <c r="C14" s="1122"/>
      <c r="D14" s="1122"/>
      <c r="E14" s="1123"/>
      <c r="F14" s="1108" t="s">
        <v>77</v>
      </c>
      <c r="G14" s="1109"/>
      <c r="H14" s="1110">
        <f>IFERROR('C-2 On-Site WaterC'' Creation'!Z260 + 'C-3 On-Site WaterC'' Enhancement'!AM258+'C-1 On-Site WaterC'' Baseline'!V258,"Check Data ⚠")</f>
        <v>1.421875427931375</v>
      </c>
      <c r="I14" s="1111"/>
      <c r="K14" s="23"/>
      <c r="L14" s="23"/>
      <c r="M14" s="23"/>
      <c r="N14" s="23"/>
    </row>
    <row r="15" spans="2:22" ht="4.5" customHeight="1" thickBot="1">
      <c r="B15" s="334"/>
      <c r="C15" s="334"/>
      <c r="D15" s="334"/>
      <c r="E15" s="334"/>
      <c r="F15" s="335"/>
      <c r="G15" s="335"/>
      <c r="H15" s="336"/>
      <c r="I15" s="336"/>
      <c r="K15" s="556"/>
      <c r="L15" s="23"/>
      <c r="M15" s="23"/>
      <c r="N15" s="23"/>
    </row>
    <row r="16" spans="2:22" ht="21.95" customHeight="1">
      <c r="B16" s="1115" t="s">
        <v>79</v>
      </c>
      <c r="C16" s="1116"/>
      <c r="D16" s="1116"/>
      <c r="E16" s="1116"/>
      <c r="F16" s="1124" t="s">
        <v>75</v>
      </c>
      <c r="G16" s="1125"/>
      <c r="H16" s="1149">
        <f>IFERROR(H12-H8, "Error ▲")</f>
        <v>24.211490082272675</v>
      </c>
      <c r="I16" s="1149"/>
      <c r="J16" s="662">
        <f>IF(H8=0,0,IF(AND(H8=0,H12&gt;0),1,IFERROR((H12/H8)-1,"Check Data ⚠")))</f>
        <v>0.22331314528416346</v>
      </c>
      <c r="K16" s="556" t="str">
        <f>IF(OR(AND(H8=0,H12=0),J16&gt;=Start!$F$22)," ","On-site net gain is less than target set ⚠")</f>
        <v xml:space="preserve"> </v>
      </c>
      <c r="L16" s="23"/>
      <c r="M16" s="23"/>
      <c r="N16" s="23"/>
    </row>
    <row r="17" spans="2:14" ht="21.95" customHeight="1">
      <c r="B17" s="1118"/>
      <c r="C17" s="1119"/>
      <c r="D17" s="1119"/>
      <c r="E17" s="1119"/>
      <c r="F17" s="1104" t="s">
        <v>76</v>
      </c>
      <c r="G17" s="1105"/>
      <c r="H17" s="1140">
        <f t="shared" ref="H17:H18" ca="1" si="0">IFERROR(H13-H9, "Error ▲")</f>
        <v>11.168566810968827</v>
      </c>
      <c r="I17" s="1140"/>
      <c r="J17" s="663">
        <f ca="1">IF(H9=0,0,IF(AND(H9=0,H13&gt;0),1,IFERROR((H13/H9)-1,"Check Data ⚠")))</f>
        <v>0.52906447945497059</v>
      </c>
      <c r="K17" s="556" t="str">
        <f ca="1">IF(OR(AND(H9=0,H13=0),J17&gt;=Start!$F$22)," ","On-site net gain is less than target set ⚠")</f>
        <v xml:space="preserve"> </v>
      </c>
      <c r="L17" s="23"/>
      <c r="M17" s="23"/>
      <c r="N17" s="23"/>
    </row>
    <row r="18" spans="2:14" ht="21.95" customHeight="1" thickBot="1">
      <c r="B18" s="1121"/>
      <c r="C18" s="1122"/>
      <c r="D18" s="1122"/>
      <c r="E18" s="1122"/>
      <c r="F18" s="1108" t="s">
        <v>77</v>
      </c>
      <c r="G18" s="1109"/>
      <c r="H18" s="1151">
        <f t="shared" si="0"/>
        <v>-3.5599743759686246</v>
      </c>
      <c r="I18" s="1151"/>
      <c r="J18" s="664">
        <f>IF(H10=0,0,IF(AND(H10=0,H14&gt;0),1,IFERROR((H14/H10)-1,"Check Data ⚠")))</f>
        <v>-0.71458886078454797</v>
      </c>
      <c r="K18" s="556" t="str">
        <f>IF(OR(AND(H10=0,H14=0),J18&gt;=Start!$F$22)," ","On-site net gain is less than target set ⚠")</f>
        <v>On-site net gain is less than target set ⚠</v>
      </c>
      <c r="L18" s="23"/>
      <c r="M18" s="23"/>
      <c r="N18" s="23"/>
    </row>
    <row r="19" spans="2:14" ht="24.95" customHeight="1" thickBot="1">
      <c r="H19" s="255"/>
      <c r="I19" s="255"/>
      <c r="K19" s="23"/>
      <c r="L19" s="23"/>
      <c r="M19" s="23"/>
      <c r="N19" s="23"/>
    </row>
    <row r="20" spans="2:14" ht="21.95" customHeight="1">
      <c r="B20" s="1115" t="s">
        <v>80</v>
      </c>
      <c r="C20" s="1116"/>
      <c r="D20" s="1116"/>
      <c r="E20" s="1116"/>
      <c r="F20" s="1124" t="s">
        <v>75</v>
      </c>
      <c r="G20" s="1125"/>
      <c r="H20" s="1179">
        <f>IFERROR('D-1 Off-Site Habitat Baseline'!T259,"Check Data ⚠")</f>
        <v>0</v>
      </c>
      <c r="I20" s="1169"/>
      <c r="K20" s="23"/>
      <c r="L20" s="1168">
        <f>IFERROR('D-1 Off-Site Habitat Baseline'!Q259,"Check Data ⚠")</f>
        <v>0</v>
      </c>
      <c r="M20" s="1169"/>
      <c r="N20" s="23"/>
    </row>
    <row r="21" spans="2:14" ht="21.95" customHeight="1">
      <c r="B21" s="1118"/>
      <c r="C21" s="1119"/>
      <c r="D21" s="1119"/>
      <c r="E21" s="1119"/>
      <c r="F21" s="1104" t="s">
        <v>76</v>
      </c>
      <c r="G21" s="1105"/>
      <c r="H21" s="1136">
        <f>IFERROR('E-1 Off-Site Hedge Baseline'!Q258,"Check Data ⚠")</f>
        <v>0</v>
      </c>
      <c r="I21" s="1137"/>
      <c r="K21" s="23"/>
      <c r="L21" s="1170">
        <f>IFERROR('E-1 Off-Site Hedge Baseline'!N258,"Check Data ⚠")</f>
        <v>0</v>
      </c>
      <c r="M21" s="1137"/>
      <c r="N21" s="23"/>
    </row>
    <row r="22" spans="2:14" ht="21.95" customHeight="1" thickBot="1">
      <c r="B22" s="1121"/>
      <c r="C22" s="1122"/>
      <c r="D22" s="1122"/>
      <c r="E22" s="1122"/>
      <c r="F22" s="1108" t="s">
        <v>77</v>
      </c>
      <c r="G22" s="1109"/>
      <c r="H22" s="1165">
        <f>IFERROR('F-1 Off-Site WaterC'' Baseline'!U258,"Check Data ⚠")</f>
        <v>0</v>
      </c>
      <c r="I22" s="1166"/>
      <c r="K22" s="23"/>
      <c r="L22" s="1171">
        <f>IFERROR('F-1 Off-Site WaterC'' Baseline'!R258,"Check Data ⚠")</f>
        <v>0</v>
      </c>
      <c r="M22" s="1166"/>
      <c r="N22" s="23"/>
    </row>
    <row r="23" spans="2:14" ht="5.45" customHeight="1" thickBot="1">
      <c r="H23" s="255"/>
      <c r="I23" s="255"/>
      <c r="K23" s="23"/>
      <c r="L23" s="255"/>
      <c r="M23" s="255"/>
      <c r="N23" s="23"/>
    </row>
    <row r="24" spans="2:14" ht="21.95" customHeight="1">
      <c r="B24" s="1115" t="s">
        <v>81</v>
      </c>
      <c r="C24" s="1116"/>
      <c r="D24" s="1116"/>
      <c r="E24" s="1117"/>
      <c r="F24" s="1124" t="s">
        <v>75</v>
      </c>
      <c r="G24" s="1125"/>
      <c r="H24" s="1102">
        <f>IFERROR('D-1 Off-Site Habitat Baseline'!$X$259+'D-2 Off-Site Habitat Creation'!AB257+'D-3 Off-Site Habitat Enhancment'!AQ259,"Check Data ⚠")</f>
        <v>0</v>
      </c>
      <c r="I24" s="1103"/>
      <c r="K24" s="23"/>
      <c r="L24" s="1172">
        <f>IFERROR('D-1 Off-Site Habitat Baseline'!$AY$259+'D-2 Off-Site Habitat Creation'!AA257+'D-3 Off-Site Habitat Enhancment'!AP259,"Check Data ⚠")</f>
        <v>0</v>
      </c>
      <c r="M24" s="1103"/>
      <c r="N24" s="23"/>
    </row>
    <row r="25" spans="2:14" ht="21.95" customHeight="1">
      <c r="B25" s="1118"/>
      <c r="C25" s="1119"/>
      <c r="D25" s="1119"/>
      <c r="E25" s="1120"/>
      <c r="F25" s="1104" t="s">
        <v>76</v>
      </c>
      <c r="G25" s="1105"/>
      <c r="H25" s="1106">
        <f>IFERROR('E-1 Off-Site Hedge Baseline'!U258+'E-2 Off-Site Hedge Creation'!Z260+'E-3 Off-Site Hedge Enhancement'!AK258,"Check Data ⚠")</f>
        <v>0</v>
      </c>
      <c r="I25" s="1107"/>
      <c r="K25" s="23"/>
      <c r="L25" s="1173">
        <f>IFERROR('E-1 Off-Site Hedge Baseline'!AY258+'E-2 Off-Site Hedge Creation'!Y260+'E-3 Off-Site Hedge Enhancement'!AJ258,"Check Data ⚠")</f>
        <v>0</v>
      </c>
      <c r="M25" s="1107"/>
      <c r="N25" s="23"/>
    </row>
    <row r="26" spans="2:14" ht="21.95" customHeight="1" thickBot="1">
      <c r="B26" s="1121"/>
      <c r="C26" s="1122"/>
      <c r="D26" s="1122"/>
      <c r="E26" s="1123"/>
      <c r="F26" s="1108" t="s">
        <v>77</v>
      </c>
      <c r="G26" s="1109"/>
      <c r="H26" s="1110">
        <f>IFERROR('F-1 Off-Site WaterC'' Baseline'!Y258+'F-2 Off-Site WaterC'' Creation'!AC260+'F-3 Off-Site WaterC Enhancement'!AP258,"Check Data ⚠")</f>
        <v>0</v>
      </c>
      <c r="I26" s="1111"/>
      <c r="K26" s="23"/>
      <c r="L26" s="1167">
        <f>IFERROR('F-1 Off-Site WaterC'' Baseline'!AZ258+'F-2 Off-Site WaterC'' Creation'!AB260+'F-3 Off-Site WaterC Enhancement'!AO258,"Check Data ⚠")</f>
        <v>0</v>
      </c>
      <c r="M26" s="1111"/>
      <c r="N26" s="23"/>
    </row>
    <row r="27" spans="2:14" ht="5.0999999999999996" customHeight="1" thickBot="1">
      <c r="K27" s="23"/>
      <c r="L27" s="23"/>
      <c r="M27" s="23"/>
      <c r="N27" s="23"/>
    </row>
    <row r="28" spans="2:14" ht="21.95" customHeight="1">
      <c r="B28" s="1115" t="s">
        <v>82</v>
      </c>
      <c r="C28" s="1116"/>
      <c r="D28" s="1116"/>
      <c r="E28" s="1116"/>
      <c r="F28" s="1124" t="s">
        <v>75</v>
      </c>
      <c r="G28" s="1125"/>
      <c r="H28" s="1179">
        <f>IFERROR(H24-H20, "Error ▲")</f>
        <v>0</v>
      </c>
      <c r="I28" s="1179"/>
      <c r="J28" s="662">
        <f>IF(H20=0,0,IF(AND(H20=0,H24&gt;0),1,IFERROR((H24/H20)-1,"Check Data ⚠")))</f>
        <v>0</v>
      </c>
      <c r="K28" s="23"/>
      <c r="L28" s="23"/>
      <c r="M28" s="23"/>
      <c r="N28" s="23"/>
    </row>
    <row r="29" spans="2:14" ht="21.95" customHeight="1">
      <c r="B29" s="1118"/>
      <c r="C29" s="1119"/>
      <c r="D29" s="1119"/>
      <c r="E29" s="1119"/>
      <c r="F29" s="1104" t="s">
        <v>76</v>
      </c>
      <c r="G29" s="1105"/>
      <c r="H29" s="1136">
        <f t="shared" ref="H29:H30" si="1">IFERROR(H25-H21, "Error ▲")</f>
        <v>0</v>
      </c>
      <c r="I29" s="1136"/>
      <c r="J29" s="663">
        <f>IF(H21=0,0,IF(AND(H21=0,H25&gt;0),1,IFERROR((H25/H21)-1,"Check Data ⚠")))</f>
        <v>0</v>
      </c>
      <c r="K29" s="23"/>
      <c r="L29" s="23"/>
      <c r="M29" s="23"/>
      <c r="N29" s="23"/>
    </row>
    <row r="30" spans="2:14" ht="21.95" customHeight="1" thickBot="1">
      <c r="B30" s="1121"/>
      <c r="C30" s="1122"/>
      <c r="D30" s="1122"/>
      <c r="E30" s="1122"/>
      <c r="F30" s="1108" t="s">
        <v>77</v>
      </c>
      <c r="G30" s="1109"/>
      <c r="H30" s="1174">
        <f t="shared" si="1"/>
        <v>0</v>
      </c>
      <c r="I30" s="1174"/>
      <c r="J30" s="664">
        <f>IF(H22=0,0,IF(AND(H22=0,H26&gt;0),1,IFERROR((H26/H22)-1,"Check Data ⚠")))</f>
        <v>0</v>
      </c>
      <c r="K30" s="23"/>
      <c r="L30" s="23"/>
      <c r="M30" s="23"/>
      <c r="N30" s="23"/>
    </row>
    <row r="31" spans="2:14" ht="21.95" customHeight="1">
      <c r="K31" s="23"/>
      <c r="L31" s="23"/>
      <c r="M31" s="23"/>
      <c r="N31" s="23"/>
    </row>
    <row r="32" spans="2:14" ht="7.5" hidden="1" customHeight="1">
      <c r="B32" s="1115" t="s">
        <v>83</v>
      </c>
      <c r="C32" s="1116"/>
      <c r="D32" s="1116"/>
      <c r="E32" s="1116"/>
      <c r="F32" s="1124" t="s">
        <v>75</v>
      </c>
      <c r="G32" s="1125"/>
      <c r="H32" s="1179">
        <f>IF(H28&lt;0, "N/A", (L24-L20))</f>
        <v>0</v>
      </c>
      <c r="I32" s="1169"/>
      <c r="J32" s="1198" t="str">
        <f>IF(H32="N/A", "SRM only applies where unit change is positive (uplift)", " ")</f>
        <v xml:space="preserve"> </v>
      </c>
      <c r="K32" s="1199"/>
      <c r="L32" s="23"/>
      <c r="M32" s="23"/>
      <c r="N32" s="23"/>
    </row>
    <row r="33" spans="2:14" ht="22.5" hidden="1" customHeight="1">
      <c r="B33" s="1118"/>
      <c r="C33" s="1119"/>
      <c r="D33" s="1119"/>
      <c r="E33" s="1119"/>
      <c r="F33" s="1104" t="s">
        <v>76</v>
      </c>
      <c r="G33" s="1105"/>
      <c r="H33" s="1136">
        <f>IF(H29&lt;0, "N/A", (L25-L21))</f>
        <v>0</v>
      </c>
      <c r="I33" s="1137"/>
      <c r="J33" s="1198" t="str">
        <f t="shared" ref="J33:J34" si="2">IF(H33="N/A", "SRM only applies where unit change is positive", " ")</f>
        <v xml:space="preserve"> </v>
      </c>
      <c r="K33" s="1199"/>
      <c r="L33" s="23"/>
      <c r="M33" s="23"/>
      <c r="N33" s="23"/>
    </row>
    <row r="34" spans="2:14" ht="15.95" hidden="1" customHeight="1" thickBot="1">
      <c r="B34" s="1121"/>
      <c r="C34" s="1122"/>
      <c r="D34" s="1122"/>
      <c r="E34" s="1122"/>
      <c r="F34" s="1108" t="s">
        <v>77</v>
      </c>
      <c r="G34" s="1109"/>
      <c r="H34" s="1174">
        <f>IF(H30&lt;0, "N/A", (L26-L22))</f>
        <v>0</v>
      </c>
      <c r="I34" s="1175"/>
      <c r="J34" s="1198" t="str">
        <f t="shared" si="2"/>
        <v xml:space="preserve"> </v>
      </c>
      <c r="K34" s="1199"/>
      <c r="L34" s="23"/>
      <c r="M34" s="23"/>
      <c r="N34" s="23"/>
    </row>
    <row r="35" spans="2:14" ht="13.5" hidden="1" customHeight="1">
      <c r="B35" s="661"/>
      <c r="C35" s="661"/>
      <c r="D35" s="23"/>
      <c r="E35" s="23"/>
      <c r="F35" s="661"/>
      <c r="G35" s="661"/>
      <c r="H35" s="23"/>
      <c r="I35" s="23"/>
      <c r="J35" s="661"/>
      <c r="K35" s="661"/>
      <c r="L35" s="23"/>
      <c r="M35" s="23"/>
      <c r="N35" s="23"/>
    </row>
    <row r="36" spans="2:14" ht="21.95" customHeight="1" thickBot="1">
      <c r="B36" s="661"/>
      <c r="C36" s="661"/>
      <c r="D36" s="23"/>
      <c r="E36" s="23"/>
      <c r="F36" s="661"/>
      <c r="G36" s="661"/>
      <c r="H36" s="23"/>
      <c r="I36" s="23"/>
      <c r="J36" s="661"/>
      <c r="K36" s="23"/>
      <c r="L36" s="23"/>
      <c r="M36" s="23"/>
      <c r="N36" s="23"/>
    </row>
    <row r="37" spans="2:14" ht="21.95" customHeight="1">
      <c r="B37" s="1115" t="s">
        <v>84</v>
      </c>
      <c r="C37" s="1116"/>
      <c r="D37" s="1116"/>
      <c r="E37" s="1117"/>
      <c r="F37" s="1124" t="s">
        <v>75</v>
      </c>
      <c r="G37" s="1125"/>
      <c r="H37" s="1102">
        <f>IFERROR((H16)+(H28),"Check Data ⚠")</f>
        <v>24.211490082272675</v>
      </c>
      <c r="I37" s="1103"/>
      <c r="J37" s="661"/>
      <c r="K37" s="23"/>
      <c r="L37" s="23"/>
      <c r="M37" s="23"/>
      <c r="N37" s="23"/>
    </row>
    <row r="38" spans="2:14" ht="21.95" customHeight="1">
      <c r="B38" s="1118"/>
      <c r="C38" s="1119"/>
      <c r="D38" s="1119"/>
      <c r="E38" s="1120"/>
      <c r="F38" s="1104" t="s">
        <v>76</v>
      </c>
      <c r="G38" s="1105"/>
      <c r="H38" s="1106">
        <f ca="1">IFERROR((H17)+(H29),"Check Data ⚠")</f>
        <v>11.168566810968827</v>
      </c>
      <c r="I38" s="1107"/>
      <c r="J38" s="661"/>
      <c r="K38" s="23"/>
      <c r="L38" s="23"/>
      <c r="M38" s="23"/>
      <c r="N38" s="23"/>
    </row>
    <row r="39" spans="2:14" ht="21.95" customHeight="1" thickBot="1">
      <c r="B39" s="1121"/>
      <c r="C39" s="1122"/>
      <c r="D39" s="1122"/>
      <c r="E39" s="1123"/>
      <c r="F39" s="1108" t="s">
        <v>77</v>
      </c>
      <c r="G39" s="1109"/>
      <c r="H39" s="1110">
        <f>IFERROR((H18)+(H30),"Check Data ⚠")</f>
        <v>-3.5599743759686246</v>
      </c>
      <c r="I39" s="1111"/>
      <c r="J39" s="661"/>
      <c r="K39" s="23"/>
      <c r="L39" s="23"/>
      <c r="M39" s="23"/>
      <c r="N39" s="23"/>
    </row>
    <row r="40" spans="2:14" ht="5.45" customHeight="1" thickBot="1">
      <c r="B40" s="661"/>
      <c r="C40" s="661"/>
      <c r="D40" s="23"/>
      <c r="E40" s="23"/>
      <c r="F40" s="661"/>
      <c r="G40" s="661"/>
      <c r="H40" s="23"/>
      <c r="I40" s="23"/>
      <c r="J40" s="661"/>
      <c r="K40" s="23"/>
      <c r="L40" s="23"/>
      <c r="M40" s="23"/>
      <c r="N40" s="23"/>
    </row>
    <row r="41" spans="2:14" ht="21.95" customHeight="1">
      <c r="B41" s="1148" t="s">
        <v>85</v>
      </c>
      <c r="C41" s="1116"/>
      <c r="D41" s="1116"/>
      <c r="E41" s="1117"/>
      <c r="F41" s="1124" t="s">
        <v>75</v>
      </c>
      <c r="G41" s="1125"/>
      <c r="H41" s="1102">
        <f>IFERROR(H28-H32, "0.00")</f>
        <v>0</v>
      </c>
      <c r="I41" s="1103"/>
      <c r="J41" s="661"/>
      <c r="K41" s="23"/>
      <c r="L41" s="23"/>
      <c r="M41" s="23"/>
      <c r="N41" s="23"/>
    </row>
    <row r="42" spans="2:14" ht="21.95" customHeight="1">
      <c r="B42" s="1118"/>
      <c r="C42" s="1119"/>
      <c r="D42" s="1119"/>
      <c r="E42" s="1120"/>
      <c r="F42" s="1104" t="s">
        <v>76</v>
      </c>
      <c r="G42" s="1105"/>
      <c r="H42" s="1106">
        <f>IFERROR(H29-H33, "0.00")</f>
        <v>0</v>
      </c>
      <c r="I42" s="1107"/>
      <c r="J42" s="661"/>
      <c r="K42" s="23"/>
      <c r="L42" s="23"/>
      <c r="M42" s="23"/>
      <c r="N42" s="23"/>
    </row>
    <row r="43" spans="2:14" ht="21.95" customHeight="1" thickBot="1">
      <c r="B43" s="1121"/>
      <c r="C43" s="1122"/>
      <c r="D43" s="1122"/>
      <c r="E43" s="1123"/>
      <c r="F43" s="1108" t="s">
        <v>77</v>
      </c>
      <c r="G43" s="1109"/>
      <c r="H43" s="1110">
        <f>IFERROR(H30-H34, "0.00")</f>
        <v>0</v>
      </c>
      <c r="I43" s="1111"/>
      <c r="J43" s="661"/>
      <c r="K43" s="23"/>
      <c r="L43" s="23"/>
      <c r="M43" s="23"/>
      <c r="N43" s="23"/>
    </row>
    <row r="44" spans="2:14" ht="36.950000000000003" customHeight="1" thickBot="1">
      <c r="B44" s="660"/>
      <c r="C44" s="660"/>
      <c r="D44" s="660"/>
      <c r="E44" s="660"/>
      <c r="F44" s="660"/>
      <c r="G44" s="660"/>
      <c r="H44" s="660"/>
      <c r="I44" s="660"/>
      <c r="J44" s="661"/>
      <c r="K44" s="23"/>
      <c r="L44" s="23"/>
      <c r="M44" s="23"/>
      <c r="N44" s="23"/>
    </row>
    <row r="45" spans="2:14" ht="35.1" customHeight="1" thickBot="1">
      <c r="B45" s="1112" t="s">
        <v>86</v>
      </c>
      <c r="C45" s="1113"/>
      <c r="D45" s="1113"/>
      <c r="E45" s="1113"/>
      <c r="F45" s="1113"/>
      <c r="G45" s="1113"/>
      <c r="H45" s="1113"/>
      <c r="I45" s="1114"/>
      <c r="K45" s="23"/>
      <c r="L45" s="23"/>
      <c r="M45" s="23"/>
      <c r="N45" s="23"/>
    </row>
    <row r="46" spans="2:14" ht="9.9499999999999993" customHeight="1" thickBot="1">
      <c r="B46" s="666"/>
      <c r="C46" s="666"/>
      <c r="D46" s="666"/>
      <c r="E46" s="666"/>
      <c r="F46" s="666"/>
      <c r="G46" s="666"/>
      <c r="H46" s="666"/>
      <c r="I46" s="666"/>
      <c r="K46" s="23"/>
      <c r="L46" s="23"/>
      <c r="M46" s="23"/>
      <c r="N46" s="23"/>
    </row>
    <row r="47" spans="2:14" ht="21.95" customHeight="1">
      <c r="B47" s="1152" t="s">
        <v>87</v>
      </c>
      <c r="C47" s="1153"/>
      <c r="D47" s="1153"/>
      <c r="E47" s="1154"/>
      <c r="F47" s="1124" t="s">
        <v>75</v>
      </c>
      <c r="G47" s="1125"/>
      <c r="H47" s="1102">
        <f>IFERROR(IF(H32="N/A", (H12-H8)+(H28), (H12-H8)+(H32)),"Check Data ⚠")</f>
        <v>24.211490082272675</v>
      </c>
      <c r="I47" s="1103"/>
      <c r="J47" s="1163"/>
      <c r="K47" s="1164"/>
      <c r="L47" s="23"/>
      <c r="M47" s="23"/>
      <c r="N47" s="23"/>
    </row>
    <row r="48" spans="2:14" ht="21.95" customHeight="1">
      <c r="B48" s="1155"/>
      <c r="C48" s="1156"/>
      <c r="D48" s="1156"/>
      <c r="E48" s="1157"/>
      <c r="F48" s="1104" t="s">
        <v>76</v>
      </c>
      <c r="G48" s="1105"/>
      <c r="H48" s="1106">
        <f ca="1">IFERROR(IF(H33="N/A", (H13-H9)+(H29), (H13-H9)+(H33)),"Check Data ⚠")</f>
        <v>11.168566810968827</v>
      </c>
      <c r="I48" s="1107"/>
      <c r="J48" s="1163"/>
      <c r="K48" s="1164"/>
      <c r="L48" s="23"/>
      <c r="M48" s="23"/>
      <c r="N48" s="23"/>
    </row>
    <row r="49" spans="1:33" ht="21.95" customHeight="1" thickBot="1">
      <c r="B49" s="1158"/>
      <c r="C49" s="1159"/>
      <c r="D49" s="1159"/>
      <c r="E49" s="1160"/>
      <c r="F49" s="1108" t="s">
        <v>77</v>
      </c>
      <c r="G49" s="1109"/>
      <c r="H49" s="1106">
        <f>IFERROR(IF(H34="N/A", (H14-H10)+(H30), (H14-H10)+(H34)),"Check Data ⚠")</f>
        <v>-3.5599743759686246</v>
      </c>
      <c r="I49" s="1107"/>
      <c r="J49" s="1163"/>
      <c r="K49" s="1164"/>
      <c r="L49" s="555"/>
      <c r="M49" s="23"/>
      <c r="N49" s="23"/>
    </row>
    <row r="50" spans="1:33" ht="9.9499999999999993" customHeight="1" thickBot="1">
      <c r="H50" s="665"/>
      <c r="I50" s="665"/>
      <c r="K50" s="23"/>
      <c r="L50" s="23"/>
      <c r="M50" s="23"/>
      <c r="N50" s="23"/>
    </row>
    <row r="51" spans="1:33" ht="21.95" customHeight="1">
      <c r="B51" s="1115" t="s">
        <v>88</v>
      </c>
      <c r="C51" s="1116"/>
      <c r="D51" s="1116"/>
      <c r="E51" s="1117"/>
      <c r="F51" s="1124" t="s">
        <v>75</v>
      </c>
      <c r="G51" s="1125"/>
      <c r="H51" s="1182">
        <f>IF(H47=0,0,IF(AND(H8=0,H20=0,H47&gt;0),1,IFERROR((H47/H8),"Check Data ⚠")))</f>
        <v>0.22331314528416341</v>
      </c>
      <c r="I51" s="1183"/>
      <c r="J51" s="1200" t="str">
        <f>IF(OR(AND(H8=0,H12=0,H20=0,H24=0),H51&gt;=Start!$F$22)," ","Total net gain achieved is less than target set ⚠")</f>
        <v xml:space="preserve"> </v>
      </c>
      <c r="K51" s="1201"/>
      <c r="L51" s="555"/>
      <c r="M51" s="555"/>
      <c r="N51" s="23"/>
    </row>
    <row r="52" spans="1:33" ht="21.95" customHeight="1">
      <c r="A52" s="26"/>
      <c r="B52" s="1118"/>
      <c r="C52" s="1119"/>
      <c r="D52" s="1119"/>
      <c r="E52" s="1120"/>
      <c r="F52" s="1104" t="s">
        <v>76</v>
      </c>
      <c r="G52" s="1105"/>
      <c r="H52" s="1184">
        <f ca="1">IF(H48=0,0,IF(AND(H9=0,H21=0,H48&gt;0),1,IFERROR((H48/H9),"Check Data ⚠")))</f>
        <v>0.52906447945497059</v>
      </c>
      <c r="I52" s="1185"/>
      <c r="J52" s="1200" t="str">
        <f ca="1">IF(OR(AND(H9=0,H13=0,H21=0,H25=0),H52&gt;=Start!$F$22)," ","Total net gain achieved is less than target set ⚠")</f>
        <v xml:space="preserve"> </v>
      </c>
      <c r="K52" s="1201"/>
      <c r="L52" s="23"/>
      <c r="M52" s="23"/>
      <c r="N52" s="23"/>
    </row>
    <row r="53" spans="1:33" ht="21.95" customHeight="1" thickBot="1">
      <c r="A53" s="26"/>
      <c r="B53" s="1121"/>
      <c r="C53" s="1122"/>
      <c r="D53" s="1122"/>
      <c r="E53" s="1123"/>
      <c r="F53" s="1108" t="s">
        <v>77</v>
      </c>
      <c r="G53" s="1186"/>
      <c r="H53" s="1187">
        <f>IF(H49=0,0,IF(AND(H10=0,H22=0,H49&gt;0),1,IFERROR((H49/H10),"Check Data ⚠")))</f>
        <v>-0.71458886078454809</v>
      </c>
      <c r="I53" s="1188"/>
      <c r="J53" s="1200" t="str">
        <f>IF(OR(AND(H10=0,H14=0,H22=0,H26=0),H53&gt;=Start!$F$22)," ","Total net gain achieved is less than target set ⚠")</f>
        <v>Total net gain achieved is less than target set ⚠</v>
      </c>
      <c r="K53" s="1201"/>
      <c r="L53" s="23"/>
      <c r="M53" s="23"/>
      <c r="N53" s="23"/>
    </row>
    <row r="54" spans="1:33" ht="9.9499999999999993" customHeight="1" thickBot="1">
      <c r="B54" s="1203"/>
      <c r="C54" s="1203"/>
      <c r="D54" s="1203"/>
      <c r="F54" s="27"/>
      <c r="G54" s="27"/>
      <c r="H54" s="27"/>
      <c r="I54" s="27"/>
      <c r="J54" s="27"/>
      <c r="K54" s="27"/>
      <c r="L54" s="27"/>
      <c r="M54" s="27"/>
    </row>
    <row r="55" spans="1:33" s="28" customFormat="1" ht="38.25" customHeight="1" thickBot="1">
      <c r="B55" s="1142" t="s">
        <v>89</v>
      </c>
      <c r="C55" s="1143"/>
      <c r="D55" s="1143"/>
      <c r="E55" s="1144"/>
      <c r="F55" s="1145"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No - Check Trading Summaries ▲</v>
      </c>
      <c r="G55" s="1146"/>
      <c r="H55" s="1146"/>
      <c r="I55" s="1147"/>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81" t="str">
        <f>IF(Start!F27="Yes", "This metric contains deviations from the statutory metric - these deviations are only acceptable in extremely rare circumstances and must be agreed with the consenting body ⚠", "")</f>
        <v/>
      </c>
      <c r="C56" s="1181"/>
      <c r="D56" s="1181"/>
      <c r="E56" s="1181"/>
      <c r="F56" s="1181"/>
      <c r="G56" s="1181"/>
      <c r="H56" s="1181"/>
      <c r="I56" s="1181"/>
      <c r="J56" s="29"/>
      <c r="K56" s="29"/>
      <c r="L56" s="29"/>
      <c r="M56" s="29"/>
      <c r="N56" s="22"/>
      <c r="O56" s="22"/>
      <c r="P56" s="22"/>
      <c r="Q56" s="22"/>
      <c r="X56" s="22"/>
      <c r="Y56" s="22"/>
      <c r="Z56" s="22"/>
      <c r="AA56" s="22"/>
      <c r="AB56" s="22"/>
      <c r="AC56" s="22"/>
      <c r="AD56" s="22"/>
      <c r="AE56" s="22"/>
      <c r="AF56" s="22"/>
      <c r="AG56" s="22"/>
    </row>
    <row r="57" spans="1:33" ht="15.75">
      <c r="B57" s="1180" t="str">
        <f>IF(Start!I23="You must specify if irreplaceable habitats are on-site at baseline ▲", "You must specify if irreplaceable habitats are on-site at baseline ▲", "")</f>
        <v/>
      </c>
      <c r="C57" s="1180"/>
      <c r="D57" s="1180"/>
      <c r="E57" s="1180"/>
      <c r="F57" s="1180"/>
      <c r="G57" s="1180"/>
      <c r="H57" s="1180"/>
      <c r="I57" s="1180"/>
      <c r="J57" s="29"/>
      <c r="K57" s="29"/>
      <c r="L57" s="29"/>
      <c r="M57" s="29"/>
      <c r="X57" s="28"/>
      <c r="Y57" s="28"/>
      <c r="Z57" s="28"/>
      <c r="AA57" s="28"/>
      <c r="AB57" s="28"/>
    </row>
    <row r="58" spans="1:33" ht="15.75">
      <c r="B58" s="1180" t="str" cm="1">
        <f t="array" ref="B58">IF(OR('Irreplaceable Habitats'!AA10:AA31="Irreplaceable habitat lost, bespoke compensation must be agreed with concenting body ▲"), "Unacceptable loss of irreplaceable habitat recorded - no bespoke compensation for lossess has been agreed  ▲", "")</f>
        <v/>
      </c>
      <c r="C58" s="1180"/>
      <c r="D58" s="1180"/>
      <c r="E58" s="1180"/>
      <c r="F58" s="1180"/>
      <c r="G58" s="1180"/>
      <c r="H58" s="1180"/>
      <c r="I58" s="1180"/>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45" customHeight="1" thickBot="1">
      <c r="B60" s="1176" t="s">
        <v>90</v>
      </c>
      <c r="C60" s="1177"/>
      <c r="D60" s="569" t="s">
        <v>91</v>
      </c>
      <c r="E60" s="570" t="s">
        <v>92</v>
      </c>
      <c r="F60" s="1178" t="s">
        <v>93</v>
      </c>
      <c r="G60" s="1178"/>
      <c r="H60" s="1178" t="s">
        <v>94</v>
      </c>
      <c r="I60" s="1202"/>
      <c r="J60" s="568"/>
    </row>
    <row r="61" spans="1:33" ht="18.75">
      <c r="B61" s="1124" t="s">
        <v>75</v>
      </c>
      <c r="C61" s="1125"/>
      <c r="D61" s="712">
        <f>Start!F22</f>
        <v>0.1</v>
      </c>
      <c r="E61" s="708">
        <f>H8</f>
        <v>108.41945758035799</v>
      </c>
      <c r="F61" s="1179">
        <f>IFERROR(E61*(1+D61), "Error ▲")</f>
        <v>119.26140333839379</v>
      </c>
      <c r="G61" s="1179"/>
      <c r="H61" s="1179">
        <f>IFERROR(IF(H32="N/A",(IF(F61-(H12+(H28))&lt;0,0,F61-(H12+(H28)))),(IF(F61-(H12+H32)&lt;0,0,F61-(H12+H32)))), "Error ▲")</f>
        <v>0</v>
      </c>
      <c r="I61" s="1169"/>
      <c r="J61" s="1126" t="str">
        <f>IF(H61=0, "Unit requirement met or surpassed  ✓", " ")</f>
        <v>Unit requirement met or surpassed  ✓</v>
      </c>
      <c r="K61" s="1126"/>
    </row>
    <row r="62" spans="1:33" ht="18.75">
      <c r="B62" s="1104" t="s">
        <v>76</v>
      </c>
      <c r="C62" s="1105"/>
      <c r="D62" s="711">
        <f>Start!F22</f>
        <v>0.1</v>
      </c>
      <c r="E62" s="709">
        <f t="shared" ref="E62:E63" si="3">H9</f>
        <v>21.110029579900001</v>
      </c>
      <c r="F62" s="1136">
        <f t="shared" ref="F62:F63" si="4">IFERROR(E62*(1+D62), "Error ▲")</f>
        <v>23.221032537890004</v>
      </c>
      <c r="G62" s="1136"/>
      <c r="H62" s="1136">
        <f t="shared" ref="H62:H63" ca="1" si="5">IFERROR(IF(H33="N/A",(IF(F62-(H13+(H29))&lt;0,0,F62-(H13+(H29)))),(IF(F62-(H13+H33)&lt;0,0,F62-(H13+H33)))), "Error ▲")</f>
        <v>0</v>
      </c>
      <c r="I62" s="1137"/>
      <c r="J62" s="1126" t="str">
        <f ca="1">IF(H62=0, "Unit requirement met or surpassed  ✓", " ")</f>
        <v>Unit requirement met or surpassed  ✓</v>
      </c>
      <c r="K62" s="1126"/>
    </row>
    <row r="63" spans="1:33" ht="19.5" thickBot="1">
      <c r="B63" s="1108" t="s">
        <v>77</v>
      </c>
      <c r="C63" s="1109"/>
      <c r="D63" s="713">
        <f>Start!F22</f>
        <v>0.1</v>
      </c>
      <c r="E63" s="710">
        <f t="shared" si="3"/>
        <v>4.9818498038999994</v>
      </c>
      <c r="F63" s="1174">
        <f t="shared" si="4"/>
        <v>5.4800347842899999</v>
      </c>
      <c r="G63" s="1174"/>
      <c r="H63" s="1174">
        <f t="shared" si="5"/>
        <v>4.0581593563586251</v>
      </c>
      <c r="I63" s="1175"/>
      <c r="J63" s="1126" t="str">
        <f>IF(H63=0, "Unit requirement met or surpassed  ✓", " ")</f>
        <v xml:space="preserve"> </v>
      </c>
      <c r="K63" s="1126"/>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45" hidden="1" customHeight="1"/>
    <row r="127"/>
    <row r="128"/>
    <row r="129"/>
  </sheetData>
  <sheetProtection algorithmName="SHA-512" hashValue="0G+KvA9/RvBzJIG8uAU9pkuUdO0GcsuZySlhgKf+G+BVLjrfTQ7LWihfRnWomQLzeET96bKaAQ+uexI9kaHKKA==" saltValue="X0GjsapSR3Aut/Atbh4v8w=="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K58:L59">
    <cfRule type="cellIs" dxfId="919" priority="139" operator="lessThan">
      <formula>0</formula>
    </cfRule>
    <cfRule type="cellIs" dxfId="918" priority="140" operator="greaterThan">
      <formula>0</formula>
    </cfRule>
  </conditionalFormatting>
  <conditionalFormatting sqref="H47:I47">
    <cfRule type="cellIs" dxfId="917" priority="132" operator="equal">
      <formula>"Error"</formula>
    </cfRule>
  </conditionalFormatting>
  <conditionalFormatting sqref="H51:I51">
    <cfRule type="expression" dxfId="916" priority="113">
      <formula>AND(OR($H$8&gt;0,$H$20&gt;0),$H$51&lt;0.1)</formula>
    </cfRule>
  </conditionalFormatting>
  <conditionalFormatting sqref="L27:L35 L37:L44">
    <cfRule type="cellIs" dxfId="915" priority="130" operator="greaterThan">
      <formula>0</formula>
    </cfRule>
  </conditionalFormatting>
  <conditionalFormatting sqref="L8:L9">
    <cfRule type="cellIs" dxfId="914" priority="129" operator="equal">
      <formula>"Error"</formula>
    </cfRule>
  </conditionalFormatting>
  <conditionalFormatting sqref="L11">
    <cfRule type="cellIs" dxfId="913" priority="128" operator="equal">
      <formula>"Error"</formula>
    </cfRule>
  </conditionalFormatting>
  <conditionalFormatting sqref="L13:L18">
    <cfRule type="cellIs" dxfId="912" priority="126" operator="equal">
      <formula>"Error"</formula>
    </cfRule>
  </conditionalFormatting>
  <conditionalFormatting sqref="H52:I53">
    <cfRule type="cellIs" dxfId="911" priority="120" operator="equal">
      <formula>"Error"</formula>
    </cfRule>
  </conditionalFormatting>
  <conditionalFormatting sqref="H52:I53">
    <cfRule type="cellIs" dxfId="910" priority="119" operator="equal">
      <formula>"Error"</formula>
    </cfRule>
  </conditionalFormatting>
  <conditionalFormatting sqref="H52:I52">
    <cfRule type="expression" dxfId="909" priority="117">
      <formula>AND(OR($H$9&gt;0,$H$21&gt;0),$H$52&lt;0.1)</formula>
    </cfRule>
  </conditionalFormatting>
  <conditionalFormatting sqref="H53:I53">
    <cfRule type="expression" dxfId="908" priority="115">
      <formula>AND(OR($H$10&gt;0,$H$22&gt;0),$H$53&lt;0.1)</formula>
    </cfRule>
  </conditionalFormatting>
  <conditionalFormatting sqref="H8:I15 H19:I26 H47:I53">
    <cfRule type="containsText" dxfId="907" priority="114" operator="containsText" text="Check">
      <formula>NOT(ISERROR(SEARCH("Check",H8)))</formula>
    </cfRule>
    <cfRule type="containsText" dxfId="906" priority="131" operator="containsText" text="Error">
      <formula>NOT(ISERROR(SEARCH("Error",H8)))</formula>
    </cfRule>
  </conditionalFormatting>
  <conditionalFormatting sqref="F55:I55">
    <cfRule type="containsText" dxfId="905" priority="105" operator="containsText" text="No">
      <formula>NOT(ISERROR(SEARCH("No",F55)))</formula>
    </cfRule>
    <cfRule type="containsText" dxfId="904" priority="106" operator="containsText" text="Yes">
      <formula>NOT(ISERROR(SEARCH("Yes",F55)))</formula>
    </cfRule>
  </conditionalFormatting>
  <conditionalFormatting sqref="K15 J51:J53">
    <cfRule type="containsText" dxfId="903" priority="83" operator="containsText" text="⚠">
      <formula>NOT(ISERROR(SEARCH("⚠",J15)))</formula>
    </cfRule>
  </conditionalFormatting>
  <conditionalFormatting sqref="B57:I57">
    <cfRule type="containsText" dxfId="902" priority="81" operator="containsText" text="▲">
      <formula>NOT(ISERROR(SEARCH("▲",B57)))</formula>
    </cfRule>
  </conditionalFormatting>
  <conditionalFormatting sqref="H28:I30">
    <cfRule type="containsText" dxfId="901" priority="79" operator="containsText" text="Check">
      <formula>NOT(ISERROR(SEARCH("Check",H28)))</formula>
    </cfRule>
    <cfRule type="containsText" dxfId="900" priority="80" operator="containsText" text="Error">
      <formula>NOT(ISERROR(SEARCH("Error",H28)))</formula>
    </cfRule>
  </conditionalFormatting>
  <conditionalFormatting sqref="H32:I34">
    <cfRule type="containsText" dxfId="899" priority="77" operator="containsText" text="Check">
      <formula>NOT(ISERROR(SEARCH("Check",H32)))</formula>
    </cfRule>
    <cfRule type="containsText" dxfId="898" priority="78" operator="containsText" text="Error">
      <formula>NOT(ISERROR(SEARCH("Error",H32)))</formula>
    </cfRule>
  </conditionalFormatting>
  <conditionalFormatting sqref="L20:M26">
    <cfRule type="containsText" dxfId="897" priority="75" operator="containsText" text="Check">
      <formula>NOT(ISERROR(SEARCH("Check",L20)))</formula>
    </cfRule>
    <cfRule type="containsText" dxfId="896" priority="76" operator="containsText" text="Error">
      <formula>NOT(ISERROR(SEARCH("Error",L20)))</formula>
    </cfRule>
  </conditionalFormatting>
  <conditionalFormatting sqref="D61:I63">
    <cfRule type="containsText" dxfId="895" priority="73" operator="containsText" text="Check">
      <formula>NOT(ISERROR(SEARCH("Check",D61)))</formula>
    </cfRule>
    <cfRule type="containsText" dxfId="894" priority="74" operator="containsText" text="Error">
      <formula>NOT(ISERROR(SEARCH("Error",D61)))</formula>
    </cfRule>
  </conditionalFormatting>
  <conditionalFormatting sqref="J61:K63">
    <cfRule type="containsBlanks" dxfId="893" priority="71">
      <formula>LEN(TRIM(J61))=0</formula>
    </cfRule>
    <cfRule type="containsText" dxfId="892" priority="72" operator="containsText" text="✓">
      <formula>NOT(ISERROR(SEARCH("✓",J61)))</formula>
    </cfRule>
  </conditionalFormatting>
  <conditionalFormatting sqref="B58:I58">
    <cfRule type="containsText" dxfId="891" priority="70" operator="containsText" text="▲">
      <formula>NOT(ISERROR(SEARCH("▲",B58)))</formula>
    </cfRule>
  </conditionalFormatting>
  <conditionalFormatting sqref="B56:I56">
    <cfRule type="containsText" dxfId="890" priority="69" operator="containsText" text="⚠">
      <formula>NOT(ISERROR(SEARCH("⚠",B56)))</formula>
    </cfRule>
  </conditionalFormatting>
  <conditionalFormatting sqref="F2:I5">
    <cfRule type="containsText" dxfId="889" priority="2" operator="containsText" text="▲">
      <formula>NOT(ISERROR(SEARCH("▲",F2)))</formula>
    </cfRule>
    <cfRule type="containsText" dxfId="888" priority="68" operator="containsText" text="⚠">
      <formula>NOT(ISERROR(SEARCH("⚠",F2)))</formula>
    </cfRule>
  </conditionalFormatting>
  <conditionalFormatting sqref="H51:I53">
    <cfRule type="cellIs" dxfId="887" priority="107" operator="lessThan">
      <formula>0</formula>
    </cfRule>
  </conditionalFormatting>
  <conditionalFormatting sqref="K16">
    <cfRule type="containsText" dxfId="886" priority="65" operator="containsText" text="⚠">
      <formula>NOT(ISERROR(SEARCH("⚠",K16)))</formula>
    </cfRule>
  </conditionalFormatting>
  <conditionalFormatting sqref="K17">
    <cfRule type="containsText" dxfId="885" priority="64" operator="containsText" text="⚠">
      <formula>NOT(ISERROR(SEARCH("⚠",K17)))</formula>
    </cfRule>
  </conditionalFormatting>
  <conditionalFormatting sqref="K18">
    <cfRule type="containsText" dxfId="884" priority="63" operator="containsText" text="⚠">
      <formula>NOT(ISERROR(SEARCH("⚠",K18)))</formula>
    </cfRule>
  </conditionalFormatting>
  <conditionalFormatting sqref="J16">
    <cfRule type="cellIs" dxfId="883" priority="57" operator="lessThan">
      <formula>0</formula>
    </cfRule>
    <cfRule type="containsText" dxfId="882" priority="59" operator="containsText" text="Check">
      <formula>NOT(ISERROR(SEARCH("Check",J16)))</formula>
    </cfRule>
    <cfRule type="containsText" dxfId="881" priority="62" operator="containsText" text="Error">
      <formula>NOT(ISERROR(SEARCH("Error",J16)))</formula>
    </cfRule>
  </conditionalFormatting>
  <conditionalFormatting sqref="J16">
    <cfRule type="expression" dxfId="880" priority="60">
      <formula>AND($H$8&gt;0,$H$16&lt;0.1)</formula>
    </cfRule>
    <cfRule type="expression" dxfId="879" priority="61">
      <formula>AND($H$8&gt;0,$H$16&gt;=0.1)</formula>
    </cfRule>
  </conditionalFormatting>
  <conditionalFormatting sqref="J17">
    <cfRule type="cellIs" dxfId="878" priority="51" operator="lessThan">
      <formula>0</formula>
    </cfRule>
    <cfRule type="containsText" dxfId="877" priority="53" operator="containsText" text="Check">
      <formula>NOT(ISERROR(SEARCH("Check",J17)))</formula>
    </cfRule>
    <cfRule type="containsText" dxfId="876" priority="56" operator="containsText" text="Error">
      <formula>NOT(ISERROR(SEARCH("Error",J17)))</formula>
    </cfRule>
  </conditionalFormatting>
  <conditionalFormatting sqref="J17">
    <cfRule type="expression" dxfId="875" priority="54">
      <formula>AND($H$8&gt;0,$H$16&lt;0.1)</formula>
    </cfRule>
    <cfRule type="expression" dxfId="874" priority="55">
      <formula>AND($H$8&gt;0,$H$16&gt;=0.1)</formula>
    </cfRule>
  </conditionalFormatting>
  <conditionalFormatting sqref="J18">
    <cfRule type="cellIs" dxfId="873" priority="45" operator="lessThan">
      <formula>0</formula>
    </cfRule>
    <cfRule type="containsText" dxfId="872" priority="47" operator="containsText" text="Check">
      <formula>NOT(ISERROR(SEARCH("Check",J18)))</formula>
    </cfRule>
    <cfRule type="containsText" dxfId="871" priority="50" operator="containsText" text="Error">
      <formula>NOT(ISERROR(SEARCH("Error",J18)))</formula>
    </cfRule>
  </conditionalFormatting>
  <conditionalFormatting sqref="J18">
    <cfRule type="expression" dxfId="870" priority="48">
      <formula>AND($H$8&gt;0,$H$16&lt;0.1)</formula>
    </cfRule>
    <cfRule type="expression" dxfId="869" priority="49">
      <formula>AND($H$8&gt;0,$H$16&gt;=0.1)</formula>
    </cfRule>
  </conditionalFormatting>
  <conditionalFormatting sqref="H16:I18">
    <cfRule type="containsText" dxfId="868" priority="41" operator="containsText" text="Check">
      <formula>NOT(ISERROR(SEARCH("Check",H16)))</formula>
    </cfRule>
    <cfRule type="containsText" dxfId="867" priority="42" operator="containsText" text="Error">
      <formula>NOT(ISERROR(SEARCH("Error",H16)))</formula>
    </cfRule>
  </conditionalFormatting>
  <conditionalFormatting sqref="J28">
    <cfRule type="cellIs" dxfId="866" priority="33" operator="lessThan">
      <formula>0</formula>
    </cfRule>
    <cfRule type="containsText" dxfId="865" priority="35" operator="containsText" text="Check">
      <formula>NOT(ISERROR(SEARCH("Check",J28)))</formula>
    </cfRule>
    <cfRule type="containsText" dxfId="864" priority="38" operator="containsText" text="Error">
      <formula>NOT(ISERROR(SEARCH("Error",J28)))</formula>
    </cfRule>
  </conditionalFormatting>
  <conditionalFormatting sqref="J29">
    <cfRule type="cellIs" dxfId="863" priority="27" operator="lessThan">
      <formula>0</formula>
    </cfRule>
    <cfRule type="containsText" dxfId="862" priority="29" operator="containsText" text="Check">
      <formula>NOT(ISERROR(SEARCH("Check",J29)))</formula>
    </cfRule>
    <cfRule type="containsText" dxfId="861" priority="32" operator="containsText" text="Error">
      <formula>NOT(ISERROR(SEARCH("Error",J29)))</formula>
    </cfRule>
  </conditionalFormatting>
  <conditionalFormatting sqref="J30">
    <cfRule type="cellIs" dxfId="860" priority="21" operator="lessThan">
      <formula>0</formula>
    </cfRule>
    <cfRule type="containsText" dxfId="859" priority="23" operator="containsText" text="Check">
      <formula>NOT(ISERROR(SEARCH("Check",J30)))</formula>
    </cfRule>
    <cfRule type="containsText" dxfId="858" priority="26" operator="containsText" text="Error">
      <formula>NOT(ISERROR(SEARCH("Error",J30)))</formula>
    </cfRule>
  </conditionalFormatting>
  <conditionalFormatting sqref="D36 H36">
    <cfRule type="cellIs" dxfId="857" priority="20" operator="greaterThan">
      <formula>0</formula>
    </cfRule>
  </conditionalFormatting>
  <conditionalFormatting sqref="H37:I37">
    <cfRule type="cellIs" dxfId="856" priority="19" operator="equal">
      <formula>"Error"</formula>
    </cfRule>
  </conditionalFormatting>
  <conditionalFormatting sqref="H37:I39">
    <cfRule type="containsText" dxfId="855" priority="17" operator="containsText" text="Check">
      <formula>NOT(ISERROR(SEARCH("Check",H37)))</formula>
    </cfRule>
    <cfRule type="containsText" dxfId="854" priority="18" operator="containsText" text="Error">
      <formula>NOT(ISERROR(SEARCH("Error",H37)))</formula>
    </cfRule>
  </conditionalFormatting>
  <conditionalFormatting sqref="D35 H35">
    <cfRule type="cellIs" dxfId="853" priority="16" operator="greaterThan">
      <formula>0</formula>
    </cfRule>
  </conditionalFormatting>
  <conditionalFormatting sqref="L36">
    <cfRule type="cellIs" dxfId="852" priority="15" operator="greaterThan">
      <formula>0</formula>
    </cfRule>
  </conditionalFormatting>
  <conditionalFormatting sqref="D40 H40">
    <cfRule type="cellIs" dxfId="851" priority="11" operator="greaterThan">
      <formula>0</formula>
    </cfRule>
  </conditionalFormatting>
  <conditionalFormatting sqref="H41:I41">
    <cfRule type="cellIs" dxfId="850" priority="10" operator="equal">
      <formula>"Error"</formula>
    </cfRule>
  </conditionalFormatting>
  <conditionalFormatting sqref="H41:I43">
    <cfRule type="containsText" dxfId="849" priority="8" operator="containsText" text="Check">
      <formula>NOT(ISERROR(SEARCH("Check",H41)))</formula>
    </cfRule>
    <cfRule type="containsText" dxfId="848" priority="9" operator="containsText" text="Error">
      <formula>NOT(ISERROR(SEARCH("Error",H41)))</formula>
    </cfRule>
  </conditionalFormatting>
  <conditionalFormatting sqref="H20:I22">
    <cfRule type="cellIs" dxfId="847" priority="1" operator="lessThan">
      <formula>0</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8"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66"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16"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1" operator="equal" id="{6EEE2BFC-026C-4DBA-865F-850D56F4BDD9}">
            <xm:f>'G-1 All Habitats'!$X$6</xm:f>
            <x14:dxf>
              <fill>
                <patternFill>
                  <bgColor theme="7" tint="0.79998168889431442"/>
                </patternFill>
              </fill>
            </x14:dxf>
          </x14:cfRule>
          <x14:cfRule type="cellIs" priority="122" operator="equal" id="{B56D98BB-0AE5-4874-9D4E-3C4485D04071}">
            <xm:f>'G-1 All Habitats'!$X$7</xm:f>
            <x14:dxf>
              <fill>
                <patternFill>
                  <bgColor theme="4" tint="0.59996337778862885"/>
                </patternFill>
              </fill>
            </x14:dxf>
          </x14:cfRule>
          <x14:cfRule type="cellIs" priority="123" operator="equal" id="{E7D480FC-A0C4-44B1-A2E7-E2F87CB95EC5}">
            <xm:f>'G-1 All Habitats'!$X$5</xm:f>
            <x14:dxf>
              <fill>
                <patternFill>
                  <bgColor theme="7" tint="0.39994506668294322"/>
                </patternFill>
              </fill>
            </x14:dxf>
          </x14:cfRule>
          <x14:cfRule type="cellIs" priority="124" operator="equal" id="{90383316-2A46-4A3A-98B3-02D63A8114CA}">
            <xm:f>'G-1 All Habitats'!$X$4</xm:f>
            <x14:dxf>
              <fill>
                <patternFill>
                  <bgColor theme="5"/>
                </patternFill>
              </fill>
            </x14:dxf>
          </x14:cfRule>
          <x14:cfRule type="cellIs" priority="125" operator="equal" id="{24E51F1E-FA9B-4668-88E2-BBF17FE60338}">
            <xm:f>'G-1 All Habitats'!$X$3</xm:f>
            <x14:dxf>
              <font>
                <color theme="0"/>
              </font>
              <fill>
                <patternFill>
                  <bgColor rgb="FFC00000"/>
                </patternFill>
              </fill>
            </x14:dxf>
          </x14:cfRule>
          <xm:sqref>K25:K31 K50 K45:K46</xm:sqref>
        </x14:conditionalFormatting>
        <x14:conditionalFormatting xmlns:xm="http://schemas.microsoft.com/office/excel/2006/main">
          <x14:cfRule type="cellIs" priority="3" operator="equal" id="{34391782-A42B-48CB-9ACB-2E92103FAD17}">
            <xm:f>'G-1 All Habitats'!$X$6</xm:f>
            <x14:dxf>
              <fill>
                <patternFill>
                  <bgColor theme="7" tint="0.79998168889431442"/>
                </patternFill>
              </fill>
            </x14:dxf>
          </x14:cfRule>
          <x14:cfRule type="cellIs" priority="4" operator="equal" id="{CAC5EDAA-4B5F-4546-821F-1991FFC39B23}">
            <xm:f>'G-1 All Habitats'!$X$7</xm:f>
            <x14:dxf>
              <fill>
                <patternFill>
                  <bgColor theme="4" tint="0.59996337778862885"/>
                </patternFill>
              </fill>
            </x14:dxf>
          </x14:cfRule>
          <x14:cfRule type="cellIs" priority="5" operator="equal" id="{94843BC6-55B5-4209-A28E-6CCB4242554C}">
            <xm:f>'G-1 All Habitats'!$X$5</xm:f>
            <x14:dxf>
              <fill>
                <patternFill>
                  <bgColor theme="7" tint="0.39994506668294322"/>
                </patternFill>
              </fill>
            </x14:dxf>
          </x14:cfRule>
          <x14:cfRule type="cellIs" priority="6" operator="equal" id="{1148AB86-4D63-46F8-88F7-FE511952A740}">
            <xm:f>'G-1 All Habitats'!$X$4</xm:f>
            <x14:dxf>
              <fill>
                <patternFill>
                  <bgColor theme="5"/>
                </patternFill>
              </fill>
            </x14:dxf>
          </x14:cfRule>
          <x14:cfRule type="cellIs" priority="7"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0" operator="lessThan" id="{AB7A157E-874D-4F69-A2CC-0F1D6336991B}">
            <xm:f>Start!$F$22</xm:f>
            <x14:dxf>
              <font>
                <color rgb="FF383745"/>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D4D4"/>
  </sheetPr>
  <dimension ref="A1:AG215"/>
  <sheetViews>
    <sheetView showRowColHeaders="0" topLeftCell="A17" zoomScale="67" zoomScaleNormal="80" workbookViewId="0">
      <selection activeCell="B41" sqref="B41:H41"/>
    </sheetView>
  </sheetViews>
  <sheetFormatPr defaultColWidth="8.85546875" defaultRowHeight="15"/>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row r="2" spans="2:19" ht="22.15" customHeight="1" thickBot="1">
      <c r="B2" s="1250" t="str">
        <f>IF(Start!$F$12="","",Start!$F$12)</f>
        <v>Barnsley West Commerical</v>
      </c>
      <c r="C2" s="1251"/>
      <c r="D2" s="1252"/>
    </row>
    <row r="3" spans="2:19" ht="19.899999999999999" customHeight="1">
      <c r="B3" s="1257" t="str">
        <f ca="1">MID(CELL("filename",A1),FIND("]",CELL("filename",A1))+1,256)</f>
        <v>Detailed Results</v>
      </c>
      <c r="C3" s="1258"/>
      <c r="D3" s="1259"/>
    </row>
    <row r="4" spans="2:19" ht="21.6" customHeight="1" thickBot="1">
      <c r="B4" s="1260"/>
      <c r="C4" s="1261"/>
      <c r="D4" s="1262"/>
    </row>
    <row r="5" spans="2:19" ht="15.75" customHeight="1"/>
    <row r="6" spans="2:19" ht="25.5" customHeight="1" thickBot="1"/>
    <row r="7" spans="2:19" ht="18.75" customHeight="1">
      <c r="B7" s="1263" t="s">
        <v>95</v>
      </c>
      <c r="C7" s="1264"/>
    </row>
    <row r="8" spans="2:19" ht="20.25" customHeight="1" thickBot="1">
      <c r="B8" s="1265"/>
      <c r="C8" s="1266"/>
    </row>
    <row r="9" spans="2:19" ht="15.75" customHeight="1" thickBot="1">
      <c r="B9" s="619"/>
      <c r="C9" s="619"/>
      <c r="O9" s="620"/>
      <c r="Q9" s="620"/>
      <c r="R9" s="620"/>
    </row>
    <row r="10" spans="2:19" ht="18" customHeight="1">
      <c r="B10" s="1267" t="s">
        <v>96</v>
      </c>
      <c r="C10" s="1268"/>
      <c r="D10" s="1268"/>
      <c r="E10" s="1269"/>
      <c r="F10" s="1278" t="s">
        <v>75</v>
      </c>
      <c r="G10" s="1279"/>
      <c r="H10" s="1276">
        <f>IFERROR('Headline Results'!$H$47:$I$47,"Check Data ⚠")</f>
        <v>24.211490082272675</v>
      </c>
      <c r="I10" s="1277"/>
      <c r="J10" s="621"/>
      <c r="O10" s="620"/>
      <c r="P10" s="620"/>
      <c r="Q10" s="620"/>
      <c r="R10" s="620"/>
      <c r="S10" s="620"/>
    </row>
    <row r="11" spans="2:19" ht="15.75" customHeight="1">
      <c r="B11" s="1270"/>
      <c r="C11" s="1271"/>
      <c r="D11" s="1271"/>
      <c r="E11" s="1272"/>
      <c r="F11" s="1282" t="s">
        <v>76</v>
      </c>
      <c r="G11" s="1289"/>
      <c r="H11" s="1287">
        <f ca="1">IFERROR('Headline Results'!$H$48:$I$48,"Check Data ⚠")</f>
        <v>11.168566810968827</v>
      </c>
      <c r="I11" s="1288"/>
    </row>
    <row r="12" spans="2:19" ht="18.600000000000001" customHeight="1" thickBot="1">
      <c r="B12" s="1273"/>
      <c r="C12" s="1274"/>
      <c r="D12" s="1274"/>
      <c r="E12" s="1275"/>
      <c r="F12" s="1253" t="s">
        <v>77</v>
      </c>
      <c r="G12" s="1254"/>
      <c r="H12" s="1255">
        <f>IFERROR('Headline Results'!$H$49:$I$49,"Check Data ⚠")</f>
        <v>-3.5599743759686246</v>
      </c>
      <c r="I12" s="1256"/>
    </row>
    <row r="13" spans="2:19" ht="15.75" customHeight="1" thickBot="1"/>
    <row r="14" spans="2:19" ht="18.75" customHeight="1">
      <c r="B14" s="1267" t="s">
        <v>97</v>
      </c>
      <c r="C14" s="1268"/>
      <c r="D14" s="1268"/>
      <c r="E14" s="1269"/>
      <c r="F14" s="1278" t="s">
        <v>75</v>
      </c>
      <c r="G14" s="1286"/>
      <c r="H14" s="1284">
        <f>IFERROR('Headline Results'!$H$51:$I$51,"Check Data ⚠")</f>
        <v>0.22331314528416341</v>
      </c>
      <c r="I14" s="1285"/>
    </row>
    <row r="15" spans="2:19" ht="18.75" customHeight="1">
      <c r="B15" s="1270"/>
      <c r="C15" s="1271"/>
      <c r="D15" s="1271"/>
      <c r="E15" s="1272"/>
      <c r="F15" s="1282" t="s">
        <v>76</v>
      </c>
      <c r="G15" s="1283"/>
      <c r="H15" s="1280">
        <f ca="1">IFERROR('Headline Results'!$H$52:$I$52,"Check Data ⚠")</f>
        <v>0.52906447945497059</v>
      </c>
      <c r="I15" s="1281"/>
    </row>
    <row r="16" spans="2:19" ht="18.75" customHeight="1" thickBot="1">
      <c r="B16" s="1273"/>
      <c r="C16" s="1274"/>
      <c r="D16" s="1274"/>
      <c r="E16" s="1275"/>
      <c r="F16" s="1253" t="s">
        <v>77</v>
      </c>
      <c r="G16" s="1292"/>
      <c r="H16" s="1290">
        <f>IFERROR('Headline Results'!$H$53:$I$53,"Check Data ⚠")</f>
        <v>-0.71458886078454809</v>
      </c>
      <c r="I16" s="1291"/>
    </row>
    <row r="17" spans="2:9" ht="18.75" customHeight="1" thickBot="1"/>
    <row r="18" spans="2:9" ht="25.5" customHeight="1">
      <c r="B18" s="1293" t="s">
        <v>98</v>
      </c>
      <c r="C18" s="1293"/>
      <c r="D18" s="1293"/>
      <c r="E18" s="1293"/>
      <c r="F18" s="1293"/>
      <c r="G18" s="1293"/>
      <c r="H18" s="1293"/>
      <c r="I18" s="1293"/>
    </row>
    <row r="19" spans="2:9" ht="22.5" customHeight="1" thickBot="1">
      <c r="B19" s="1294"/>
      <c r="C19" s="1294"/>
      <c r="D19" s="1294"/>
      <c r="E19" s="1294"/>
      <c r="F19" s="1294"/>
      <c r="G19" s="1294"/>
      <c r="H19" s="1294"/>
      <c r="I19" s="1294"/>
    </row>
    <row r="20" spans="2:9" ht="18.75" customHeight="1" thickBot="1">
      <c r="B20" s="1246"/>
      <c r="C20" s="1246"/>
      <c r="D20" s="1249" t="s">
        <v>99</v>
      </c>
      <c r="E20" s="1249"/>
      <c r="F20" s="1249" t="s">
        <v>53</v>
      </c>
      <c r="G20" s="1249"/>
      <c r="H20" s="1249" t="s">
        <v>59</v>
      </c>
      <c r="I20" s="1249"/>
    </row>
    <row r="21" spans="2:9" ht="18.75" customHeight="1">
      <c r="B21" s="1205" t="s">
        <v>100</v>
      </c>
      <c r="C21" s="1206"/>
      <c r="D21" s="1247">
        <f>IF(AND($K$40=0,'A-1 On-Site Habitat Baseline'!Y11:Y258&lt;&gt;"No",'D-1 Off-Site Habitat Baseline'!AB11:AB258&lt;&gt;"No"),'A-1 On-Site Habitat Baseline'!$H259+'D-1 Off-Site Habitat Baseline'!H259,"Error ▲")</f>
        <v>40.575935598519997</v>
      </c>
      <c r="E21" s="1247"/>
      <c r="F21" s="1239">
        <f>'B-1 On-Site Hedge Baseline'!$E$258+'E-1 Off-Site Hedge Baseline'!$E$258</f>
        <v>3.203454453</v>
      </c>
      <c r="G21" s="1239"/>
      <c r="H21" s="1239">
        <f>'C-1 On-Site WaterC'' Baseline'!$E$258+'F-1 Off-Site WaterC'' Baseline'!$E$258</f>
        <v>0.59119039900000003</v>
      </c>
      <c r="I21" s="1240"/>
    </row>
    <row r="22" spans="2:9" ht="18.75" customHeight="1" thickBot="1">
      <c r="B22" s="1207" t="s">
        <v>101</v>
      </c>
      <c r="C22" s="1208"/>
      <c r="D22" s="1248">
        <f>IF(AND($K$40=0,'A-1 On-Site Habitat Baseline'!Y11:Y258&lt;&gt;"No",'D-1 Off-Site Habitat Baseline'!AB11:AB258&lt;&gt;"No"),'A-1 On-Site Habitat Baseline'!$Q259+'D-1 Off-Site Habitat Baseline'!T259,"Error ▲")</f>
        <v>108.41945758035799</v>
      </c>
      <c r="E22" s="1248"/>
      <c r="F22" s="1241">
        <f>'B-1 On-Site Hedge Baseline'!$N$258+'E-1 Off-Site Hedge Baseline'!$Q$258</f>
        <v>21.110029579900001</v>
      </c>
      <c r="G22" s="1241"/>
      <c r="H22" s="1241">
        <f>'C-1 On-Site WaterC'' Baseline'!$R$258+'F-1 Off-Site WaterC'' Baseline'!$U$258</f>
        <v>4.9818498038999994</v>
      </c>
      <c r="I22" s="1242"/>
    </row>
    <row r="23" spans="2:9" ht="18.75" customHeight="1" thickBot="1">
      <c r="D23" s="621"/>
      <c r="F23" s="621"/>
      <c r="H23" s="621"/>
    </row>
    <row r="24" spans="2:9" ht="18.75" customHeight="1">
      <c r="B24" s="1205" t="s">
        <v>102</v>
      </c>
      <c r="C24" s="1206"/>
      <c r="D24" s="1247">
        <f>IF(AND($K$40=0,'A-1 On-Site Habitat Baseline'!Y11:Y258&lt;&gt;"No",'D-1 Off-Site Habitat Baseline'!AB11:AB258&lt;&gt;"No"),'A-1 On-Site Habitat Baseline'!$S259+'D-1 Off-Site Habitat Baseline'!V259,"Error ▲")</f>
        <v>0.63488396625999999</v>
      </c>
      <c r="E24" s="1247"/>
      <c r="F24" s="1239">
        <f>'B-1 On-Site Hedge Baseline'!$P$258+'E-1 Off-Site Hedge Baseline'!$S$258</f>
        <v>0</v>
      </c>
      <c r="G24" s="1239"/>
      <c r="H24" s="1239">
        <f>'C-1 On-Site WaterC'' Baseline'!T258+'F-1 Off-Site WaterC'' Baseline'!W258</f>
        <v>8.2427561039500011E-2</v>
      </c>
      <c r="I24" s="1240"/>
    </row>
    <row r="25" spans="2:9" ht="18.75" customHeight="1" thickBot="1">
      <c r="B25" s="1207" t="s">
        <v>103</v>
      </c>
      <c r="C25" s="1208"/>
      <c r="D25" s="1248">
        <f>IF(AND($K$40=0,'A-1 On-Site Habitat Baseline'!Y11:Y258&lt;&gt;"No",'D-1 Off-Site Habitat Baseline'!AB11:AB258&lt;&gt;"No"),'A-1 On-Site Habitat Baseline'!$U259+'D-1 Off-Site Habitat Baseline'!X259,"Error ▲")</f>
        <v>8.4861787343880017</v>
      </c>
      <c r="E25" s="1248"/>
      <c r="F25" s="1241">
        <f>'B-1 On-Site Hedge Baseline'!R258+'E-1 Off-Site Hedge Baseline'!U258</f>
        <v>0</v>
      </c>
      <c r="G25" s="1241"/>
      <c r="H25" s="1241">
        <f>'C-1 On-Site WaterC'' Baseline'!V258+'F-1 Off-Site WaterC'' Baseline'!Y258</f>
        <v>1.421875427931375</v>
      </c>
      <c r="I25" s="1242"/>
    </row>
    <row r="26" spans="2:9" ht="18.75" customHeight="1" thickBot="1">
      <c r="D26" s="621"/>
      <c r="F26" s="621"/>
      <c r="H26" s="621"/>
    </row>
    <row r="27" spans="2:9" ht="18.75" customHeight="1">
      <c r="B27" s="1205" t="s">
        <v>104</v>
      </c>
      <c r="C27" s="1206"/>
      <c r="D27" s="1247">
        <f>IF(AND($K$40=0,'A-1 On-Site Habitat Baseline'!Y11:Y258&lt;&gt;"No",'D-1 Off-Site Habitat Baseline'!AB11:AB258&lt;&gt;"No"),'A-1 On-Site Habitat Baseline'!$T259+'D-1 Off-Site Habitat Baseline'!W259,"Error ▲")</f>
        <v>0</v>
      </c>
      <c r="E27" s="1247"/>
      <c r="F27" s="1239">
        <f>'B-1 On-Site Hedge Baseline'!$Q$258+'E-1 Off-Site Hedge Baseline'!$T$258</f>
        <v>0.20192009599999999</v>
      </c>
      <c r="G27" s="1239"/>
      <c r="H27" s="1239">
        <f>'C-1 On-Site WaterC'' Baseline'!U258+'F-1 Off-Site WaterC'' Baseline'!X258</f>
        <v>0</v>
      </c>
      <c r="I27" s="1240"/>
    </row>
    <row r="28" spans="2:9" ht="18.75" customHeight="1" thickBot="1">
      <c r="B28" s="1207" t="s">
        <v>105</v>
      </c>
      <c r="C28" s="1208"/>
      <c r="D28" s="1248">
        <f>IF(AND($K$40=0,'A-1 On-Site Habitat Baseline'!Y11:Y258&lt;&gt;"No",'D-1 Off-Site Habitat Baseline'!AB11:AB258&lt;&gt;"No"),'A-1 On-Site Habitat Baseline'!$V259+'D-1 Off-Site Habitat Baseline'!Y259,"Error ▲")</f>
        <v>0</v>
      </c>
      <c r="E28" s="1248"/>
      <c r="F28" s="1241">
        <f>'B-1 On-Site Hedge Baseline'!$S$258+'E-1 Off-Site Hedge Baseline'!$V$258</f>
        <v>0.92883244159999989</v>
      </c>
      <c r="G28" s="1241"/>
      <c r="H28" s="1241">
        <f>'C-1 On-Site WaterC'' Baseline'!W258+'F-1 Off-Site WaterC'' Baseline'!Z258</f>
        <v>0</v>
      </c>
      <c r="I28" s="1242"/>
    </row>
    <row r="29" spans="2:9" ht="18.75" customHeight="1" thickBot="1">
      <c r="D29" s="621"/>
      <c r="F29" s="621"/>
      <c r="H29" s="621"/>
    </row>
    <row r="30" spans="2:9" ht="18.75" customHeight="1">
      <c r="B30" s="1205" t="s">
        <v>106</v>
      </c>
      <c r="C30" s="1206"/>
      <c r="D30" s="1247">
        <f>IF(AND($K$40=0,'A-1 On-Site Habitat Baseline'!Y11:Y258&lt;&gt;"No",'D-1 Off-Site Habitat Baseline'!AB11:AB258&lt;&gt;"No"),'A-1 On-Site Habitat Baseline'!$W259+'D-1 Off-Site Habitat Baseline'!Z259,"Error ▲")</f>
        <v>39.941051632259999</v>
      </c>
      <c r="E30" s="1247"/>
      <c r="F30" s="1239">
        <f>'B-1 On-Site Hedge Baseline'!$T$258+'E-1 Off-Site Hedge Baseline'!$W$258</f>
        <v>3.0015343569999997</v>
      </c>
      <c r="G30" s="1239"/>
      <c r="H30" s="1239">
        <f>'C-1 On-Site WaterC'' Baseline'!X258+'F-1 Off-Site WaterC'' Baseline'!AA258</f>
        <v>0.50876283796049993</v>
      </c>
      <c r="I30" s="1240"/>
    </row>
    <row r="31" spans="2:9" ht="18.75" customHeight="1" thickBot="1">
      <c r="B31" s="1207" t="s">
        <v>107</v>
      </c>
      <c r="C31" s="1208"/>
      <c r="D31" s="1248">
        <f>IF(AND($K$40=0,'A-1 On-Site Habitat Baseline'!Y11:Y258&lt;&gt;"No",'D-1 Off-Site Habitat Baseline'!AB11:AB258&lt;&gt;"No"),'A-1 On-Site Habitat Baseline'!$X259+'D-1 Off-Site Habitat Baseline'!AA259,"Error ▲")</f>
        <v>99.933278845969994</v>
      </c>
      <c r="E31" s="1248"/>
      <c r="F31" s="1241">
        <f>'B-1 On-Site Hedge Baseline'!$U$258+'E-1 Off-Site Hedge Baseline'!$X$258</f>
        <v>20.1811971383</v>
      </c>
      <c r="G31" s="1241"/>
      <c r="H31" s="1241">
        <f>'C-1 On-Site WaterC'' Baseline'!Y258+'F-1 Off-Site WaterC'' Baseline'!AB258</f>
        <v>3.5599743759686246</v>
      </c>
      <c r="I31" s="1242"/>
    </row>
    <row r="32" spans="2:9" ht="25.9" customHeight="1" thickBot="1">
      <c r="C32" s="621"/>
      <c r="D32" s="621"/>
      <c r="E32" s="621"/>
    </row>
    <row r="33" spans="1:22" s="622" customFormat="1" ht="43.9" customHeight="1" thickTop="1" thickBot="1">
      <c r="A33" s="1209" t="s">
        <v>108</v>
      </c>
      <c r="C33" s="623"/>
      <c r="D33" s="623"/>
      <c r="E33" s="623"/>
    </row>
    <row r="34" spans="1:22" ht="26.25" thickBot="1">
      <c r="A34" s="1210"/>
      <c r="B34" s="624" t="s">
        <v>45</v>
      </c>
    </row>
    <row r="35" spans="1:22" ht="18.75" customHeight="1" thickBot="1">
      <c r="A35" s="1210"/>
    </row>
    <row r="36" spans="1:22" ht="22.15" customHeight="1" thickBot="1">
      <c r="A36" s="1210"/>
      <c r="B36" s="1221" t="s">
        <v>109</v>
      </c>
      <c r="C36" s="1221"/>
      <c r="D36" s="1221"/>
      <c r="E36" s="1221"/>
      <c r="F36" s="1221"/>
      <c r="G36" s="1221"/>
      <c r="H36" s="1221"/>
      <c r="J36" s="1227" t="s">
        <v>110</v>
      </c>
      <c r="K36" s="1228"/>
      <c r="L36" s="1229"/>
    </row>
    <row r="37" spans="1:22" ht="34.15" customHeight="1" thickBot="1">
      <c r="A37" s="1210"/>
      <c r="B37" s="625"/>
      <c r="C37" s="1204" t="s">
        <v>111</v>
      </c>
      <c r="D37" s="1204"/>
      <c r="E37" s="1204" t="s">
        <v>112</v>
      </c>
      <c r="F37" s="1204"/>
      <c r="G37" s="1204" t="s">
        <v>113</v>
      </c>
      <c r="H37" s="1204"/>
      <c r="J37" s="1230"/>
      <c r="K37" s="1231"/>
      <c r="L37" s="1232"/>
      <c r="U37" s="1295"/>
      <c r="V37" s="1295"/>
    </row>
    <row r="38" spans="1:22" ht="52.9" customHeight="1" thickBot="1">
      <c r="A38" s="1210"/>
      <c r="B38" s="635" t="s">
        <v>114</v>
      </c>
      <c r="C38" s="636" t="s">
        <v>115</v>
      </c>
      <c r="D38" s="636" t="s">
        <v>116</v>
      </c>
      <c r="E38" s="636" t="s">
        <v>117</v>
      </c>
      <c r="F38" s="636" t="s">
        <v>118</v>
      </c>
      <c r="G38" s="636" t="s">
        <v>119</v>
      </c>
      <c r="H38" s="636" t="s">
        <v>120</v>
      </c>
      <c r="J38" s="1233" t="s">
        <v>121</v>
      </c>
      <c r="K38" s="1235" t="s">
        <v>122</v>
      </c>
      <c r="L38" s="1237" t="s">
        <v>123</v>
      </c>
      <c r="U38" s="1295"/>
      <c r="V38" s="1295"/>
    </row>
    <row r="39" spans="1:22" ht="15.75">
      <c r="A39" s="1210"/>
      <c r="B39" s="637" t="s">
        <v>124</v>
      </c>
      <c r="C39" s="638">
        <f>'G-2 Habitat groups'!$AK$4</f>
        <v>5.1315762194100003</v>
      </c>
      <c r="D39" s="638">
        <f>'G-2 Habitat groups'!$AL$4</f>
        <v>10.263152438820001</v>
      </c>
      <c r="E39" s="638">
        <f>'G-2 Habitat groups'!$AM$4</f>
        <v>0</v>
      </c>
      <c r="F39" s="638">
        <f>'G-2 Habitat groups'!$AN$4</f>
        <v>0</v>
      </c>
      <c r="G39" s="638">
        <f>E39-C39</f>
        <v>-5.1315762194100003</v>
      </c>
      <c r="H39" s="639">
        <f>F39-D39</f>
        <v>-10.263152438820001</v>
      </c>
      <c r="J39" s="1234"/>
      <c r="K39" s="1236"/>
      <c r="L39" s="1238"/>
    </row>
    <row r="40" spans="1:22" ht="15.75">
      <c r="A40" s="1210"/>
      <c r="B40" s="640" t="s">
        <v>125</v>
      </c>
      <c r="C40" s="628">
        <f>'G-2 Habitat groups'!$AK$5</f>
        <v>31.392354072550006</v>
      </c>
      <c r="D40" s="628">
        <f>'G-2 Habitat groups'!$AL$5</f>
        <v>72.293248431614003</v>
      </c>
      <c r="E40" s="628">
        <f>'G-2 Habitat groups'!$AM$5</f>
        <v>5.2908018892399999</v>
      </c>
      <c r="F40" s="628">
        <f>'G-2 Habitat groups'!$AN$5</f>
        <v>36.603939937565819</v>
      </c>
      <c r="G40" s="628">
        <f t="shared" ref="G40:G50" si="0">E40-C40</f>
        <v>-26.101552183310005</v>
      </c>
      <c r="H40" s="629">
        <f t="shared" ref="H40:H50" si="1">F40-D40</f>
        <v>-35.689308494048184</v>
      </c>
      <c r="J40" s="1217" t="str">
        <f>'G-1 All Habitats'!$V$3</f>
        <v>V.High</v>
      </c>
      <c r="K40" s="1219">
        <f>SUMIF('A-1 On-Site Habitat Baseline'!$I$11:$I$258,'Detailed Results'!J40,'A-1 On-Site Habitat Baseline'!$W$11:$W$258)+SUMIF('D-1 Off-Site Habitat Baseline'!$I$11:$I$258,'Detailed Results'!J40,'D-1 Off-Site Habitat Baseline'!$Z$11:$Z$258)</f>
        <v>0</v>
      </c>
      <c r="L40" s="1224" t="str">
        <f>IF(K40=0,"",(K40/(SUM($K$40:$K$49)))*100)</f>
        <v/>
      </c>
    </row>
    <row r="41" spans="1:22" ht="15.75">
      <c r="A41" s="1210"/>
      <c r="B41" s="640" t="s">
        <v>126</v>
      </c>
      <c r="C41" s="628">
        <f>'G-2 Habitat groups'!$AK$6</f>
        <v>0.10080275859</v>
      </c>
      <c r="D41" s="628">
        <f>'G-2 Habitat groups'!$AL$6</f>
        <v>0.92738537902799989</v>
      </c>
      <c r="E41" s="628">
        <f>'G-2 Habitat groups'!$AM$6</f>
        <v>1.1683930548700001</v>
      </c>
      <c r="F41" s="628">
        <f>'G-2 Habitat groups'!$AN$6</f>
        <v>8.0834229100333843</v>
      </c>
      <c r="G41" s="628">
        <f t="shared" si="0"/>
        <v>1.0675902962800001</v>
      </c>
      <c r="H41" s="629">
        <f t="shared" si="1"/>
        <v>7.1560375310053841</v>
      </c>
      <c r="J41" s="1218"/>
      <c r="K41" s="1220"/>
      <c r="L41" s="1225"/>
    </row>
    <row r="42" spans="1:22" ht="15.75">
      <c r="A42" s="1210"/>
      <c r="B42" s="640" t="s">
        <v>127</v>
      </c>
      <c r="C42" s="628">
        <f>'G-2 Habitat groups'!$AK$7</f>
        <v>0.21312217813999998</v>
      </c>
      <c r="D42" s="628">
        <f>'G-2 Habitat groups'!$AL$7</f>
        <v>2.9410860583319995</v>
      </c>
      <c r="E42" s="628">
        <f>'G-2 Habitat groups'!$AM$7</f>
        <v>0</v>
      </c>
      <c r="F42" s="628">
        <f>'G-2 Habitat groups'!$AN$7</f>
        <v>0</v>
      </c>
      <c r="G42" s="628">
        <f t="shared" si="0"/>
        <v>-0.21312217813999998</v>
      </c>
      <c r="H42" s="629">
        <f t="shared" si="1"/>
        <v>-2.9410860583319995</v>
      </c>
      <c r="J42" s="1217" t="str">
        <f>'G-1 All Habitats'!$V$4</f>
        <v>High</v>
      </c>
      <c r="K42" s="1219">
        <f>SUMIF('A-1 On-Site Habitat Baseline'!$I$11:$I$258,'Detailed Results'!J42,'A-1 On-Site Habitat Baseline'!$W$11:$W$258)+SUMIF('D-1 Off-Site Habitat Baseline'!$I$11:$I$258,'Detailed Results'!J42,'D-1 Off-Site Habitat Baseline'!$Z$11:$Z$258)</f>
        <v>0.21312217813999998</v>
      </c>
      <c r="L42" s="1224">
        <f>IF(K42=0,"",(K42/(SUM($K$40:$K$49)))*100)</f>
        <v>0.53359180449786481</v>
      </c>
    </row>
    <row r="43" spans="1:22" ht="15.75">
      <c r="A43" s="1210"/>
      <c r="B43" s="640" t="s">
        <v>128</v>
      </c>
      <c r="C43" s="628">
        <f>'G-2 Habitat groups'!$AK$8</f>
        <v>2.5625132943</v>
      </c>
      <c r="D43" s="628">
        <f>'G-2 Habitat groups'!$AL$8</f>
        <v>13.508406538176001</v>
      </c>
      <c r="E43" s="628">
        <f>'G-2 Habitat groups'!$AM$8</f>
        <v>0</v>
      </c>
      <c r="F43" s="628">
        <f>'G-2 Habitat groups'!$AN$8</f>
        <v>0</v>
      </c>
      <c r="G43" s="628">
        <f t="shared" si="0"/>
        <v>-2.5625132943</v>
      </c>
      <c r="H43" s="629">
        <f t="shared" si="1"/>
        <v>-13.508406538176001</v>
      </c>
      <c r="J43" s="1218"/>
      <c r="K43" s="1220"/>
      <c r="L43" s="1225"/>
    </row>
    <row r="44" spans="1:22" ht="15.75">
      <c r="A44" s="1210"/>
      <c r="B44" s="640" t="s">
        <v>129</v>
      </c>
      <c r="C44" s="628">
        <f>'G-2 Habitat groups'!$AK$9</f>
        <v>0.54068310926999996</v>
      </c>
      <c r="D44" s="628">
        <f>'G-2 Habitat groups'!$AL$9</f>
        <v>0</v>
      </c>
      <c r="E44" s="628">
        <f>'G-2 Habitat groups'!$AM$9</f>
        <v>28.344977931869995</v>
      </c>
      <c r="F44" s="628">
        <f>'G-2 Habitat groups'!$AN$9</f>
        <v>6.5148346363747196</v>
      </c>
      <c r="G44" s="628">
        <f t="shared" si="0"/>
        <v>27.804294822599996</v>
      </c>
      <c r="H44" s="629">
        <f t="shared" si="1"/>
        <v>6.5148346363747196</v>
      </c>
      <c r="J44" s="1217" t="str">
        <f>'G-1 All Habitats'!$V5</f>
        <v>Medium</v>
      </c>
      <c r="K44" s="1219">
        <f>SUMIF('A-1 On-Site Habitat Baseline'!$I$11:$I$258,'Detailed Results'!J44,'A-1 On-Site Habitat Baseline'!$W$11:$W$258)+SUMIF('D-1 Off-Site Habitat Baseline'!$I$11:$I$258,'Detailed Results'!J44,'D-1 Off-Site Habitat Baseline'!$Z$11:$Z$258)</f>
        <v>0.1139671158</v>
      </c>
      <c r="L44" s="1224">
        <f>IF(K44=0,"",(K44/(SUM($K$40:$K$49)))*100)</f>
        <v>0.28533829516884801</v>
      </c>
    </row>
    <row r="45" spans="1:22" ht="15.75">
      <c r="A45" s="1210"/>
      <c r="B45" s="640" t="s">
        <v>130</v>
      </c>
      <c r="C45" s="628">
        <f>'G-2 Habitat groups'!$AK$10</f>
        <v>0</v>
      </c>
      <c r="D45" s="628">
        <f>'G-2 Habitat groups'!$AL$10</f>
        <v>0</v>
      </c>
      <c r="E45" s="628">
        <f>'G-2 Habitat groups'!$AM$10</f>
        <v>0</v>
      </c>
      <c r="F45" s="628">
        <f>'G-2 Habitat groups'!$AN$10</f>
        <v>0</v>
      </c>
      <c r="G45" s="628">
        <f t="shared" si="0"/>
        <v>0</v>
      </c>
      <c r="H45" s="629">
        <f t="shared" si="1"/>
        <v>0</v>
      </c>
      <c r="J45" s="1218"/>
      <c r="K45" s="1220"/>
      <c r="L45" s="1225"/>
    </row>
    <row r="46" spans="1:22" ht="15.75">
      <c r="A46" s="1210"/>
      <c r="B46" s="640" t="s">
        <v>131</v>
      </c>
      <c r="C46" s="628">
        <f>'G-2 Habitat groups'!$AK$11</f>
        <v>0.17618396625999999</v>
      </c>
      <c r="D46" s="628">
        <f>'G-2 Habitat groups'!$AL$11</f>
        <v>2.4313387343879995</v>
      </c>
      <c r="E46" s="628">
        <f>'G-2 Habitat groups'!$AM$11</f>
        <v>5.3134616154899996</v>
      </c>
      <c r="F46" s="628">
        <f>'G-2 Habitat groups'!$AN$11</f>
        <v>16.888723431424467</v>
      </c>
      <c r="G46" s="628">
        <f t="shared" si="0"/>
        <v>5.1372776492299996</v>
      </c>
      <c r="H46" s="629">
        <f t="shared" si="1"/>
        <v>14.457384697036467</v>
      </c>
      <c r="J46" s="1217" t="str">
        <f>'G-1 All Habitats'!$V$6</f>
        <v>Low</v>
      </c>
      <c r="K46" s="1219">
        <f>SUMIF('A-1 On-Site Habitat Baseline'!$I$11:$I$258,'Detailed Results'!J46,'A-1 On-Site Habitat Baseline'!$W$11:$W$258)+SUMIF('D-1 Off-Site Habitat Baseline'!$I$11:$I$258,'Detailed Results'!J46,'D-1 Off-Site Habitat Baseline'!$Z$11:$Z$258)</f>
        <v>39.073279229049994</v>
      </c>
      <c r="L46" s="1224">
        <f>IF(K46=0,"",(K46/(SUM($K$40:$K$49)))*100)</f>
        <v>97.827367162988992</v>
      </c>
    </row>
    <row r="47" spans="1:22" ht="15.75">
      <c r="A47" s="1210"/>
      <c r="B47" s="641" t="s">
        <v>132</v>
      </c>
      <c r="C47" s="628">
        <f>'G-2 Habitat groups'!$AK$12</f>
        <v>0</v>
      </c>
      <c r="D47" s="628">
        <f>'G-2 Habitat groups'!$AL$12</f>
        <v>0</v>
      </c>
      <c r="E47" s="628">
        <f>'G-2 Habitat groups'!$AM$12</f>
        <v>0</v>
      </c>
      <c r="F47" s="628">
        <f>'G-2 Habitat groups'!$AN$12</f>
        <v>0</v>
      </c>
      <c r="G47" s="628">
        <f t="shared" si="0"/>
        <v>0</v>
      </c>
      <c r="H47" s="629">
        <f t="shared" si="1"/>
        <v>0</v>
      </c>
      <c r="J47" s="1218"/>
      <c r="K47" s="1220"/>
      <c r="L47" s="1225"/>
    </row>
    <row r="48" spans="1:22" ht="15.75">
      <c r="A48" s="1210"/>
      <c r="B48" s="641" t="s">
        <v>133</v>
      </c>
      <c r="C48" s="628">
        <f>'G-2 Habitat groups'!$AK$13</f>
        <v>0</v>
      </c>
      <c r="D48" s="628">
        <f>'G-2 Habitat groups'!$AL$13</f>
        <v>0</v>
      </c>
      <c r="E48" s="628">
        <f>'G-2 Habitat groups'!$AM$13</f>
        <v>0</v>
      </c>
      <c r="F48" s="628">
        <f>'G-2 Habitat groups'!$AN$13</f>
        <v>0</v>
      </c>
      <c r="G48" s="628">
        <f t="shared" si="0"/>
        <v>0</v>
      </c>
      <c r="H48" s="629">
        <f t="shared" si="1"/>
        <v>0</v>
      </c>
      <c r="J48" s="1217" t="str">
        <f>'G-1 All Habitats'!$V$7</f>
        <v>V.Low</v>
      </c>
      <c r="K48" s="1219">
        <f>SUMIF('A-1 On-Site Habitat Baseline'!$I$11:$I$258,'Detailed Results'!J48,'A-1 On-Site Habitat Baseline'!$W$11:$W$258)+SUMIF('D-1 Off-Site Habitat Baseline'!$I$11:$I$258,'Detailed Results'!J48,'D-1 Off-Site Habitat Baseline'!$Z$11:$Z$258)</f>
        <v>0.54068310926999996</v>
      </c>
      <c r="L48" s="1224">
        <f>IF(K48=0,"",(K48/(SUM($K$40:$K$49)))*100)</f>
        <v>1.3537027373442905</v>
      </c>
    </row>
    <row r="49" spans="1:33" ht="16.5" thickBot="1">
      <c r="A49" s="1210"/>
      <c r="B49" s="641" t="s">
        <v>134</v>
      </c>
      <c r="C49" s="628">
        <f>'G-2 Habitat groups'!$AK$14</f>
        <v>0</v>
      </c>
      <c r="D49" s="628">
        <f>'G-2 Habitat groups'!$AL$14</f>
        <v>0</v>
      </c>
      <c r="E49" s="628">
        <f>'G-2 Habitat groups'!$AM$14</f>
        <v>0</v>
      </c>
      <c r="F49" s="628">
        <f>'G-2 Habitat groups'!$AN$14</f>
        <v>0</v>
      </c>
      <c r="G49" s="628">
        <f t="shared" si="0"/>
        <v>0</v>
      </c>
      <c r="H49" s="629">
        <f t="shared" si="1"/>
        <v>0</v>
      </c>
      <c r="J49" s="1222"/>
      <c r="K49" s="1223"/>
      <c r="L49" s="1226"/>
    </row>
    <row r="50" spans="1:33" ht="15.75">
      <c r="A50" s="1210"/>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c r="A51" s="1210"/>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10"/>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10"/>
      <c r="B53" s="653" t="s">
        <v>138</v>
      </c>
      <c r="C53" s="630">
        <f>'G-2 Habitat groups'!$AK$17</f>
        <v>0.4587</v>
      </c>
      <c r="D53" s="630">
        <f>'G-2 Habitat groups'!$AL$17</f>
        <v>6.0548400000000013</v>
      </c>
      <c r="E53" s="630">
        <f>'G-2 Habitat groups'!$AM$17</f>
        <v>19.811500000000002</v>
      </c>
      <c r="F53" s="630">
        <f>'G-2 Habitat groups'!$AN$17</f>
        <v>64.540026747232261</v>
      </c>
      <c r="G53" s="630">
        <f t="shared" si="2"/>
        <v>19.352800000000002</v>
      </c>
      <c r="H53" s="631">
        <f t="shared" si="2"/>
        <v>58.485186747232262</v>
      </c>
    </row>
    <row r="54" spans="1:33" ht="15.75" customHeight="1">
      <c r="A54" s="1210"/>
    </row>
    <row r="55" spans="1:33" ht="10.15" customHeight="1" thickBot="1">
      <c r="A55" s="1210"/>
    </row>
    <row r="56" spans="1:33" ht="22.9" customHeight="1" thickBot="1">
      <c r="A56" s="1210"/>
      <c r="B56" s="1221" t="s">
        <v>139</v>
      </c>
      <c r="C56" s="1221"/>
      <c r="D56" s="1221"/>
      <c r="E56" s="1221"/>
      <c r="F56" s="1221"/>
      <c r="G56" s="1221"/>
      <c r="H56" s="1221"/>
      <c r="I56" s="632"/>
      <c r="J56" s="632"/>
      <c r="K56" s="632"/>
      <c r="L56" s="632"/>
      <c r="M56" s="632"/>
    </row>
    <row r="57" spans="1:33" s="634" customFormat="1" ht="38.25" customHeight="1" thickBot="1">
      <c r="A57" s="1210"/>
      <c r="B57" s="625"/>
      <c r="C57" s="1204" t="s">
        <v>111</v>
      </c>
      <c r="D57" s="1204"/>
      <c r="E57" s="1204" t="s">
        <v>140</v>
      </c>
      <c r="F57" s="1204"/>
      <c r="G57" s="1204" t="s">
        <v>141</v>
      </c>
      <c r="H57" s="1204"/>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10"/>
      <c r="B58" s="635" t="s">
        <v>114</v>
      </c>
      <c r="C58" s="636" t="s">
        <v>142</v>
      </c>
      <c r="D58" s="636" t="s">
        <v>143</v>
      </c>
      <c r="E58" s="636" t="s">
        <v>144</v>
      </c>
      <c r="F58" s="636" t="s">
        <v>145</v>
      </c>
      <c r="G58" s="636" t="s">
        <v>146</v>
      </c>
      <c r="H58" s="636" t="s">
        <v>147</v>
      </c>
      <c r="I58" s="633"/>
      <c r="J58" s="633"/>
    </row>
    <row r="59" spans="1:33" ht="15.75">
      <c r="A59" s="1210"/>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10"/>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10"/>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10"/>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10"/>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10"/>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10"/>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10"/>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10"/>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10"/>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10"/>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10"/>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10"/>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10"/>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10"/>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10"/>
      <c r="B74" s="633"/>
      <c r="C74" s="633"/>
      <c r="D74" s="633"/>
      <c r="E74" s="633"/>
      <c r="F74" s="633"/>
      <c r="G74" s="633"/>
      <c r="H74" s="633"/>
      <c r="I74" s="633"/>
      <c r="J74" s="633"/>
    </row>
    <row r="75" spans="1:10" ht="19.5" thickBot="1">
      <c r="A75" s="1210"/>
      <c r="B75" s="1221" t="s">
        <v>148</v>
      </c>
      <c r="C75" s="1221"/>
      <c r="D75" s="1221"/>
      <c r="E75" s="1221"/>
      <c r="F75" s="1221"/>
      <c r="G75" s="1221"/>
      <c r="H75" s="1221"/>
      <c r="I75" s="633"/>
      <c r="J75" s="633"/>
    </row>
    <row r="76" spans="1:10" ht="33.6" customHeight="1" thickBot="1">
      <c r="A76" s="1210"/>
      <c r="B76" s="625"/>
      <c r="C76" s="1204" t="s">
        <v>111</v>
      </c>
      <c r="D76" s="1204"/>
      <c r="E76" s="1204" t="s">
        <v>149</v>
      </c>
      <c r="F76" s="1204"/>
      <c r="G76" s="1204" t="s">
        <v>150</v>
      </c>
      <c r="H76" s="1204"/>
      <c r="I76" s="633"/>
      <c r="J76" s="633"/>
    </row>
    <row r="77" spans="1:10" ht="45.6" customHeight="1" thickBot="1">
      <c r="A77" s="1210"/>
      <c r="B77" s="635" t="s">
        <v>114</v>
      </c>
      <c r="C77" s="636" t="s">
        <v>151</v>
      </c>
      <c r="D77" s="636" t="s">
        <v>152</v>
      </c>
      <c r="E77" s="636" t="s">
        <v>153</v>
      </c>
      <c r="F77" s="636" t="s">
        <v>154</v>
      </c>
      <c r="G77" s="636" t="s">
        <v>155</v>
      </c>
      <c r="H77" s="636" t="s">
        <v>156</v>
      </c>
      <c r="I77" s="633"/>
      <c r="J77" s="633"/>
    </row>
    <row r="78" spans="1:10" ht="15.75" customHeight="1">
      <c r="A78" s="1210"/>
      <c r="B78" s="637" t="s">
        <v>124</v>
      </c>
      <c r="C78" s="638">
        <f t="shared" ref="C78:H91" si="6">C39+C59</f>
        <v>5.1315762194100003</v>
      </c>
      <c r="D78" s="638">
        <f t="shared" si="6"/>
        <v>10.263152438820001</v>
      </c>
      <c r="E78" s="638">
        <f t="shared" si="6"/>
        <v>0</v>
      </c>
      <c r="F78" s="638">
        <f t="shared" si="6"/>
        <v>0</v>
      </c>
      <c r="G78" s="638">
        <f t="shared" si="6"/>
        <v>-5.1315762194100003</v>
      </c>
      <c r="H78" s="639">
        <f t="shared" si="6"/>
        <v>-10.263152438820001</v>
      </c>
      <c r="I78" s="633"/>
      <c r="J78" s="633"/>
    </row>
    <row r="79" spans="1:10" ht="15.75" customHeight="1">
      <c r="A79" s="1210"/>
      <c r="B79" s="640" t="s">
        <v>125</v>
      </c>
      <c r="C79" s="628">
        <f t="shared" si="6"/>
        <v>31.392354072550006</v>
      </c>
      <c r="D79" s="628">
        <f t="shared" si="6"/>
        <v>72.293248431614003</v>
      </c>
      <c r="E79" s="628">
        <f t="shared" si="6"/>
        <v>5.2908018892399999</v>
      </c>
      <c r="F79" s="628">
        <f t="shared" si="6"/>
        <v>36.603939937565819</v>
      </c>
      <c r="G79" s="628">
        <f t="shared" si="6"/>
        <v>-26.101552183310005</v>
      </c>
      <c r="H79" s="629">
        <f t="shared" si="6"/>
        <v>-35.689308494048184</v>
      </c>
      <c r="I79" s="633"/>
      <c r="J79" s="633"/>
    </row>
    <row r="80" spans="1:10" ht="15.75" customHeight="1">
      <c r="A80" s="1210"/>
      <c r="B80" s="640" t="s">
        <v>126</v>
      </c>
      <c r="C80" s="628">
        <f t="shared" si="6"/>
        <v>0.10080275859</v>
      </c>
      <c r="D80" s="628">
        <f t="shared" si="6"/>
        <v>0.92738537902799989</v>
      </c>
      <c r="E80" s="628">
        <f t="shared" si="6"/>
        <v>1.1683930548700001</v>
      </c>
      <c r="F80" s="628">
        <f t="shared" si="6"/>
        <v>8.0834229100333843</v>
      </c>
      <c r="G80" s="628">
        <f t="shared" si="6"/>
        <v>1.0675902962800001</v>
      </c>
      <c r="H80" s="629">
        <f t="shared" si="6"/>
        <v>7.1560375310053841</v>
      </c>
      <c r="I80" s="633"/>
      <c r="J80" s="633"/>
    </row>
    <row r="81" spans="1:10" ht="15.75" customHeight="1">
      <c r="A81" s="1210"/>
      <c r="B81" s="640" t="s">
        <v>127</v>
      </c>
      <c r="C81" s="628">
        <f t="shared" si="6"/>
        <v>0.21312217813999998</v>
      </c>
      <c r="D81" s="628">
        <f t="shared" si="6"/>
        <v>2.9410860583319995</v>
      </c>
      <c r="E81" s="628">
        <f t="shared" si="6"/>
        <v>0</v>
      </c>
      <c r="F81" s="628">
        <f t="shared" si="6"/>
        <v>0</v>
      </c>
      <c r="G81" s="628">
        <f t="shared" si="6"/>
        <v>-0.21312217813999998</v>
      </c>
      <c r="H81" s="629">
        <f t="shared" si="6"/>
        <v>-2.9410860583319995</v>
      </c>
      <c r="I81" s="633"/>
      <c r="J81" s="633"/>
    </row>
    <row r="82" spans="1:10" ht="15.75" customHeight="1">
      <c r="A82" s="1210"/>
      <c r="B82" s="640" t="s">
        <v>128</v>
      </c>
      <c r="C82" s="628">
        <f t="shared" si="6"/>
        <v>2.5625132943</v>
      </c>
      <c r="D82" s="628">
        <f t="shared" si="6"/>
        <v>13.508406538176001</v>
      </c>
      <c r="E82" s="628">
        <f t="shared" si="6"/>
        <v>0</v>
      </c>
      <c r="F82" s="628">
        <f t="shared" si="6"/>
        <v>0</v>
      </c>
      <c r="G82" s="628">
        <f t="shared" si="6"/>
        <v>-2.5625132943</v>
      </c>
      <c r="H82" s="629">
        <f t="shared" si="6"/>
        <v>-13.508406538176001</v>
      </c>
      <c r="I82" s="633"/>
      <c r="J82" s="633"/>
    </row>
    <row r="83" spans="1:10" ht="15.75" customHeight="1">
      <c r="A83" s="1210"/>
      <c r="B83" s="640" t="s">
        <v>129</v>
      </c>
      <c r="C83" s="628">
        <f t="shared" si="6"/>
        <v>0.54068310926999996</v>
      </c>
      <c r="D83" s="628">
        <f t="shared" si="6"/>
        <v>0</v>
      </c>
      <c r="E83" s="628">
        <f t="shared" si="6"/>
        <v>28.344977931869995</v>
      </c>
      <c r="F83" s="628">
        <f t="shared" si="6"/>
        <v>6.5148346363747196</v>
      </c>
      <c r="G83" s="628">
        <f t="shared" si="6"/>
        <v>27.804294822599996</v>
      </c>
      <c r="H83" s="629">
        <f t="shared" si="6"/>
        <v>6.5148346363747196</v>
      </c>
      <c r="I83" s="633"/>
      <c r="J83" s="633"/>
    </row>
    <row r="84" spans="1:10" ht="15.75" customHeight="1">
      <c r="A84" s="1210"/>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10"/>
      <c r="B85" s="640" t="s">
        <v>131</v>
      </c>
      <c r="C85" s="628">
        <f t="shared" si="6"/>
        <v>0.17618396625999999</v>
      </c>
      <c r="D85" s="628">
        <f t="shared" si="6"/>
        <v>2.4313387343879995</v>
      </c>
      <c r="E85" s="628">
        <f t="shared" si="6"/>
        <v>5.3134616154899996</v>
      </c>
      <c r="F85" s="628">
        <f t="shared" si="6"/>
        <v>16.888723431424467</v>
      </c>
      <c r="G85" s="628">
        <f t="shared" si="6"/>
        <v>5.1372776492299996</v>
      </c>
      <c r="H85" s="629">
        <f t="shared" si="6"/>
        <v>14.457384697036467</v>
      </c>
      <c r="I85" s="633"/>
      <c r="J85" s="633"/>
    </row>
    <row r="86" spans="1:10" ht="15.75">
      <c r="A86" s="1210"/>
      <c r="B86" s="641" t="s">
        <v>132</v>
      </c>
      <c r="C86" s="628">
        <f t="shared" si="6"/>
        <v>0</v>
      </c>
      <c r="D86" s="628">
        <f t="shared" si="6"/>
        <v>0</v>
      </c>
      <c r="E86" s="628">
        <f t="shared" si="6"/>
        <v>0</v>
      </c>
      <c r="F86" s="628">
        <f t="shared" si="6"/>
        <v>0</v>
      </c>
      <c r="G86" s="628">
        <f t="shared" si="6"/>
        <v>0</v>
      </c>
      <c r="H86" s="629">
        <f t="shared" si="6"/>
        <v>0</v>
      </c>
      <c r="I86" s="633"/>
      <c r="J86" s="633"/>
    </row>
    <row r="87" spans="1:10" ht="15.75">
      <c r="A87" s="1210"/>
      <c r="B87" s="641" t="s">
        <v>133</v>
      </c>
      <c r="C87" s="628">
        <f t="shared" si="6"/>
        <v>0</v>
      </c>
      <c r="D87" s="628">
        <f t="shared" si="6"/>
        <v>0</v>
      </c>
      <c r="E87" s="628">
        <f t="shared" si="6"/>
        <v>0</v>
      </c>
      <c r="F87" s="628">
        <f t="shared" si="6"/>
        <v>0</v>
      </c>
      <c r="G87" s="628">
        <f t="shared" si="6"/>
        <v>0</v>
      </c>
      <c r="H87" s="629">
        <f t="shared" si="6"/>
        <v>0</v>
      </c>
      <c r="I87" s="633"/>
      <c r="J87" s="633"/>
    </row>
    <row r="88" spans="1:10" ht="15.75">
      <c r="A88" s="1210"/>
      <c r="B88" s="641" t="s">
        <v>134</v>
      </c>
      <c r="C88" s="628">
        <f t="shared" si="6"/>
        <v>0</v>
      </c>
      <c r="D88" s="628">
        <f t="shared" si="6"/>
        <v>0</v>
      </c>
      <c r="E88" s="628">
        <f t="shared" si="6"/>
        <v>0</v>
      </c>
      <c r="F88" s="628">
        <f t="shared" si="6"/>
        <v>0</v>
      </c>
      <c r="G88" s="628">
        <f t="shared" si="6"/>
        <v>0</v>
      </c>
      <c r="H88" s="629">
        <f t="shared" si="6"/>
        <v>0</v>
      </c>
      <c r="I88" s="633"/>
      <c r="J88" s="633"/>
    </row>
    <row r="89" spans="1:10" ht="15.75">
      <c r="A89" s="1210"/>
      <c r="B89" s="641" t="s">
        <v>135</v>
      </c>
      <c r="C89" s="628">
        <f t="shared" si="6"/>
        <v>0</v>
      </c>
      <c r="D89" s="628">
        <f t="shared" si="6"/>
        <v>0</v>
      </c>
      <c r="E89" s="628">
        <f t="shared" si="6"/>
        <v>0</v>
      </c>
      <c r="F89" s="628">
        <f t="shared" si="6"/>
        <v>0</v>
      </c>
      <c r="G89" s="628">
        <f t="shared" si="6"/>
        <v>0</v>
      </c>
      <c r="H89" s="629">
        <f t="shared" si="6"/>
        <v>0</v>
      </c>
      <c r="I89" s="633"/>
      <c r="J89" s="633"/>
    </row>
    <row r="90" spans="1:10" ht="15.75">
      <c r="A90" s="1210"/>
      <c r="B90" s="641" t="s">
        <v>136</v>
      </c>
      <c r="C90" s="628">
        <f t="shared" si="6"/>
        <v>0</v>
      </c>
      <c r="D90" s="628">
        <f t="shared" si="6"/>
        <v>0</v>
      </c>
      <c r="E90" s="628">
        <f t="shared" si="6"/>
        <v>0</v>
      </c>
      <c r="F90" s="628">
        <f t="shared" si="6"/>
        <v>0</v>
      </c>
      <c r="G90" s="628">
        <f t="shared" si="6"/>
        <v>0</v>
      </c>
      <c r="H90" s="629">
        <f t="shared" si="6"/>
        <v>0</v>
      </c>
      <c r="I90" s="633"/>
      <c r="J90" s="633"/>
    </row>
    <row r="91" spans="1:10" ht="15.95" customHeight="1">
      <c r="A91" s="1210"/>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11"/>
      <c r="B92" s="653" t="s">
        <v>138</v>
      </c>
      <c r="C92" s="630">
        <f t="shared" ref="C92:H92" si="7">C53+C73</f>
        <v>0.4587</v>
      </c>
      <c r="D92" s="630">
        <f t="shared" si="7"/>
        <v>6.0548400000000013</v>
      </c>
      <c r="E92" s="630">
        <f t="shared" si="7"/>
        <v>19.811500000000002</v>
      </c>
      <c r="F92" s="630">
        <f t="shared" si="7"/>
        <v>64.540026747232261</v>
      </c>
      <c r="G92" s="630">
        <f t="shared" si="7"/>
        <v>19.352800000000002</v>
      </c>
      <c r="H92" s="631">
        <f t="shared" si="7"/>
        <v>58.485186747232262</v>
      </c>
    </row>
    <row r="93" spans="1:10" ht="37.9" customHeight="1" thickTop="1" thickBot="1">
      <c r="A93" s="1212" t="s">
        <v>157</v>
      </c>
    </row>
    <row r="94" spans="1:10" ht="26.25" thickBot="1">
      <c r="A94" s="1213"/>
      <c r="B94" s="1243" t="s">
        <v>158</v>
      </c>
      <c r="C94" s="1244"/>
      <c r="D94" s="1245"/>
    </row>
    <row r="95" spans="1:10">
      <c r="A95" s="1213"/>
    </row>
    <row r="96" spans="1:10" ht="15" customHeight="1" thickBot="1">
      <c r="A96" s="1213"/>
    </row>
    <row r="97" spans="1:12" ht="18" customHeight="1" thickBot="1">
      <c r="A97" s="1213"/>
      <c r="B97" s="1221" t="s">
        <v>159</v>
      </c>
      <c r="C97" s="1221"/>
      <c r="D97" s="1221"/>
      <c r="E97" s="1221"/>
      <c r="F97" s="1221"/>
      <c r="G97" s="1221"/>
      <c r="H97" s="1221"/>
      <c r="J97" s="1227" t="s">
        <v>160</v>
      </c>
      <c r="K97" s="1228"/>
      <c r="L97" s="1229"/>
    </row>
    <row r="98" spans="1:12" ht="16.149999999999999" customHeight="1" thickBot="1">
      <c r="A98" s="1213"/>
      <c r="B98" s="625"/>
      <c r="C98" s="1204" t="s">
        <v>111</v>
      </c>
      <c r="D98" s="1204"/>
      <c r="E98" s="1204" t="s">
        <v>112</v>
      </c>
      <c r="F98" s="1204"/>
      <c r="G98" s="1204" t="s">
        <v>113</v>
      </c>
      <c r="H98" s="1204"/>
      <c r="J98" s="1230"/>
      <c r="K98" s="1231"/>
      <c r="L98" s="1232"/>
    </row>
    <row r="99" spans="1:12" ht="48" thickBot="1">
      <c r="A99" s="1213"/>
      <c r="B99" s="626" t="s">
        <v>161</v>
      </c>
      <c r="C99" s="625" t="s">
        <v>162</v>
      </c>
      <c r="D99" s="625" t="s">
        <v>116</v>
      </c>
      <c r="E99" s="625" t="s">
        <v>163</v>
      </c>
      <c r="F99" s="625" t="s">
        <v>118</v>
      </c>
      <c r="G99" s="625" t="s">
        <v>164</v>
      </c>
      <c r="H99" s="625" t="s">
        <v>120</v>
      </c>
      <c r="J99" s="1233" t="s">
        <v>121</v>
      </c>
      <c r="K99" s="1235" t="s">
        <v>165</v>
      </c>
      <c r="L99" s="1237" t="s">
        <v>166</v>
      </c>
    </row>
    <row r="100" spans="1:12" ht="15.75">
      <c r="A100" s="1213"/>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34"/>
      <c r="K100" s="1236"/>
      <c r="L100" s="1238"/>
    </row>
    <row r="101" spans="1:12" ht="15.75">
      <c r="A101" s="1213"/>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17" t="str">
        <f>'G-1 All Habitats'!$V$3</f>
        <v>V.High</v>
      </c>
      <c r="K101" s="1219">
        <f>SUMIF('B-1 On-Site Hedge Baseline'!$F$10:$F$257,'Detailed Results'!J101,'B-1 On-Site Hedge Baseline'!$T$10:$T$257)+SUMIF('E-1 Off-Site Hedge Baseline'!$F$10:$F$257,'Detailed Results'!J101,'E-1 Off-Site Hedge Baseline'!$W$10:$W$257)</f>
        <v>0</v>
      </c>
      <c r="L101" s="1224" t="str">
        <f>IF(K101=0,"",(K101/(SUM($K$101:$K$110)))*100)</f>
        <v/>
      </c>
    </row>
    <row r="102" spans="1:12" ht="15.75">
      <c r="A102" s="1213"/>
      <c r="B102" s="645" t="s">
        <v>169</v>
      </c>
      <c r="C102" s="627">
        <f>'G-2 Habitat groups'!E152</f>
        <v>0</v>
      </c>
      <c r="D102" s="627">
        <f>'G-2 Habitat groups'!F152</f>
        <v>0</v>
      </c>
      <c r="E102" s="627">
        <f>'G-2 Habitat groups'!O152</f>
        <v>0</v>
      </c>
      <c r="F102" s="627">
        <f>'G-2 Habitat groups'!P152</f>
        <v>0</v>
      </c>
      <c r="G102" s="627">
        <f t="shared" si="9"/>
        <v>0</v>
      </c>
      <c r="H102" s="627">
        <f t="shared" si="8"/>
        <v>0</v>
      </c>
      <c r="J102" s="1218"/>
      <c r="K102" s="1220"/>
      <c r="L102" s="1225"/>
    </row>
    <row r="103" spans="1:12" ht="15.75">
      <c r="A103" s="1213"/>
      <c r="B103" s="645" t="s">
        <v>170</v>
      </c>
      <c r="C103" s="627">
        <f>'G-2 Habitat groups'!E153</f>
        <v>0.21692453</v>
      </c>
      <c r="D103" s="627">
        <f>'G-2 Habitat groups'!F153</f>
        <v>1.4967792569999998</v>
      </c>
      <c r="E103" s="627">
        <f>'G-2 Habitat groups'!O153</f>
        <v>0</v>
      </c>
      <c r="F103" s="627">
        <f>'G-2 Habitat groups'!P153</f>
        <v>0</v>
      </c>
      <c r="G103" s="627">
        <f t="shared" si="9"/>
        <v>-0.21692453</v>
      </c>
      <c r="H103" s="627">
        <f t="shared" si="8"/>
        <v>-1.4967792569999998</v>
      </c>
      <c r="J103" s="1217" t="str">
        <f>'G-1 All Habitats'!$V$4</f>
        <v>High</v>
      </c>
      <c r="K103" s="1219">
        <f>SUMIF('B-1 On-Site Hedge Baseline'!$F$10:$F$257,'Detailed Results'!J103,'B-1 On-Site Hedge Baseline'!$T$10:$T$257)+SUMIF('E-1 Off-Site Hedge Baseline'!$F$10:$F$257,'Detailed Results'!J103,'E-1 Off-Site Hedge Baseline'!$W$10:$W$257)</f>
        <v>0.21692453</v>
      </c>
      <c r="L103" s="1224">
        <f>IF(K103=0,"",(K103/(SUM($K$101:$K$110)))*100)</f>
        <v>7.2271213385947597</v>
      </c>
    </row>
    <row r="104" spans="1:12" ht="15.75">
      <c r="A104" s="1213"/>
      <c r="B104" s="645" t="s">
        <v>171</v>
      </c>
      <c r="C104" s="627">
        <f>'G-2 Habitat groups'!E154</f>
        <v>1.088214572</v>
      </c>
      <c r="D104" s="627">
        <f>'G-2 Habitat groups'!F154</f>
        <v>10.011574062399999</v>
      </c>
      <c r="E104" s="627">
        <f>'G-2 Habitat groups'!O154</f>
        <v>3.8862436389999995</v>
      </c>
      <c r="F104" s="627">
        <f ca="1">'G-2 Habitat groups'!P154</f>
        <v>32.278596390868827</v>
      </c>
      <c r="G104" s="627">
        <f t="shared" si="9"/>
        <v>2.7980290669999994</v>
      </c>
      <c r="H104" s="627">
        <f t="shared" ca="1" si="8"/>
        <v>22.267022328468826</v>
      </c>
      <c r="J104" s="1218"/>
      <c r="K104" s="1220"/>
      <c r="L104" s="1225"/>
    </row>
    <row r="105" spans="1:12" ht="15.75">
      <c r="A105" s="1213"/>
      <c r="B105" s="645" t="s">
        <v>172</v>
      </c>
      <c r="C105" s="627">
        <f>'G-2 Habitat groups'!E155</f>
        <v>0</v>
      </c>
      <c r="D105" s="627">
        <f>'G-2 Habitat groups'!F155</f>
        <v>0</v>
      </c>
      <c r="E105" s="627">
        <f>'G-2 Habitat groups'!O155</f>
        <v>0</v>
      </c>
      <c r="F105" s="627">
        <f>'G-2 Habitat groups'!P155</f>
        <v>0</v>
      </c>
      <c r="G105" s="627">
        <f t="shared" si="9"/>
        <v>0</v>
      </c>
      <c r="H105" s="627">
        <f t="shared" si="8"/>
        <v>0</v>
      </c>
      <c r="J105" s="1217" t="str">
        <f>'G-1 All Habitats'!$V$5</f>
        <v>Medium</v>
      </c>
      <c r="K105" s="1219">
        <f>SUMIF('B-1 On-Site Hedge Baseline'!$F$10:$F$257,'Detailed Results'!J105,'B-1 On-Site Hedge Baseline'!$T$10:$T$257)+SUMIF('E-1 Off-Site Hedge Baseline'!$F$10:$F$257,'Detailed Results'!J105,'E-1 Off-Site Hedge Baseline'!$W$10:$W$257)</f>
        <v>1.4609780560000001</v>
      </c>
      <c r="L105" s="1224">
        <f>IF(K105=0,"",(K105/(SUM($K$101:$K$110)))*100)</f>
        <v>48.674373911222901</v>
      </c>
    </row>
    <row r="106" spans="1:12" ht="15.75">
      <c r="A106" s="1213"/>
      <c r="B106" s="645" t="s">
        <v>173</v>
      </c>
      <c r="C106" s="627">
        <f>'G-2 Habitat groups'!E156</f>
        <v>0.29754417700000002</v>
      </c>
      <c r="D106" s="627">
        <f>'G-2 Habitat groups'!F156</f>
        <v>2.0949565639999999</v>
      </c>
      <c r="E106" s="627">
        <f>'G-2 Habitat groups'!O156</f>
        <v>0</v>
      </c>
      <c r="F106" s="627">
        <f>'G-2 Habitat groups'!P156</f>
        <v>0</v>
      </c>
      <c r="G106" s="627">
        <f t="shared" si="9"/>
        <v>-0.29754417700000002</v>
      </c>
      <c r="H106" s="627">
        <f t="shared" si="8"/>
        <v>-2.0949565639999999</v>
      </c>
      <c r="J106" s="1218"/>
      <c r="K106" s="1220"/>
      <c r="L106" s="1225"/>
    </row>
    <row r="107" spans="1:12" ht="15.75">
      <c r="A107" s="1213"/>
      <c r="B107" s="646" t="s">
        <v>174</v>
      </c>
      <c r="C107" s="627">
        <f>'G-2 Habitat groups'!E157</f>
        <v>7.5219306999999999E-2</v>
      </c>
      <c r="D107" s="627">
        <f>'G-2 Habitat groups'!F157</f>
        <v>0.66192990160000009</v>
      </c>
      <c r="E107" s="627">
        <f>'G-2 Habitat groups'!O157</f>
        <v>0</v>
      </c>
      <c r="F107" s="627">
        <f>'G-2 Habitat groups'!P157</f>
        <v>0</v>
      </c>
      <c r="G107" s="627">
        <f t="shared" si="9"/>
        <v>-7.5219306999999999E-2</v>
      </c>
      <c r="H107" s="627">
        <f t="shared" si="8"/>
        <v>-0.66192990160000009</v>
      </c>
      <c r="J107" s="1217" t="str">
        <f>'G-1 All Habitats'!$V$6</f>
        <v>Low</v>
      </c>
      <c r="K107" s="1219">
        <f>SUMIF('B-1 On-Site Hedge Baseline'!$F$10:$F$257,'Detailed Results'!J107,'B-1 On-Site Hedge Baseline'!$T$10:$T$257)+SUMIF('E-1 Off-Site Hedge Baseline'!$F$10:$F$257,'Detailed Results'!J107,'E-1 Off-Site Hedge Baseline'!$W$10:$W$257)</f>
        <v>1.3236317710000001</v>
      </c>
      <c r="L107" s="1224">
        <f>IF(K107=0,"",(K107/(SUM($K$101:$K$110)))*100)</f>
        <v>44.098504750182343</v>
      </c>
    </row>
    <row r="108" spans="1:12" ht="15.75">
      <c r="A108" s="1213"/>
      <c r="B108" s="647" t="s">
        <v>175</v>
      </c>
      <c r="C108" s="627">
        <f>'G-2 Habitat groups'!E158</f>
        <v>0</v>
      </c>
      <c r="D108" s="627">
        <f>'G-2 Habitat groups'!F158</f>
        <v>0</v>
      </c>
      <c r="E108" s="627">
        <f>'G-2 Habitat groups'!O158</f>
        <v>0</v>
      </c>
      <c r="F108" s="627">
        <f>'G-2 Habitat groups'!P158</f>
        <v>0</v>
      </c>
      <c r="G108" s="627">
        <f t="shared" si="9"/>
        <v>0</v>
      </c>
      <c r="H108" s="627">
        <f t="shared" si="8"/>
        <v>0</v>
      </c>
      <c r="J108" s="1218"/>
      <c r="K108" s="1220"/>
      <c r="L108" s="1225"/>
    </row>
    <row r="109" spans="1:12" ht="15.75">
      <c r="A109" s="1213"/>
      <c r="B109" s="647" t="s">
        <v>176</v>
      </c>
      <c r="C109" s="627">
        <f>'G-2 Habitat groups'!E159</f>
        <v>1.5255518669999999</v>
      </c>
      <c r="D109" s="627">
        <f>'G-2 Habitat groups'!F159</f>
        <v>6.8447897948999987</v>
      </c>
      <c r="E109" s="627">
        <f>'G-2 Habitat groups'!O159</f>
        <v>0</v>
      </c>
      <c r="F109" s="627">
        <f>'G-2 Habitat groups'!P159</f>
        <v>0</v>
      </c>
      <c r="G109" s="627">
        <f t="shared" si="9"/>
        <v>-1.5255518669999999</v>
      </c>
      <c r="H109" s="627">
        <f t="shared" si="8"/>
        <v>-6.8447897948999987</v>
      </c>
      <c r="J109" s="1217" t="str">
        <f>'G-1 All Habitats'!$V$7</f>
        <v>V.Low</v>
      </c>
      <c r="K109" s="1219">
        <f>SUMIF('B-1 On-Site Hedge Baseline'!$F$10:$F$257,'Detailed Results'!J109,'B-1 On-Site Hedge Baseline'!$T$10:$T$257)+SUMIF('E-1 Off-Site Hedge Baseline'!$F$10:$F$257,'Detailed Results'!J109,'E-1 Off-Site Hedge Baseline'!$W$10:$W$257)</f>
        <v>0</v>
      </c>
      <c r="L109" s="1224" t="str">
        <f>IF(K109=0,"",(K109/(SUM($K$101:$K$110)))*100)</f>
        <v/>
      </c>
    </row>
    <row r="110" spans="1:12" ht="16.5" thickBot="1">
      <c r="A110" s="1213"/>
      <c r="B110" s="647" t="s">
        <v>177</v>
      </c>
      <c r="C110" s="627">
        <f>'G-2 Habitat groups'!E160</f>
        <v>0</v>
      </c>
      <c r="D110" s="627">
        <f>'G-2 Habitat groups'!F160</f>
        <v>0</v>
      </c>
      <c r="E110" s="627">
        <f>'G-2 Habitat groups'!O160</f>
        <v>0</v>
      </c>
      <c r="F110" s="627">
        <f>'G-2 Habitat groups'!P160</f>
        <v>0</v>
      </c>
      <c r="G110" s="627">
        <f t="shared" si="9"/>
        <v>0</v>
      </c>
      <c r="H110" s="627">
        <f t="shared" si="8"/>
        <v>0</v>
      </c>
      <c r="J110" s="1222"/>
      <c r="K110" s="1223"/>
      <c r="L110" s="1226"/>
    </row>
    <row r="111" spans="1:12" ht="15.75">
      <c r="A111" s="1213"/>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13"/>
      <c r="B112" s="647" t="s">
        <v>179</v>
      </c>
      <c r="C112" s="627">
        <f>'G-2 Habitat groups'!E162</f>
        <v>0</v>
      </c>
      <c r="D112" s="627">
        <f>'G-2 Habitat groups'!F162</f>
        <v>0</v>
      </c>
      <c r="E112" s="627">
        <f>'G-2 Habitat groups'!O162</f>
        <v>0</v>
      </c>
      <c r="F112" s="627">
        <f>'G-2 Habitat groups'!P162</f>
        <v>0</v>
      </c>
      <c r="G112" s="627">
        <f t="shared" si="9"/>
        <v>0</v>
      </c>
      <c r="H112" s="627">
        <f t="shared" si="8"/>
        <v>0</v>
      </c>
    </row>
    <row r="113" spans="1:8">
      <c r="A113" s="1213"/>
    </row>
    <row r="114" spans="1:8">
      <c r="A114" s="1213"/>
    </row>
    <row r="115" spans="1:8">
      <c r="A115" s="1213"/>
    </row>
    <row r="116" spans="1:8" ht="15.75" thickBot="1">
      <c r="A116" s="1213"/>
    </row>
    <row r="117" spans="1:8" ht="19.5" thickBot="1">
      <c r="A117" s="1213"/>
      <c r="B117" s="1221" t="s">
        <v>180</v>
      </c>
      <c r="C117" s="1221"/>
      <c r="D117" s="1221"/>
      <c r="E117" s="1221"/>
      <c r="F117" s="1221"/>
      <c r="G117" s="1221"/>
      <c r="H117" s="1221"/>
    </row>
    <row r="118" spans="1:8" ht="16.5" thickBot="1">
      <c r="A118" s="1213"/>
      <c r="B118" s="625"/>
      <c r="C118" s="1204" t="s">
        <v>80</v>
      </c>
      <c r="D118" s="1204"/>
      <c r="E118" s="1204" t="s">
        <v>140</v>
      </c>
      <c r="F118" s="1204"/>
      <c r="G118" s="1204" t="s">
        <v>141</v>
      </c>
      <c r="H118" s="1204"/>
    </row>
    <row r="119" spans="1:8" ht="48" thickBot="1">
      <c r="A119" s="1213"/>
      <c r="B119" s="626" t="s">
        <v>161</v>
      </c>
      <c r="C119" s="625" t="s">
        <v>181</v>
      </c>
      <c r="D119" s="625" t="s">
        <v>143</v>
      </c>
      <c r="E119" s="625" t="s">
        <v>182</v>
      </c>
      <c r="F119" s="625" t="s">
        <v>145</v>
      </c>
      <c r="G119" s="625" t="s">
        <v>183</v>
      </c>
      <c r="H119" s="625" t="s">
        <v>147</v>
      </c>
    </row>
    <row r="120" spans="1:8" ht="15.75">
      <c r="A120" s="1213"/>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13"/>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13"/>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13"/>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13"/>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13"/>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13"/>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13"/>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13"/>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13"/>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13"/>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13"/>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13"/>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13"/>
      <c r="B133" s="633"/>
      <c r="C133" s="633"/>
    </row>
    <row r="134" spans="1:8">
      <c r="A134" s="1213"/>
      <c r="B134" s="633"/>
      <c r="C134" s="633"/>
    </row>
    <row r="135" spans="1:8">
      <c r="A135" s="1213"/>
      <c r="B135" s="633"/>
      <c r="C135" s="633"/>
    </row>
    <row r="136" spans="1:8" ht="15.75" thickBot="1">
      <c r="A136" s="1213"/>
      <c r="B136" s="633"/>
      <c r="C136" s="633"/>
    </row>
    <row r="137" spans="1:8" ht="19.5" thickBot="1">
      <c r="A137" s="1213"/>
      <c r="B137" s="1221" t="s">
        <v>184</v>
      </c>
      <c r="C137" s="1221"/>
      <c r="D137" s="1221"/>
      <c r="E137" s="1221"/>
      <c r="F137" s="1221"/>
      <c r="G137" s="1221"/>
      <c r="H137" s="1221"/>
    </row>
    <row r="138" spans="1:8" ht="16.5" thickBot="1">
      <c r="A138" s="1213"/>
      <c r="B138" s="625"/>
      <c r="C138" s="1204" t="s">
        <v>111</v>
      </c>
      <c r="D138" s="1204"/>
      <c r="E138" s="1204" t="s">
        <v>185</v>
      </c>
      <c r="F138" s="1204"/>
      <c r="G138" s="1204" t="s">
        <v>186</v>
      </c>
      <c r="H138" s="1204"/>
    </row>
    <row r="139" spans="1:8" ht="48" thickBot="1">
      <c r="A139" s="1213"/>
      <c r="B139" s="626" t="s">
        <v>161</v>
      </c>
      <c r="C139" s="625" t="s">
        <v>206</v>
      </c>
      <c r="D139" s="625" t="s">
        <v>152</v>
      </c>
      <c r="E139" s="625" t="s">
        <v>187</v>
      </c>
      <c r="F139" s="625" t="s">
        <v>154</v>
      </c>
      <c r="G139" s="625" t="s">
        <v>188</v>
      </c>
      <c r="H139" s="625" t="s">
        <v>156</v>
      </c>
    </row>
    <row r="140" spans="1:8" ht="15.75">
      <c r="A140" s="1213"/>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13"/>
      <c r="B141" s="645" t="s">
        <v>168</v>
      </c>
      <c r="C141" s="628">
        <f t="shared" ref="C141:H141" si="13">C101+C121</f>
        <v>0</v>
      </c>
      <c r="D141" s="628">
        <f t="shared" si="13"/>
        <v>0</v>
      </c>
      <c r="E141" s="628">
        <f t="shared" si="13"/>
        <v>0</v>
      </c>
      <c r="F141" s="628">
        <f t="shared" si="13"/>
        <v>0</v>
      </c>
      <c r="G141" s="628">
        <f t="shared" si="13"/>
        <v>0</v>
      </c>
      <c r="H141" s="628">
        <f t="shared" si="13"/>
        <v>0</v>
      </c>
    </row>
    <row r="142" spans="1:8" ht="15.75">
      <c r="A142" s="1213"/>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13"/>
      <c r="B143" s="645" t="s">
        <v>170</v>
      </c>
      <c r="C143" s="628">
        <f t="shared" ref="C143:H143" si="15">C103+C123</f>
        <v>0.21692453</v>
      </c>
      <c r="D143" s="628">
        <f t="shared" si="15"/>
        <v>1.4967792569999998</v>
      </c>
      <c r="E143" s="628">
        <f t="shared" si="15"/>
        <v>0</v>
      </c>
      <c r="F143" s="628">
        <f t="shared" si="15"/>
        <v>0</v>
      </c>
      <c r="G143" s="628">
        <f t="shared" si="15"/>
        <v>-0.21692453</v>
      </c>
      <c r="H143" s="628">
        <f t="shared" si="15"/>
        <v>-1.4967792569999998</v>
      </c>
    </row>
    <row r="144" spans="1:8" ht="15.75">
      <c r="A144" s="1213"/>
      <c r="B144" s="645" t="s">
        <v>171</v>
      </c>
      <c r="C144" s="628">
        <f t="shared" ref="C144:H144" si="16">C104+C124</f>
        <v>1.088214572</v>
      </c>
      <c r="D144" s="628">
        <f t="shared" si="16"/>
        <v>10.011574062399999</v>
      </c>
      <c r="E144" s="628">
        <f t="shared" si="16"/>
        <v>3.8862436389999995</v>
      </c>
      <c r="F144" s="628">
        <f t="shared" ca="1" si="16"/>
        <v>32.278596390868827</v>
      </c>
      <c r="G144" s="628">
        <f t="shared" si="16"/>
        <v>2.7980290669999994</v>
      </c>
      <c r="H144" s="628">
        <f t="shared" ca="1" si="16"/>
        <v>22.267022328468826</v>
      </c>
    </row>
    <row r="145" spans="1:12" ht="15.75">
      <c r="A145" s="1213"/>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13"/>
      <c r="B146" s="645" t="s">
        <v>173</v>
      </c>
      <c r="C146" s="628">
        <f t="shared" ref="C146:H146" si="18">C106+C126</f>
        <v>0.29754417700000002</v>
      </c>
      <c r="D146" s="628">
        <f t="shared" si="18"/>
        <v>2.0949565639999999</v>
      </c>
      <c r="E146" s="628">
        <f t="shared" si="18"/>
        <v>0</v>
      </c>
      <c r="F146" s="628">
        <f t="shared" si="18"/>
        <v>0</v>
      </c>
      <c r="G146" s="628">
        <f t="shared" si="18"/>
        <v>-0.29754417700000002</v>
      </c>
      <c r="H146" s="628">
        <f t="shared" si="18"/>
        <v>-2.0949565639999999</v>
      </c>
    </row>
    <row r="147" spans="1:12" ht="15.75">
      <c r="A147" s="1213"/>
      <c r="B147" s="646" t="s">
        <v>174</v>
      </c>
      <c r="C147" s="628">
        <f t="shared" ref="C147:H147" si="19">C107+C127</f>
        <v>7.5219306999999999E-2</v>
      </c>
      <c r="D147" s="628">
        <f t="shared" si="19"/>
        <v>0.66192990160000009</v>
      </c>
      <c r="E147" s="628">
        <f t="shared" si="19"/>
        <v>0</v>
      </c>
      <c r="F147" s="628">
        <f t="shared" si="19"/>
        <v>0</v>
      </c>
      <c r="G147" s="628">
        <f t="shared" si="19"/>
        <v>-7.5219306999999999E-2</v>
      </c>
      <c r="H147" s="628">
        <f t="shared" si="19"/>
        <v>-0.66192990160000009</v>
      </c>
    </row>
    <row r="148" spans="1:12" ht="15.75">
      <c r="A148" s="1213"/>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13"/>
      <c r="B149" s="647" t="s">
        <v>176</v>
      </c>
      <c r="C149" s="628">
        <f t="shared" ref="C149:H149" si="21">C109+C129</f>
        <v>1.5255518669999999</v>
      </c>
      <c r="D149" s="628">
        <f t="shared" si="21"/>
        <v>6.8447897948999987</v>
      </c>
      <c r="E149" s="628">
        <f t="shared" si="21"/>
        <v>0</v>
      </c>
      <c r="F149" s="628">
        <f t="shared" si="21"/>
        <v>0</v>
      </c>
      <c r="G149" s="628">
        <f t="shared" si="21"/>
        <v>-1.5255518669999999</v>
      </c>
      <c r="H149" s="628">
        <f t="shared" si="21"/>
        <v>-6.8447897948999987</v>
      </c>
    </row>
    <row r="150" spans="1:12" ht="15.75">
      <c r="A150" s="1213"/>
      <c r="B150" s="647" t="s">
        <v>177</v>
      </c>
      <c r="C150" s="628">
        <f t="shared" ref="C150:H150" si="22">C110+C130</f>
        <v>0</v>
      </c>
      <c r="D150" s="628">
        <f t="shared" si="22"/>
        <v>0</v>
      </c>
      <c r="E150" s="628">
        <f t="shared" si="22"/>
        <v>0</v>
      </c>
      <c r="F150" s="628">
        <f t="shared" si="22"/>
        <v>0</v>
      </c>
      <c r="G150" s="628">
        <f t="shared" si="22"/>
        <v>0</v>
      </c>
      <c r="H150" s="628">
        <f t="shared" si="22"/>
        <v>0</v>
      </c>
    </row>
    <row r="151" spans="1:12" ht="15.75">
      <c r="A151" s="1213"/>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13"/>
      <c r="B152" s="647" t="s">
        <v>179</v>
      </c>
      <c r="C152" s="628">
        <f t="shared" ref="C152:H152" si="24">C112+C132</f>
        <v>0</v>
      </c>
      <c r="D152" s="628">
        <f t="shared" si="24"/>
        <v>0</v>
      </c>
      <c r="E152" s="628">
        <f t="shared" si="24"/>
        <v>0</v>
      </c>
      <c r="F152" s="628">
        <f t="shared" si="24"/>
        <v>0</v>
      </c>
      <c r="G152" s="628">
        <f t="shared" si="24"/>
        <v>0</v>
      </c>
      <c r="H152" s="628">
        <f t="shared" si="24"/>
        <v>0</v>
      </c>
    </row>
    <row r="153" spans="1:12">
      <c r="A153" s="1213"/>
    </row>
    <row r="154" spans="1:12" ht="15.75" thickBot="1">
      <c r="A154" s="1214"/>
    </row>
    <row r="155" spans="1:12" s="622" customFormat="1" ht="31.9" customHeight="1" thickTop="1">
      <c r="A155" s="1215" t="s">
        <v>189</v>
      </c>
    </row>
    <row r="156" spans="1:12" ht="15.75" thickBot="1">
      <c r="A156" s="1216"/>
    </row>
    <row r="157" spans="1:12" ht="26.25" thickBot="1">
      <c r="A157" s="1216"/>
      <c r="B157" s="1243" t="s">
        <v>59</v>
      </c>
      <c r="C157" s="1244"/>
      <c r="D157" s="1245"/>
    </row>
    <row r="158" spans="1:12">
      <c r="A158" s="1216"/>
    </row>
    <row r="159" spans="1:12" ht="15.75" thickBot="1">
      <c r="A159" s="1216"/>
    </row>
    <row r="160" spans="1:12" ht="19.5" thickBot="1">
      <c r="A160" s="1216"/>
      <c r="B160" s="1221" t="s">
        <v>190</v>
      </c>
      <c r="C160" s="1221"/>
      <c r="D160" s="1221"/>
      <c r="E160" s="1221"/>
      <c r="F160" s="1221"/>
      <c r="G160" s="1221"/>
      <c r="H160" s="1221"/>
      <c r="J160" s="1227" t="s">
        <v>160</v>
      </c>
      <c r="K160" s="1228"/>
      <c r="L160" s="1229"/>
    </row>
    <row r="161" spans="1:12" ht="16.5" thickBot="1">
      <c r="A161" s="1216"/>
      <c r="B161" s="625"/>
      <c r="C161" s="1204" t="s">
        <v>111</v>
      </c>
      <c r="D161" s="1204"/>
      <c r="E161" s="1204" t="s">
        <v>191</v>
      </c>
      <c r="F161" s="1204"/>
      <c r="G161" s="1204" t="s">
        <v>192</v>
      </c>
      <c r="H161" s="1204"/>
      <c r="J161" s="1230"/>
      <c r="K161" s="1231"/>
      <c r="L161" s="1232"/>
    </row>
    <row r="162" spans="1:12" ht="48" thickBot="1">
      <c r="A162" s="1216"/>
      <c r="B162" s="626" t="s">
        <v>193</v>
      </c>
      <c r="C162" s="625" t="s">
        <v>194</v>
      </c>
      <c r="D162" s="625" t="s">
        <v>116</v>
      </c>
      <c r="E162" s="625" t="s">
        <v>195</v>
      </c>
      <c r="F162" s="625" t="s">
        <v>118</v>
      </c>
      <c r="G162" s="625" t="s">
        <v>164</v>
      </c>
      <c r="H162" s="625" t="s">
        <v>120</v>
      </c>
      <c r="J162" s="1233" t="s">
        <v>121</v>
      </c>
      <c r="K162" s="1235" t="s">
        <v>165</v>
      </c>
      <c r="L162" s="1237" t="s">
        <v>166</v>
      </c>
    </row>
    <row r="163" spans="1:12" ht="15.75">
      <c r="A163" s="1216"/>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4"/>
      <c r="K163" s="1236"/>
      <c r="L163" s="1238"/>
    </row>
    <row r="164" spans="1:12" ht="15.75">
      <c r="A164" s="1216"/>
      <c r="B164" s="645" t="s">
        <v>197</v>
      </c>
      <c r="C164" s="648">
        <f>'G-2 Habitat groups'!E173</f>
        <v>0.18526163800000001</v>
      </c>
      <c r="D164" s="648">
        <f>'G-2 Habitat groups'!F173</f>
        <v>3.1957632554999997</v>
      </c>
      <c r="E164" s="648">
        <f>'G-2 Habitat groups'!O173</f>
        <v>8.2427561039500011E-2</v>
      </c>
      <c r="F164" s="648">
        <f>'G-2 Habitat groups'!P173</f>
        <v>1.421875427931375</v>
      </c>
      <c r="G164" s="648">
        <f t="shared" si="25"/>
        <v>-0.1028340769605</v>
      </c>
      <c r="H164" s="648">
        <f t="shared" si="25"/>
        <v>-1.7738878275686247</v>
      </c>
      <c r="J164" s="1217" t="str">
        <f>'G-1 All Habitats'!$V$3</f>
        <v>V.High</v>
      </c>
      <c r="K164" s="1219">
        <f>SUMIF('C-1 On-Site WaterC'' Baseline'!$F$10:$F$257,'Detailed Results'!J164,'C-1 On-Site WaterC'' Baseline'!$X$10:$X$257)+SUMIF('F-1 Off-Site WaterC'' Baseline'!$F$10:$F$257,'Detailed Results'!J164,'F-1 Off-Site WaterC'' Baseline'!$AA$10:$AA$257)</f>
        <v>0</v>
      </c>
      <c r="L164" s="1224" t="str">
        <f>IF(K164=0,"",(K164/(SUM($K$164:$K$171)))*100)</f>
        <v/>
      </c>
    </row>
    <row r="165" spans="1:12" ht="15.75">
      <c r="A165" s="1216"/>
      <c r="B165" s="645" t="s">
        <v>198</v>
      </c>
      <c r="C165" s="648">
        <f>'G-2 Habitat groups'!E174</f>
        <v>0.40592876099999997</v>
      </c>
      <c r="D165" s="648">
        <f>'G-2 Habitat groups'!F174</f>
        <v>1.7860865484000001</v>
      </c>
      <c r="E165" s="648">
        <f>'G-2 Habitat groups'!O174</f>
        <v>0</v>
      </c>
      <c r="F165" s="648">
        <f>'G-2 Habitat groups'!P174</f>
        <v>0</v>
      </c>
      <c r="G165" s="648">
        <f t="shared" si="25"/>
        <v>-0.40592876099999997</v>
      </c>
      <c r="H165" s="648">
        <f t="shared" si="25"/>
        <v>-1.7860865484000001</v>
      </c>
      <c r="J165" s="1218"/>
      <c r="K165" s="1220"/>
      <c r="L165" s="1225"/>
    </row>
    <row r="166" spans="1:12" ht="15.75">
      <c r="A166" s="1216"/>
      <c r="B166" s="645" t="s">
        <v>199</v>
      </c>
      <c r="C166" s="648">
        <f>'G-2 Habitat groups'!E175</f>
        <v>0</v>
      </c>
      <c r="D166" s="648">
        <f>'G-2 Habitat groups'!F175</f>
        <v>0</v>
      </c>
      <c r="E166" s="648">
        <f>'G-2 Habitat groups'!O175</f>
        <v>0</v>
      </c>
      <c r="F166" s="648">
        <f>'G-2 Habitat groups'!P175</f>
        <v>0</v>
      </c>
      <c r="G166" s="648">
        <f t="shared" si="25"/>
        <v>0</v>
      </c>
      <c r="H166" s="648">
        <f t="shared" si="25"/>
        <v>0</v>
      </c>
      <c r="J166" s="1217" t="str">
        <f>'G-1 All Habitats'!$V$4</f>
        <v>High</v>
      </c>
      <c r="K166" s="1219">
        <f>SUMIF('C-1 On-Site WaterC'' Baseline'!$F$10:$F$257,'Detailed Results'!J166,'C-1 On-Site WaterC'' Baseline'!$X$10:$X$257)+SUMIF('F-1 Off-Site WaterC'' Baseline'!$F$10:$F$257,'Detailed Results'!J166,'F-1 Off-Site WaterC'' Baseline'!$AA$10:$AA$257)</f>
        <v>0.1028340769605</v>
      </c>
      <c r="L166" s="1224">
        <f>IF(K166=0,"",(K166/(SUM($K$164:$K$171)))*100)</f>
        <v>20.212576329815185</v>
      </c>
    </row>
    <row r="167" spans="1:12" ht="15.75">
      <c r="A167" s="1216"/>
      <c r="B167" s="645" t="s">
        <v>200</v>
      </c>
      <c r="C167" s="648">
        <f>'G-2 Habitat groups'!E176</f>
        <v>0</v>
      </c>
      <c r="D167" s="648">
        <f>'G-2 Habitat groups'!F176</f>
        <v>0</v>
      </c>
      <c r="E167" s="648">
        <f>'G-2 Habitat groups'!O176</f>
        <v>0</v>
      </c>
      <c r="F167" s="648">
        <f>'G-2 Habitat groups'!P176</f>
        <v>0</v>
      </c>
      <c r="G167" s="648">
        <f t="shared" si="25"/>
        <v>0</v>
      </c>
      <c r="H167" s="648">
        <f t="shared" si="25"/>
        <v>0</v>
      </c>
      <c r="J167" s="1218"/>
      <c r="K167" s="1220"/>
      <c r="L167" s="1225"/>
    </row>
    <row r="168" spans="1:12">
      <c r="A168" s="1216"/>
      <c r="J168" s="1217" t="str">
        <f>'G-1 All Habitats'!$V$5</f>
        <v>Medium</v>
      </c>
      <c r="K168" s="1219">
        <f>SUMIF('C-1 On-Site WaterC'' Baseline'!$F$10:$F$257,'Detailed Results'!J168,'C-1 On-Site WaterC'' Baseline'!$X$10:$X$257)+SUMIF('F-1 Off-Site WaterC'' Baseline'!$F$10:$F$257,'Detailed Results'!J168,'F-1 Off-Site WaterC'' Baseline'!$AA$10:$AA$257)</f>
        <v>0.40592876099999997</v>
      </c>
      <c r="L168" s="1224">
        <f>IF(K168=0,"",(K168/(SUM($K$164:$K$171)))*100)</f>
        <v>79.787423670184822</v>
      </c>
    </row>
    <row r="169" spans="1:12">
      <c r="A169" s="1216"/>
      <c r="J169" s="1218"/>
      <c r="K169" s="1220"/>
      <c r="L169" s="1225"/>
    </row>
    <row r="170" spans="1:12">
      <c r="A170" s="1216"/>
      <c r="J170" s="1217" t="str">
        <f>'G-1 All Habitats'!$V$6</f>
        <v>Low</v>
      </c>
      <c r="K170" s="1219">
        <f>SUMIF('C-1 On-Site WaterC'' Baseline'!$F$10:$F$257,'Detailed Results'!J170,'C-1 On-Site WaterC'' Baseline'!$X$10:$X$257)+SUMIF('F-1 Off-Site WaterC'' Baseline'!$F$10:$F$257,'Detailed Results'!J170,'F-1 Off-Site WaterC'' Baseline'!$AA$10:$AA$257)</f>
        <v>0</v>
      </c>
      <c r="L170" s="1224" t="str">
        <f>IF(K170=0,"",(K170/(SUM($K$164:$K$171)))*100)</f>
        <v/>
      </c>
    </row>
    <row r="171" spans="1:12" ht="15.75" thickBot="1">
      <c r="A171" s="1216"/>
      <c r="J171" s="1222"/>
      <c r="K171" s="1223"/>
      <c r="L171" s="1226"/>
    </row>
    <row r="172" spans="1:12">
      <c r="A172" s="1216"/>
    </row>
    <row r="173" spans="1:12">
      <c r="A173" s="1216"/>
    </row>
    <row r="174" spans="1:12">
      <c r="A174" s="1216"/>
    </row>
    <row r="175" spans="1:12">
      <c r="A175" s="1216"/>
    </row>
    <row r="176" spans="1:12">
      <c r="A176" s="1216"/>
    </row>
    <row r="177" spans="1:8">
      <c r="A177" s="1216"/>
    </row>
    <row r="178" spans="1:8">
      <c r="A178" s="1216"/>
    </row>
    <row r="179" spans="1:8" ht="15.75" thickBot="1">
      <c r="A179" s="1216"/>
    </row>
    <row r="180" spans="1:8" ht="19.5" thickBot="1">
      <c r="A180" s="1216"/>
      <c r="B180" s="1221" t="s">
        <v>201</v>
      </c>
      <c r="C180" s="1221"/>
      <c r="D180" s="1221"/>
      <c r="E180" s="1221"/>
      <c r="F180" s="1221"/>
      <c r="G180" s="1221"/>
      <c r="H180" s="1221"/>
    </row>
    <row r="181" spans="1:8" ht="16.5" thickBot="1">
      <c r="A181" s="1216"/>
      <c r="B181" s="625"/>
      <c r="C181" s="1204" t="s">
        <v>111</v>
      </c>
      <c r="D181" s="1204"/>
      <c r="E181" s="1204" t="s">
        <v>202</v>
      </c>
      <c r="F181" s="1204"/>
      <c r="G181" s="1204" t="s">
        <v>203</v>
      </c>
      <c r="H181" s="1204"/>
    </row>
    <row r="182" spans="1:8" ht="48" thickBot="1">
      <c r="A182" s="1216"/>
      <c r="B182" s="626" t="s">
        <v>193</v>
      </c>
      <c r="C182" s="625" t="s">
        <v>181</v>
      </c>
      <c r="D182" s="625" t="s">
        <v>143</v>
      </c>
      <c r="E182" s="625" t="s">
        <v>204</v>
      </c>
      <c r="F182" s="625" t="s">
        <v>145</v>
      </c>
      <c r="G182" s="625" t="s">
        <v>183</v>
      </c>
      <c r="H182" s="625" t="s">
        <v>147</v>
      </c>
    </row>
    <row r="183" spans="1:8" ht="15.75">
      <c r="A183" s="1216"/>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16"/>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16"/>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16"/>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16"/>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16"/>
      <c r="B188" s="633"/>
      <c r="C188" s="633"/>
      <c r="D188" s="633"/>
      <c r="E188" s="633"/>
      <c r="F188" s="633"/>
      <c r="G188" s="633"/>
      <c r="H188" s="633"/>
    </row>
    <row r="189" spans="1:8">
      <c r="A189" s="1216"/>
      <c r="B189" s="633"/>
      <c r="C189" s="633"/>
      <c r="D189" s="633"/>
      <c r="E189" s="633"/>
      <c r="F189" s="633"/>
      <c r="G189" s="633"/>
      <c r="H189" s="633"/>
    </row>
    <row r="190" spans="1:8">
      <c r="A190" s="1216"/>
      <c r="B190" s="633"/>
      <c r="C190" s="633"/>
      <c r="D190" s="633"/>
      <c r="E190" s="633"/>
      <c r="F190" s="633"/>
      <c r="G190" s="633"/>
      <c r="H190" s="633"/>
    </row>
    <row r="191" spans="1:8">
      <c r="A191" s="1216"/>
      <c r="B191" s="633"/>
      <c r="C191" s="633"/>
      <c r="D191" s="633"/>
      <c r="E191" s="633"/>
      <c r="F191" s="633"/>
      <c r="G191" s="633"/>
      <c r="H191" s="633"/>
    </row>
    <row r="192" spans="1:8">
      <c r="A192" s="1216"/>
      <c r="B192" s="633"/>
      <c r="C192" s="633"/>
      <c r="D192" s="633"/>
      <c r="E192" s="633"/>
      <c r="F192" s="633"/>
      <c r="G192" s="633"/>
      <c r="H192" s="633"/>
    </row>
    <row r="193" spans="1:8">
      <c r="A193" s="1216"/>
      <c r="B193" s="633"/>
      <c r="C193" s="633"/>
      <c r="D193" s="633"/>
      <c r="E193" s="633"/>
      <c r="F193" s="633"/>
      <c r="G193" s="633"/>
      <c r="H193" s="633"/>
    </row>
    <row r="194" spans="1:8">
      <c r="A194" s="1216"/>
      <c r="B194" s="633"/>
      <c r="C194" s="633"/>
      <c r="D194" s="633"/>
      <c r="E194" s="633"/>
      <c r="F194" s="633"/>
      <c r="G194" s="633"/>
      <c r="H194" s="633"/>
    </row>
    <row r="195" spans="1:8">
      <c r="A195" s="1216"/>
      <c r="B195" s="633"/>
      <c r="C195" s="633"/>
      <c r="D195" s="633"/>
      <c r="E195" s="633"/>
      <c r="F195" s="633"/>
      <c r="G195" s="633"/>
      <c r="H195" s="633"/>
    </row>
    <row r="196" spans="1:8">
      <c r="A196" s="1216"/>
      <c r="B196" s="633"/>
      <c r="C196" s="633"/>
    </row>
    <row r="197" spans="1:8">
      <c r="A197" s="1216"/>
      <c r="B197" s="633"/>
      <c r="C197" s="633"/>
    </row>
    <row r="198" spans="1:8">
      <c r="A198" s="1216"/>
      <c r="B198" s="633"/>
      <c r="C198" s="633"/>
    </row>
    <row r="199" spans="1:8" ht="15.75" thickBot="1">
      <c r="A199" s="1216"/>
      <c r="B199" s="633"/>
      <c r="C199" s="633"/>
    </row>
    <row r="200" spans="1:8" ht="19.5" thickBot="1">
      <c r="A200" s="1216"/>
      <c r="B200" s="1221" t="s">
        <v>205</v>
      </c>
      <c r="C200" s="1221"/>
      <c r="D200" s="1221"/>
      <c r="E200" s="1221"/>
      <c r="F200" s="1221"/>
      <c r="G200" s="1221"/>
      <c r="H200" s="1221"/>
    </row>
    <row r="201" spans="1:8" ht="16.5" thickBot="1">
      <c r="A201" s="1216"/>
      <c r="B201" s="625"/>
      <c r="C201" s="1204" t="s">
        <v>111</v>
      </c>
      <c r="D201" s="1204"/>
      <c r="E201" s="1204" t="s">
        <v>112</v>
      </c>
      <c r="F201" s="1204"/>
      <c r="G201" s="1204" t="s">
        <v>113</v>
      </c>
      <c r="H201" s="1204"/>
    </row>
    <row r="202" spans="1:8" ht="48" thickBot="1">
      <c r="A202" s="1216"/>
      <c r="B202" s="626" t="s">
        <v>193</v>
      </c>
      <c r="C202" s="625" t="s">
        <v>206</v>
      </c>
      <c r="D202" s="625" t="s">
        <v>152</v>
      </c>
      <c r="E202" s="625" t="s">
        <v>187</v>
      </c>
      <c r="F202" s="625" t="s">
        <v>154</v>
      </c>
      <c r="G202" s="625" t="s">
        <v>188</v>
      </c>
      <c r="H202" s="625" t="s">
        <v>156</v>
      </c>
    </row>
    <row r="203" spans="1:8" ht="15.75">
      <c r="A203" s="1216"/>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16"/>
      <c r="B204" s="645" t="s">
        <v>197</v>
      </c>
      <c r="C204" s="648">
        <f t="shared" si="27"/>
        <v>0.18526163800000001</v>
      </c>
      <c r="D204" s="648">
        <f t="shared" si="27"/>
        <v>3.1957632554999997</v>
      </c>
      <c r="E204" s="648">
        <f t="shared" si="27"/>
        <v>8.2427561039500011E-2</v>
      </c>
      <c r="F204" s="648">
        <f t="shared" si="27"/>
        <v>1.421875427931375</v>
      </c>
      <c r="G204" s="648">
        <f t="shared" si="27"/>
        <v>-0.1028340769605</v>
      </c>
      <c r="H204" s="648">
        <f t="shared" si="27"/>
        <v>-1.7738878275686247</v>
      </c>
    </row>
    <row r="205" spans="1:8" ht="15.75">
      <c r="A205" s="1216"/>
      <c r="B205" s="645" t="s">
        <v>198</v>
      </c>
      <c r="C205" s="648">
        <f t="shared" ref="C205:H205" si="28">C165+C185</f>
        <v>0.40592876099999997</v>
      </c>
      <c r="D205" s="648">
        <f t="shared" si="28"/>
        <v>1.7860865484000001</v>
      </c>
      <c r="E205" s="648">
        <f t="shared" si="28"/>
        <v>0</v>
      </c>
      <c r="F205" s="648">
        <f t="shared" si="28"/>
        <v>0</v>
      </c>
      <c r="G205" s="648">
        <f t="shared" si="28"/>
        <v>-0.40592876099999997</v>
      </c>
      <c r="H205" s="648">
        <f t="shared" si="28"/>
        <v>-1.7860865484000001</v>
      </c>
    </row>
    <row r="206" spans="1:8" ht="15.75">
      <c r="A206" s="1216"/>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16"/>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16"/>
      <c r="B208" s="633"/>
      <c r="C208" s="633"/>
      <c r="D208" s="633"/>
      <c r="E208" s="633"/>
      <c r="F208" s="633"/>
      <c r="G208" s="633"/>
      <c r="H208" s="633"/>
    </row>
    <row r="209" spans="1:8">
      <c r="A209" s="1216"/>
      <c r="B209" s="633"/>
      <c r="C209" s="633"/>
      <c r="D209" s="633"/>
      <c r="E209" s="633"/>
      <c r="F209" s="633"/>
      <c r="G209" s="633"/>
      <c r="H209" s="633"/>
    </row>
    <row r="210" spans="1:8">
      <c r="A210" s="1216"/>
      <c r="B210" s="633"/>
      <c r="C210" s="633"/>
      <c r="D210" s="633"/>
      <c r="E210" s="633"/>
      <c r="F210" s="633"/>
      <c r="G210" s="633"/>
      <c r="H210" s="633"/>
    </row>
    <row r="211" spans="1:8">
      <c r="A211" s="1216"/>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qHPtmnVnCYqYJBfWRKBKvFgInA8tiNZ5DuNhEW+gD0Y1FB1NjE2/NvYJWM/1Ej4vq7Kb3mkWhy85Qthrx3yU2g==" saltValue="tcgHw7RUHTjdAsLzdmuyQ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K40 K42 K44 K46 K48">
    <cfRule type="cellIs" dxfId="832" priority="90" operator="greaterThan">
      <formula>0</formula>
    </cfRule>
  </conditionalFormatting>
  <conditionalFormatting sqref="H14:I16">
    <cfRule type="cellIs" dxfId="831" priority="347" operator="equal">
      <formula>"Error"</formula>
    </cfRule>
  </conditionalFormatting>
  <conditionalFormatting sqref="D21:D22">
    <cfRule type="cellIs" dxfId="830" priority="44" operator="equal">
      <formula>"Error ▲"</formula>
    </cfRule>
  </conditionalFormatting>
  <conditionalFormatting sqref="D24:D25">
    <cfRule type="cellIs" dxfId="829" priority="43" operator="equal">
      <formula>"Error ▲"</formula>
    </cfRule>
  </conditionalFormatting>
  <conditionalFormatting sqref="D27:D28">
    <cfRule type="cellIs" dxfId="828" priority="42" operator="equal">
      <formula>"Error ▲"</formula>
    </cfRule>
  </conditionalFormatting>
  <conditionalFormatting sqref="D30:D31">
    <cfRule type="cellIs" dxfId="827" priority="21" operator="equal">
      <formula>"Error ▲"</formula>
    </cfRule>
  </conditionalFormatting>
  <conditionalFormatting sqref="H10:I12 H14:I16">
    <cfRule type="containsText" dxfId="826" priority="9" operator="containsText" text="Check">
      <formula>NOT(ISERROR(SEARCH("Check",H10)))</formula>
    </cfRule>
  </conditionalFormatting>
  <conditionalFormatting sqref="I16">
    <cfRule type="expression" dxfId="825" priority="340">
      <formula>AND($H$21&gt;0,$H$16&lt;0.1)</formula>
    </cfRule>
  </conditionalFormatting>
  <conditionalFormatting sqref="H15">
    <cfRule type="expression" dxfId="824" priority="353">
      <formula>AND($F$21&gt;0,$H$15&lt;0.1)</formula>
    </cfRule>
  </conditionalFormatting>
  <conditionalFormatting sqref="H10:I10">
    <cfRule type="cellIs" dxfId="823" priority="352" operator="equal">
      <formula>"Error"</formula>
    </cfRule>
  </conditionalFormatting>
  <conditionalFormatting sqref="H14">
    <cfRule type="expression" dxfId="822" priority="354">
      <formula>AND($D$21&gt;0,$H$14&lt;0.1)</formula>
    </cfRule>
  </conditionalFormatting>
  <conditionalFormatting sqref="K103 K105 K107 K109">
    <cfRule type="cellIs" dxfId="821" priority="6" operator="greaterThan">
      <formula>0</formula>
    </cfRule>
  </conditionalFormatting>
  <conditionalFormatting sqref="K164">
    <cfRule type="cellIs" dxfId="820" priority="5" operator="greaterThan">
      <formula>0</formula>
    </cfRule>
  </conditionalFormatting>
  <conditionalFormatting sqref="K166 K168 K170">
    <cfRule type="cellIs" dxfId="819" priority="4" operator="greaterThan">
      <formula>0</formula>
    </cfRule>
  </conditionalFormatting>
  <conditionalFormatting sqref="K101">
    <cfRule type="cellIs" dxfId="818" priority="3" operator="greaterThan">
      <formula>0</formula>
    </cfRule>
  </conditionalFormatting>
  <conditionalFormatting sqref="H15:I15">
    <cfRule type="expression" dxfId="817" priority="335">
      <formula>AND($F$21&gt;0,$H$16&lt;0.1)</formula>
    </cfRule>
  </conditionalFormatting>
  <conditionalFormatting sqref="H16:I16">
    <cfRule type="expression" dxfId="816" priority="2">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2"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6"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6" t="s">
        <v>207</v>
      </c>
      <c r="C2" s="1297"/>
      <c r="D2" s="1297"/>
      <c r="E2" s="1297"/>
      <c r="F2" s="1297"/>
      <c r="G2" s="1298"/>
      <c r="H2" s="32"/>
      <c r="I2" s="32"/>
      <c r="J2" s="32"/>
      <c r="K2" s="32"/>
      <c r="L2" s="32"/>
      <c r="M2" s="32"/>
      <c r="N2" s="32"/>
      <c r="O2" s="32"/>
      <c r="P2" s="32"/>
      <c r="Q2" s="32"/>
    </row>
    <row r="3" spans="1:17" ht="15" customHeight="1">
      <c r="A3" s="32"/>
      <c r="B3" s="1312" t="s">
        <v>208</v>
      </c>
      <c r="C3" s="1314" t="s">
        <v>209</v>
      </c>
      <c r="D3" s="1314"/>
      <c r="E3" s="1314"/>
      <c r="F3" s="1314"/>
      <c r="G3" s="1310" t="s">
        <v>210</v>
      </c>
      <c r="H3" s="219"/>
      <c r="I3" s="219"/>
      <c r="J3" s="219"/>
      <c r="K3" s="219"/>
      <c r="L3" s="32"/>
      <c r="M3" s="32"/>
      <c r="N3" s="32"/>
      <c r="O3" s="32"/>
      <c r="P3" s="32"/>
      <c r="Q3" s="32"/>
    </row>
    <row r="4" spans="1:17" ht="14.25" customHeight="1">
      <c r="A4" s="32"/>
      <c r="B4" s="1313"/>
      <c r="C4" s="1315"/>
      <c r="D4" s="1315"/>
      <c r="E4" s="1315"/>
      <c r="F4" s="1315"/>
      <c r="G4" s="1311"/>
      <c r="H4" s="219"/>
      <c r="I4" s="219"/>
      <c r="J4" s="219"/>
      <c r="K4" s="219"/>
      <c r="L4" s="32"/>
      <c r="M4" s="32"/>
      <c r="N4" s="32"/>
      <c r="O4" s="32"/>
      <c r="P4" s="32"/>
      <c r="Q4" s="32"/>
    </row>
    <row r="5" spans="1:17" ht="20.25">
      <c r="A5" s="32"/>
      <c r="B5" s="99" t="s">
        <v>211</v>
      </c>
      <c r="C5" s="1316" t="s">
        <v>212</v>
      </c>
      <c r="D5" s="1317"/>
      <c r="E5" s="1317"/>
      <c r="F5" s="1318"/>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319" t="s">
        <v>214</v>
      </c>
      <c r="D6" s="1319"/>
      <c r="E6" s="1319"/>
      <c r="F6" s="1319"/>
      <c r="G6" s="545" t="str">
        <f>IFERROR(IF(J41&lt;0,"No ▲","Yes ✓"),"")</f>
        <v>No ▲</v>
      </c>
      <c r="H6" s="32"/>
      <c r="I6" s="32"/>
      <c r="J6" s="32"/>
      <c r="K6" s="32"/>
      <c r="L6" s="32"/>
      <c r="M6" s="32"/>
      <c r="N6" s="32"/>
      <c r="O6" s="32"/>
      <c r="P6" s="32"/>
      <c r="Q6" s="32"/>
    </row>
    <row r="7" spans="1:17" ht="19.5" customHeight="1">
      <c r="A7" s="32"/>
      <c r="B7" s="99" t="s">
        <v>70</v>
      </c>
      <c r="C7" s="1320" t="s">
        <v>215</v>
      </c>
      <c r="D7" s="1320"/>
      <c r="E7" s="1320"/>
      <c r="F7" s="1320"/>
      <c r="G7" s="546" t="str">
        <f>IF(J40+J12+J89&lt;0,"No ▲","Yes ✓")</f>
        <v>Yes ✓</v>
      </c>
      <c r="H7" s="32"/>
      <c r="I7" s="32"/>
      <c r="J7" s="32"/>
      <c r="K7" s="32"/>
      <c r="L7" s="32"/>
      <c r="M7" s="32"/>
      <c r="N7" s="32"/>
      <c r="O7" s="32"/>
      <c r="P7" s="32"/>
      <c r="Q7" s="32"/>
    </row>
    <row r="8" spans="1:17" ht="18.75" customHeight="1" thickBot="1">
      <c r="A8" s="32"/>
      <c r="B8" s="74" t="s">
        <v>216</v>
      </c>
      <c r="C8" s="1321" t="s">
        <v>217</v>
      </c>
      <c r="D8" s="1321"/>
      <c r="E8" s="1321"/>
      <c r="F8" s="1321"/>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296" t="s">
        <v>218</v>
      </c>
      <c r="C11" s="1297"/>
      <c r="D11" s="1297"/>
      <c r="E11" s="1297"/>
      <c r="F11" s="1297"/>
      <c r="G11" s="1298"/>
      <c r="H11" s="32"/>
      <c r="I11" s="1301" t="s">
        <v>219</v>
      </c>
      <c r="J11" s="1302"/>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09" t="str">
        <f>IF($G$33&lt;0,"Very high distinctiveness unit defecit - CHECK DATA","")</f>
        <v/>
      </c>
      <c r="J13" s="1309"/>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22" t="s">
        <v>225</v>
      </c>
      <c r="C39" s="1323"/>
      <c r="D39" s="1323"/>
      <c r="E39" s="1323"/>
      <c r="F39" s="1323"/>
      <c r="G39" s="1324"/>
      <c r="H39" s="32"/>
      <c r="I39" s="1301" t="s">
        <v>226</v>
      </c>
      <c r="J39" s="1302"/>
      <c r="K39" s="32"/>
      <c r="L39" s="32"/>
      <c r="M39" s="32"/>
    </row>
    <row r="40" spans="1:17" ht="47.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5.75"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-2.9410860583319995</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-2.9410860583319995</v>
      </c>
      <c r="E54" s="346">
        <f>'G-2 Habitat groups'!BD44</f>
        <v>0</v>
      </c>
      <c r="F54" s="346">
        <f>'G-2 Habitat groups'!BE44</f>
        <v>-2.9410860583319995</v>
      </c>
      <c r="G54" s="347">
        <f>'G-2 Habitat groups'!BF44</f>
        <v>-2.9410860583319995</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4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-2.9410860583319995</v>
      </c>
      <c r="E83" s="610">
        <f>SUM(E41:E81)</f>
        <v>0</v>
      </c>
      <c r="F83" s="344">
        <f>SUM(F41:F81)</f>
        <v>-2.9410860583319995</v>
      </c>
      <c r="G83" s="714">
        <f>SUM(G41:G81)</f>
        <v>-2.9410860583319995</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06" t="s">
        <v>231</v>
      </c>
      <c r="C87" s="1307"/>
      <c r="D87" s="1307"/>
      <c r="E87" s="1307"/>
      <c r="F87" s="1307"/>
      <c r="G87" s="1308"/>
      <c r="H87" s="32"/>
      <c r="I87" s="1299" t="s">
        <v>232</v>
      </c>
      <c r="J87" s="1300"/>
      <c r="K87" s="32"/>
      <c r="L87" s="32"/>
      <c r="M87" s="32"/>
      <c r="N87" s="32"/>
      <c r="O87" s="32"/>
    </row>
    <row r="88" spans="1:17" ht="48" thickBot="1">
      <c r="A88" s="32"/>
      <c r="B88" s="275" t="s">
        <v>114</v>
      </c>
      <c r="C88" s="276" t="s">
        <v>220</v>
      </c>
      <c r="D88" s="276" t="s">
        <v>120</v>
      </c>
      <c r="E88" s="276" t="s">
        <v>147</v>
      </c>
      <c r="F88" s="276" t="s">
        <v>233</v>
      </c>
      <c r="G88" s="277" t="s">
        <v>234</v>
      </c>
      <c r="H88" s="32"/>
      <c r="I88" s="73" t="s">
        <v>249</v>
      </c>
      <c r="J88" s="352">
        <f>SUMIF(G89:G115,"&gt;0")</f>
        <v>116.58143682650793</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3">
        <f>SUM(F89:F92)</f>
        <v>0</v>
      </c>
      <c r="H89" s="32"/>
      <c r="I89" s="99" t="s">
        <v>235</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04"/>
      <c r="H90" s="32"/>
      <c r="I90" s="99" t="s">
        <v>1683</v>
      </c>
      <c r="J90" s="353">
        <f>J40+J12+J89</f>
        <v>0</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4"/>
      <c r="H91" s="32"/>
      <c r="I91" s="74" t="s">
        <v>236</v>
      </c>
      <c r="J91" s="351">
        <f>J90+J88</f>
        <v>116.58143682650793</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04"/>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3">
        <f>SUM(F93:F95)</f>
        <v>36.482827851233822</v>
      </c>
      <c r="H93" s="32"/>
      <c r="I93" s="32"/>
      <c r="J93" s="32"/>
      <c r="K93" s="32"/>
      <c r="L93" s="32"/>
    </row>
    <row r="94" spans="1:17">
      <c r="A94" s="32"/>
      <c r="B94" s="271" t="str">
        <f>'G-2 Habitat groups'!AU85</f>
        <v>Grassland - Other neutral grassland</v>
      </c>
      <c r="C94" s="272" t="str">
        <f>'G-2 Habitat groups'!AV85</f>
        <v>Grassland</v>
      </c>
      <c r="D94" s="346">
        <f>'G-2 Habitat groups'!BB85</f>
        <v>36.482827851233822</v>
      </c>
      <c r="E94" s="346">
        <f>'G-2 Habitat groups'!BD85</f>
        <v>0</v>
      </c>
      <c r="F94" s="346">
        <f>'G-2 Habitat groups'!BE85</f>
        <v>36.482827851233822</v>
      </c>
      <c r="G94" s="1304"/>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5"/>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03">
        <f>SUM(F96:F102)</f>
        <v>7.156037531005385</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4"/>
      <c r="H97" s="32"/>
      <c r="I97" s="32"/>
      <c r="J97" s="32"/>
      <c r="K97" s="32"/>
      <c r="L97" s="32"/>
      <c r="M97" s="32"/>
    </row>
    <row r="98" spans="1:15">
      <c r="A98" s="32"/>
      <c r="B98" s="271" t="str">
        <f>'G-2 Habitat groups'!AU89</f>
        <v>Heathland and shrub - Gorse scrub</v>
      </c>
      <c r="C98" s="272" t="str">
        <f>'G-2 Habitat groups'!AV89</f>
        <v>Heathland and shrub</v>
      </c>
      <c r="D98" s="346">
        <f>'G-2 Habitat groups'!BB89</f>
        <v>4.3547083702077689</v>
      </c>
      <c r="E98" s="346">
        <f>'G-2 Habitat groups'!BD89</f>
        <v>0</v>
      </c>
      <c r="F98" s="346">
        <f>'G-2 Habitat groups'!BE89</f>
        <v>4.3547083702077689</v>
      </c>
      <c r="G98" s="1304"/>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4"/>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4"/>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4"/>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2.8013291607976161</v>
      </c>
      <c r="E102" s="355">
        <f>'G-2 Habitat groups'!BD92</f>
        <v>0</v>
      </c>
      <c r="F102" s="355">
        <f>'G-2 Habitat groups'!BE92</f>
        <v>2.8013291607976161</v>
      </c>
      <c r="G102" s="1305"/>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03">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05"/>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3">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4"/>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3">
        <f>SUM(F108:F109)</f>
        <v>58.485186747232262</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58.485186747232262</v>
      </c>
      <c r="E109" s="576">
        <f>'G-2 Habitat groups'!BD80</f>
        <v>0</v>
      </c>
      <c r="F109" s="355">
        <f>'G-2 Habitat groups'!BE80</f>
        <v>58.485186747232262</v>
      </c>
      <c r="G109" s="1305"/>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3">
        <f>SUM(F110:F112)</f>
        <v>14.457384697036465</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04"/>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14.457384697036465</v>
      </c>
      <c r="E112" s="355">
        <f>'G-2 Habitat groups'!BD100</f>
        <v>0</v>
      </c>
      <c r="F112" s="355">
        <f>'G-2 Habitat groups'!BE100</f>
        <v>14.457384697036465</v>
      </c>
      <c r="G112" s="1305"/>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3">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4"/>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5"/>
      <c r="H115" s="32"/>
      <c r="I115" s="32"/>
      <c r="J115" s="32"/>
      <c r="K115" s="32"/>
      <c r="L115" s="32"/>
      <c r="M115" s="32"/>
      <c r="N115" s="32"/>
      <c r="O115" s="32"/>
    </row>
    <row r="116" spans="1:17" ht="14.45" customHeight="1" thickBot="1">
      <c r="A116" s="32"/>
      <c r="B116" s="32"/>
      <c r="C116" s="32"/>
      <c r="D116" s="342">
        <f>SUM(D89:D115)</f>
        <v>116.58143682650793</v>
      </c>
      <c r="E116" s="343">
        <f>SUM(E89:E115)</f>
        <v>0</v>
      </c>
      <c r="F116" s="344">
        <f>SUM(F89:F115)</f>
        <v>116.58143682650793</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296" t="s">
        <v>237</v>
      </c>
      <c r="C123" s="1297"/>
      <c r="D123" s="1297"/>
      <c r="E123" s="1297"/>
      <c r="F123" s="1298"/>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299" t="s">
        <v>238</v>
      </c>
      <c r="J124" s="1300"/>
      <c r="K124" s="32"/>
      <c r="L124" s="32"/>
      <c r="M124" s="32"/>
      <c r="N124" s="32"/>
    </row>
    <row r="125" spans="1:17">
      <c r="A125" s="32"/>
      <c r="B125" s="215" t="str">
        <f>'G-2 Habitat groups'!AU113</f>
        <v>Cropland - Cereal crops</v>
      </c>
      <c r="C125" s="79" t="str">
        <f>'G-2 Habitat groups'!AV113</f>
        <v>Cropland</v>
      </c>
      <c r="D125" s="358">
        <f>'G-2 Habitat groups'!BB113</f>
        <v>-10.263152438820001</v>
      </c>
      <c r="E125" s="358">
        <f>'G-2 Habitat groups'!BD113</f>
        <v>0</v>
      </c>
      <c r="F125" s="347">
        <f>'G-2 Habitat groups'!BE113</f>
        <v>-10.263152438820001</v>
      </c>
      <c r="G125" s="32"/>
      <c r="H125" s="32"/>
      <c r="I125" s="73" t="s">
        <v>239</v>
      </c>
      <c r="J125" s="352">
        <f>F163</f>
        <v>-89.428860685903288</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27.152576140604637</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-72.172136345281999</v>
      </c>
      <c r="E131" s="358">
        <f>'G-2 Habitat groups'!BD119</f>
        <v>0</v>
      </c>
      <c r="F131" s="347">
        <f>'G-2 Habitat groups'!BE119</f>
        <v>-72.172136345281999</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-13.508406538176001</v>
      </c>
      <c r="E136" s="358">
        <f>'G-2 Habitat groups'!BD151</f>
        <v>0</v>
      </c>
      <c r="F136" s="347">
        <f>'G-2 Habitat groups'!BE151</f>
        <v>-13.508406538176001</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6.5148346363747196</v>
      </c>
      <c r="E148" s="358">
        <f>'G-2 Habitat groups'!BD135</f>
        <v>0</v>
      </c>
      <c r="F148" s="347">
        <f>'G-2 Habitat groups'!BE135</f>
        <v>6.5148346363747196</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-89.428860685903288</v>
      </c>
      <c r="E163" s="133"/>
      <c r="F163" s="414">
        <f>SUM(F125:F162)</f>
        <v>-89.428860685903288</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6/PAsCsYFiUd1wf973KHyvpzZ75ln02/b5l2LwBYBew0llUHYTcAj6APvlsvt7ZqARi/PPQqxV/5OQBWWeIKxg==" saltValue="zyTqpHogIbiEAwja5LMnlw=="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H3">
    <cfRule type="cellIs" dxfId="813" priority="94" operator="equal">
      <formula>"Check Proposed Habitat Trading"</formula>
    </cfRule>
    <cfRule type="cellIs" dxfId="812" priority="95" operator="equal">
      <formula>"Overall Trading Acceptable"</formula>
    </cfRule>
  </conditionalFormatting>
  <conditionalFormatting sqref="J12">
    <cfRule type="cellIs" dxfId="811" priority="67" operator="greaterThan">
      <formula>0</formula>
    </cfRule>
    <cfRule type="cellIs" dxfId="810" priority="68" operator="lessThan">
      <formula>0</formula>
    </cfRule>
  </conditionalFormatting>
  <conditionalFormatting sqref="J41">
    <cfRule type="cellIs" dxfId="809" priority="60" operator="greaterThan">
      <formula>0</formula>
    </cfRule>
    <cfRule type="cellIs" dxfId="808" priority="63" operator="lessThan">
      <formula>0</formula>
    </cfRule>
  </conditionalFormatting>
  <conditionalFormatting sqref="J40">
    <cfRule type="cellIs" dxfId="807" priority="61" operator="greaterThan">
      <formula>0</formula>
    </cfRule>
    <cfRule type="cellIs" dxfId="806" priority="62" operator="lessThan">
      <formula>0</formula>
    </cfRule>
  </conditionalFormatting>
  <conditionalFormatting sqref="J88 J90:J91 J125:J126">
    <cfRule type="cellIs" dxfId="805" priority="34" operator="lessThan">
      <formula>0</formula>
    </cfRule>
    <cfRule type="cellIs" dxfId="804" priority="35" operator="greaterThan">
      <formula>0</formula>
    </cfRule>
  </conditionalFormatting>
  <conditionalFormatting sqref="G5:G8">
    <cfRule type="containsText" dxfId="803" priority="64" operator="containsText" text="Yes">
      <formula>NOT(ISERROR(SEARCH("Yes",G5)))</formula>
    </cfRule>
    <cfRule type="containsText" dxfId="802" priority="65" operator="containsText" text="No">
      <formula>NOT(ISERROR(SEARCH("No",G5)))</formula>
    </cfRule>
  </conditionalFormatting>
  <conditionalFormatting sqref="J89">
    <cfRule type="cellIs" dxfId="801" priority="31" operator="lessThan">
      <formula>0</formula>
    </cfRule>
  </conditionalFormatting>
  <conditionalFormatting sqref="B89:F115 B125:F162 B41:G82">
    <cfRule type="expression" dxfId="800" priority="15">
      <formula>$F41&gt;0</formula>
    </cfRule>
    <cfRule type="expression" dxfId="799" priority="16">
      <formula>$F41&lt;0</formula>
    </cfRule>
  </conditionalFormatting>
  <conditionalFormatting sqref="G89:G105 G110:G115">
    <cfRule type="expression" dxfId="798" priority="13">
      <formula>$G89&gt;0</formula>
    </cfRule>
    <cfRule type="expression" dxfId="797" priority="14">
      <formula>$G89&lt;0</formula>
    </cfRule>
  </conditionalFormatting>
  <conditionalFormatting sqref="B13:G32">
    <cfRule type="expression" dxfId="796" priority="7">
      <formula>$F13&gt;0</formula>
    </cfRule>
    <cfRule type="expression" dxfId="795" priority="8">
      <formula>$F13&lt;0</formula>
    </cfRule>
  </conditionalFormatting>
  <conditionalFormatting sqref="I13:J13">
    <cfRule type="containsText" dxfId="794" priority="6" operator="containsText" text="Very high distinctiveness unit defecit - CHECK DATA">
      <formula>NOT(ISERROR(SEARCH("Very high distinctiveness unit defecit - CHECK DATA",I13)))</formula>
    </cfRule>
  </conditionalFormatting>
  <conditionalFormatting sqref="G106 G108">
    <cfRule type="expression" dxfId="793" priority="3">
      <formula>$G106&gt;0</formula>
    </cfRule>
    <cfRule type="expression" dxfId="792"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9f8c8a48736313b6d2684906ad4f928f">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c536e181234c9d3f1eaed877eda6679"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d06ba8-3d0c-4461-b1b9-cc99cc46e70a">
      <Terms xmlns="http://schemas.microsoft.com/office/infopath/2007/PartnerControls"/>
    </lcf76f155ced4ddcb4097134ff3c332f>
    <TaxCatchAll xmlns="f4edfb27-fdcf-4944-9520-fd54d4f1d725" xsi:nil="true"/>
    <FileType1 xmlns="f4edfb27-fdcf-4944-9520-fd54d4f1d725">Superseded Documentation</FileType1>
    <_Flow_SignoffStatus xmlns="0cd06ba8-3d0c-4461-b1b9-cc99cc46e70a" xsi:nil="true"/>
    <CategoryDescription xmlns="http://schemas.microsoft.com/sharepoint.v3">Rcd 26102023</CategoryDescription>
    <Public xmlns="f4edfb27-fdcf-4944-9520-fd54d4f1d725">true</Public>
  </documentManagement>
</p:properti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08D3F70D-13BA-4CA1-A699-D3998B12647A}"/>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schemas.microsoft.com/office/infopath/2007/PartnerControls"/>
    <ds:schemaRef ds:uri="662745e8-e224-48e8-a2e3-254862b8c2f5"/>
    <ds:schemaRef ds:uri="c2882a20-fcb3-4e62-b082-ac21ed701140"/>
  </ds:schemaRefs>
</ds:datastoreItem>
</file>

<file path=customXml/itemProps4.xml><?xml version="1.0" encoding="utf-8"?>
<ds:datastoreItem xmlns:ds="http://schemas.openxmlformats.org/officeDocument/2006/customXml" ds:itemID="{D4547E49-D978-42D5-83A3-830A6F3A0B9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cp:lastPrinted>2023-10-18T12:46:35Z</cp:lastPrinted>
  <dcterms:created xsi:type="dcterms:W3CDTF">2018-04-09T09:41:18Z</dcterms:created>
  <dcterms:modified xsi:type="dcterms:W3CDTF">2023-10-26T14:33:57Z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0x01010084F35F844C555749A4A584284E5541DC</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y fmtid="{D5CDD505-2E9C-101B-9397-08002B2CF9AE}" pid="13" name="lae2bfa7b6474897ab4a53f76ea236c7">
    <vt:lpwstr>Official|14c80daa-741b-422c-9722-f71693c9ede4</vt:lpwstr>
  </property>
  <property fmtid="{D5CDD505-2E9C-101B-9397-08002B2CF9AE}" pid="14" name="fe59e9859d6a491389c5b03567f5dda5">
    <vt:lpwstr>NE|275df9ce-cd92-4318-adfe-db572e51c7ff</vt:lpwstr>
  </property>
  <property fmtid="{D5CDD505-2E9C-101B-9397-08002B2CF9AE}" pid="16" name="Topic">
    <vt:lpwstr>External Sharing</vt:lpwstr>
  </property>
  <property fmtid="{D5CDD505-2E9C-101B-9397-08002B2CF9AE}" pid="17" name="cf401361b24e474cb011be6eb76c0e76">
    <vt:lpwstr>Crown|69589897-2828-4761-976e-717fd8e631c9</vt:lpwstr>
  </property>
  <property fmtid="{D5CDD505-2E9C-101B-9397-08002B2CF9AE}" pid="18" name="ddeb1fd0a9ad4436a96525d34737dc44">
    <vt:lpwstr>Internal NE|70a74972-c838-4a08-aeb8-2c6aad14b4d9</vt:lpwstr>
  </property>
  <property fmtid="{D5CDD505-2E9C-101B-9397-08002B2CF9AE}" pid="19" name="HOMigrated">
    <vt:bool>false</vt:bool>
  </property>
  <property fmtid="{D5CDD505-2E9C-101B-9397-08002B2CF9AE}" pid="20" name="n7493b4506bf40e28c373b1e51a33445">
    <vt:lpwstr>Team|ff0485df-0575-416f-802f-e999165821b7</vt:lpwstr>
  </property>
  <property fmtid="{D5CDD505-2E9C-101B-9397-08002B2CF9AE}" pid="21" name="Team">
    <vt:lpwstr>C21 Change Support Programme</vt:lpwstr>
  </property>
</Properties>
</file>