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codeName="ThisWorkbook" defaultThemeVersion="166925"/>
  <mc:AlternateContent xmlns:mc="http://schemas.openxmlformats.org/markup-compatibility/2006">
    <mc:Choice Requires="x15">
      <x15ac:absPath xmlns:x15ac="http://schemas.microsoft.com/office/spreadsheetml/2010/11/ac" url="C:\Users\mbutt\Downloads\"/>
    </mc:Choice>
  </mc:AlternateContent>
  <xr:revisionPtr revIDLastSave="0" documentId="8_{DC142F43-7A10-411C-B1B4-17CEDF18D4DE}" xr6:coauthVersionLast="47" xr6:coauthVersionMax="47" xr10:uidLastSave="{00000000-0000-0000-0000-000000000000}"/>
  <workbookProtection workbookAlgorithmName="SHA-512" workbookHashValue="ggGWXxTTTq7A5ssv3Cm/VyzsuEdg0JCJjt1qvBA9IrZy2p7vDWp2wTbnxsG6MdarW2opkVpJo9O7b+RQAL258A==" workbookSaltValue="Fux5GNZMdAww6cRmiVOeyg==" workbookSpinCount="100000" lockStructure="1"/>
  <bookViews>
    <workbookView xWindow="0" yWindow="0" windowWidth="11040" windowHeight="2484" tabRatio="730" xr2:uid="{29E6C19A-7B8C-4DEC-93E8-BE5BF8A93D58}"/>
  </bookViews>
  <sheets>
    <sheet name="1. Introduction" sheetId="14" r:id="rId1"/>
    <sheet name="2. Site Details" sheetId="15" r:id="rId2"/>
    <sheet name="3. Desktop Assessment" sheetId="10" r:id="rId3"/>
    <sheet name="4. Supporting Information" sheetId="18" r:id="rId4"/>
    <sheet name="5. Area Habitats" sheetId="1" r:id="rId5"/>
    <sheet name="6. Hedges &amp; Lines of Trees" sheetId="21" r:id="rId6"/>
    <sheet name="7. Watercourses" sheetId="22" r:id="rId7"/>
    <sheet name="8. Headline Results" sheetId="11" r:id="rId8"/>
    <sheet name="9. All Habitats + Multipliers" sheetId="12" r:id="rId9"/>
    <sheet name="10. Condition and Temporal" sheetId="20" r:id="rId10"/>
    <sheet name="11. Lists" sheetId="4" r:id="rId11"/>
    <sheet name="12. Version history" sheetId="23" r:id="rId12"/>
    <sheet name="13. Habitats Translation" sheetId="19" state="hidden" r:id="rId13"/>
  </sheets>
  <externalReferences>
    <externalReference r:id="rId14"/>
  </externalReferences>
  <definedNames>
    <definedName name="_xlnm._FilterDatabase" localSheetId="9" hidden="1">'10. Condition and Temporal'!$C$4:$M$85</definedName>
    <definedName name="_xlnm._FilterDatabase" localSheetId="12" hidden="1">'13. Habitats Translation'!$B$2:$F$83</definedName>
    <definedName name="CoastalSaltmarsh" localSheetId="5">Table15[Coastalsaltmarsh]</definedName>
    <definedName name="CoastalSaltmarsh" localSheetId="6">Table15[Coastalsaltmarsh]</definedName>
    <definedName name="CoastalSaltmarsh">Table15[Coastalsaltmarsh]</definedName>
    <definedName name="Cropland" localSheetId="5">Table2[Cropland]</definedName>
    <definedName name="Cropland" localSheetId="6">Table2[Cropland]</definedName>
    <definedName name="Cropland">Table2[Cropland]</definedName>
    <definedName name="Grassland" localSheetId="5">Table3[Grassland]</definedName>
    <definedName name="Grassland" localSheetId="6">Table3[Grassland]</definedName>
    <definedName name="Grassland">Table3[Grassland]</definedName>
    <definedName name="Heathlandandshrub" localSheetId="5">Table4[Heathlandandshrub]</definedName>
    <definedName name="Heathlandandshrub" localSheetId="6">Table4[Heathlandandshrub]</definedName>
    <definedName name="Heathlandandshrub">Table4[Heathlandandshrub]</definedName>
    <definedName name="Hedgerow">Table11[HedgerowsandLinesoftrees]</definedName>
    <definedName name="HedgerowsandLinesofTrees">Table11[HedgerowsandLinesoftrees]</definedName>
    <definedName name="Intertidalhardstructures" localSheetId="5">Table5[Intertidalhardstructures]</definedName>
    <definedName name="Intertidalhardstructures" localSheetId="6">Table5[Intertidalhardstructures]</definedName>
    <definedName name="Intertidalhardstructures">Table5[Intertidalhardstructures]</definedName>
    <definedName name="Intertidalsediment" localSheetId="5">Table6[Intertidalsediment]</definedName>
    <definedName name="Intertidalsediment" localSheetId="6">Table6[Intertidalsediment]</definedName>
    <definedName name="Intertidalsediment">Table6[Intertidalsediment]</definedName>
    <definedName name="Lakes" localSheetId="5">Table7[Lakes]</definedName>
    <definedName name="Lakes" localSheetId="6">Table7[Lakes]</definedName>
    <definedName name="Lakes">Table7[Lakes]</definedName>
    <definedName name="Lineoftrees" localSheetId="5">Table12[Lineoftrees]</definedName>
    <definedName name="Lineoftrees" localSheetId="6">Table12[Lineoftrees]</definedName>
    <definedName name="Lineoftrees">Table12[Lineoftrees]</definedName>
    <definedName name="_xlnm.Print_Area" localSheetId="0">'1. Introduction'!$B$1:$S$36</definedName>
    <definedName name="_xlnm.Print_Area" localSheetId="1">'2. Site Details'!$B$2:$D$23</definedName>
    <definedName name="_xlnm.Print_Area" localSheetId="2">'3. Desktop Assessment'!$B$2:$D$23</definedName>
    <definedName name="_xlnm.Print_Area" localSheetId="3">'4. Supporting Information'!$B$2:$E$47</definedName>
    <definedName name="_xlnm.Print_Area" localSheetId="4">'5. Area Habitats'!$A$2:$Q$140</definedName>
    <definedName name="_xlnm.Print_Area" localSheetId="5">'6. Hedges &amp; Lines of Trees'!$A$1:$Q$100</definedName>
    <definedName name="_xlnm.Print_Area" localSheetId="6">'7. Watercourses'!$A$1:$Q$100</definedName>
    <definedName name="_xlnm.Print_Area" localSheetId="7">'8. Headline Results'!$B$2:$D$49</definedName>
    <definedName name="Rivers" localSheetId="5">Table13[Watercourses]</definedName>
    <definedName name="Rivers" localSheetId="6">Table13[Watercourses]</definedName>
    <definedName name="Rivers">Table13[Watercourses]</definedName>
    <definedName name="Sparselyvegetatedland" localSheetId="5">Table8[Sparselyvegetatedland]</definedName>
    <definedName name="Sparselyvegetatedland" localSheetId="6">Table8[Sparselyvegetatedland]</definedName>
    <definedName name="Sparselyvegetatedland">Table8[Sparselyvegetatedland]</definedName>
    <definedName name="TemporalConditions">'[1]G-4 Temporal multipliers'!$F$3:$M$3</definedName>
    <definedName name="TemporalData">'[1]G-4 Temporal multipliers'!$F$3:$M$138</definedName>
    <definedName name="TemporalHabitats">'[1]G-4 Temporal multipliers'!$F$3:$F$138</definedName>
    <definedName name="Urban" localSheetId="5">Table9[Urban]</definedName>
    <definedName name="Urban" localSheetId="6">Table9[Urban]</definedName>
    <definedName name="Urban">Table9[Urban]</definedName>
    <definedName name="Watercourses">'11. Lists'!$Y$2:$Y$4</definedName>
    <definedName name="Woodlandandforest" localSheetId="5">Table10[Woodlandandforest]</definedName>
    <definedName name="Woodlandandforest" localSheetId="6">Table10[Woodlandandforest]</definedName>
    <definedName name="Woodlandandforest">Table10[Woodlandandforest]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5" l="1"/>
  <c r="E14" i="15"/>
  <c r="E15" i="15"/>
  <c r="E17" i="15"/>
  <c r="E18" i="15"/>
  <c r="E19" i="15"/>
  <c r="C2" i="10"/>
  <c r="D6" i="10"/>
  <c r="E6" i="10"/>
  <c r="D7" i="10"/>
  <c r="B8" i="10"/>
  <c r="D8" i="10"/>
  <c r="B9" i="10"/>
  <c r="D9" i="10"/>
  <c r="D11" i="10"/>
  <c r="D12" i="10"/>
  <c r="D16" i="10"/>
  <c r="D19" i="10"/>
  <c r="D20" i="10"/>
  <c r="D2" i="18"/>
  <c r="E2" i="18"/>
  <c r="C9" i="18"/>
  <c r="C11" i="18"/>
  <c r="C13" i="18"/>
  <c r="C15" i="18"/>
  <c r="C17" i="18"/>
  <c r="C19" i="18"/>
  <c r="C21" i="18"/>
  <c r="C23" i="18"/>
  <c r="C25" i="18"/>
  <c r="C27" i="18"/>
  <c r="C29" i="18"/>
  <c r="C31" i="18"/>
  <c r="C33" i="18"/>
  <c r="C35" i="18"/>
  <c r="C37" i="18"/>
  <c r="C39" i="18"/>
  <c r="C41" i="18"/>
  <c r="C43" i="18"/>
  <c r="C45" i="18"/>
  <c r="C47" i="18"/>
  <c r="C2" i="1"/>
  <c r="M11" i="1"/>
  <c r="T11" i="1"/>
  <c r="V11" i="1"/>
  <c r="W11" i="1"/>
  <c r="X11" i="1"/>
  <c r="AB11" i="1"/>
  <c r="AC11" i="1"/>
  <c r="AD11" i="1"/>
  <c r="AE11" i="1"/>
  <c r="AF11" i="1"/>
  <c r="AG11" i="1"/>
  <c r="AH11" i="1"/>
  <c r="AI11" i="1"/>
  <c r="M12" i="1"/>
  <c r="T12" i="1"/>
  <c r="V12" i="1"/>
  <c r="W12" i="1"/>
  <c r="X12" i="1"/>
  <c r="AB12" i="1"/>
  <c r="AC12" i="1"/>
  <c r="AD12" i="1"/>
  <c r="AE12" i="1"/>
  <c r="AF12" i="1"/>
  <c r="AG12" i="1"/>
  <c r="AH12" i="1"/>
  <c r="AI12" i="1"/>
  <c r="M13" i="1"/>
  <c r="T13" i="1"/>
  <c r="V13" i="1"/>
  <c r="W13" i="1"/>
  <c r="X13" i="1"/>
  <c r="AB13" i="1"/>
  <c r="AC13" i="1"/>
  <c r="AD13" i="1"/>
  <c r="AE13" i="1"/>
  <c r="AF13" i="1"/>
  <c r="AG13" i="1"/>
  <c r="AH13" i="1"/>
  <c r="AI13" i="1"/>
  <c r="L14" i="1"/>
  <c r="M14" i="1"/>
  <c r="N14" i="1"/>
  <c r="T14" i="1"/>
  <c r="V14" i="1"/>
  <c r="W14" i="1"/>
  <c r="X14" i="1"/>
  <c r="AB14" i="1"/>
  <c r="AC14" i="1"/>
  <c r="AD14" i="1"/>
  <c r="AE14" i="1"/>
  <c r="AF14" i="1"/>
  <c r="AG14" i="1"/>
  <c r="AH14" i="1"/>
  <c r="AI14" i="1"/>
  <c r="L15" i="1"/>
  <c r="M15" i="1"/>
  <c r="N15" i="1"/>
  <c r="T15" i="1"/>
  <c r="V15" i="1"/>
  <c r="W15" i="1"/>
  <c r="X15" i="1"/>
  <c r="AB15" i="1"/>
  <c r="AC15" i="1"/>
  <c r="AD15" i="1"/>
  <c r="AE15" i="1"/>
  <c r="AF15" i="1"/>
  <c r="AG15" i="1"/>
  <c r="AH15" i="1"/>
  <c r="AI15" i="1"/>
  <c r="L16" i="1"/>
  <c r="M16" i="1"/>
  <c r="N16" i="1"/>
  <c r="T16" i="1"/>
  <c r="V16" i="1"/>
  <c r="W16" i="1"/>
  <c r="X16" i="1"/>
  <c r="AB16" i="1"/>
  <c r="AC16" i="1"/>
  <c r="AD16" i="1"/>
  <c r="AE16" i="1"/>
  <c r="AF16" i="1"/>
  <c r="AG16" i="1"/>
  <c r="AH16" i="1"/>
  <c r="AI16" i="1"/>
  <c r="L17" i="1"/>
  <c r="M17" i="1"/>
  <c r="N17" i="1"/>
  <c r="T17" i="1"/>
  <c r="V17" i="1"/>
  <c r="W17" i="1"/>
  <c r="X17" i="1"/>
  <c r="AB17" i="1"/>
  <c r="AC17" i="1"/>
  <c r="AD17" i="1"/>
  <c r="AE17" i="1"/>
  <c r="AF17" i="1"/>
  <c r="AG17" i="1"/>
  <c r="AH17" i="1"/>
  <c r="AI17" i="1"/>
  <c r="L18" i="1"/>
  <c r="M18" i="1"/>
  <c r="N18" i="1"/>
  <c r="T18" i="1"/>
  <c r="V18" i="1"/>
  <c r="W18" i="1"/>
  <c r="X18" i="1"/>
  <c r="AB18" i="1"/>
  <c r="AC18" i="1"/>
  <c r="AD18" i="1"/>
  <c r="AE18" i="1"/>
  <c r="AF18" i="1"/>
  <c r="AG18" i="1"/>
  <c r="AH18" i="1"/>
  <c r="AI18" i="1"/>
  <c r="L19" i="1"/>
  <c r="M19" i="1"/>
  <c r="N19" i="1"/>
  <c r="T19" i="1"/>
  <c r="V19" i="1"/>
  <c r="W19" i="1"/>
  <c r="X19" i="1"/>
  <c r="AB19" i="1"/>
  <c r="AC19" i="1"/>
  <c r="AD19" i="1"/>
  <c r="AE19" i="1"/>
  <c r="AF19" i="1"/>
  <c r="AG19" i="1"/>
  <c r="AH19" i="1"/>
  <c r="AI19" i="1"/>
  <c r="L20" i="1"/>
  <c r="M20" i="1"/>
  <c r="N20" i="1"/>
  <c r="T20" i="1"/>
  <c r="V20" i="1"/>
  <c r="W20" i="1"/>
  <c r="X20" i="1"/>
  <c r="AB20" i="1"/>
  <c r="AC20" i="1"/>
  <c r="AD20" i="1"/>
  <c r="AE20" i="1"/>
  <c r="AF20" i="1"/>
  <c r="AG20" i="1"/>
  <c r="AH20" i="1"/>
  <c r="AI20" i="1"/>
  <c r="L21" i="1"/>
  <c r="M21" i="1"/>
  <c r="N21" i="1"/>
  <c r="T21" i="1"/>
  <c r="V21" i="1"/>
  <c r="W21" i="1"/>
  <c r="X21" i="1"/>
  <c r="AB21" i="1"/>
  <c r="AC21" i="1"/>
  <c r="AD21" i="1"/>
  <c r="AE21" i="1"/>
  <c r="AF21" i="1"/>
  <c r="AG21" i="1"/>
  <c r="AH21" i="1"/>
  <c r="AI21" i="1"/>
  <c r="L22" i="1"/>
  <c r="M22" i="1"/>
  <c r="N22" i="1"/>
  <c r="T22" i="1"/>
  <c r="V22" i="1"/>
  <c r="W22" i="1"/>
  <c r="X22" i="1"/>
  <c r="AB22" i="1"/>
  <c r="AC22" i="1"/>
  <c r="AD22" i="1"/>
  <c r="AE22" i="1"/>
  <c r="AF22" i="1"/>
  <c r="AG22" i="1"/>
  <c r="AH22" i="1"/>
  <c r="AI22" i="1"/>
  <c r="L23" i="1"/>
  <c r="M23" i="1"/>
  <c r="N23" i="1"/>
  <c r="T23" i="1"/>
  <c r="V23" i="1"/>
  <c r="W23" i="1"/>
  <c r="X23" i="1"/>
  <c r="AB23" i="1"/>
  <c r="AC23" i="1"/>
  <c r="AD23" i="1"/>
  <c r="AE23" i="1"/>
  <c r="AF23" i="1"/>
  <c r="AG23" i="1"/>
  <c r="AH23" i="1"/>
  <c r="AI23" i="1"/>
  <c r="L24" i="1"/>
  <c r="M24" i="1"/>
  <c r="N24" i="1"/>
  <c r="T24" i="1"/>
  <c r="V24" i="1"/>
  <c r="W24" i="1"/>
  <c r="X24" i="1"/>
  <c r="AB24" i="1"/>
  <c r="AC24" i="1"/>
  <c r="AD24" i="1"/>
  <c r="AE24" i="1"/>
  <c r="AF24" i="1"/>
  <c r="AG24" i="1"/>
  <c r="AH24" i="1"/>
  <c r="AI24" i="1"/>
  <c r="L25" i="1"/>
  <c r="M25" i="1"/>
  <c r="N25" i="1"/>
  <c r="T25" i="1"/>
  <c r="V25" i="1"/>
  <c r="W25" i="1"/>
  <c r="X25" i="1"/>
  <c r="AB25" i="1"/>
  <c r="AC25" i="1"/>
  <c r="AD25" i="1"/>
  <c r="AE25" i="1"/>
  <c r="AF25" i="1"/>
  <c r="AG25" i="1"/>
  <c r="AH25" i="1"/>
  <c r="AI25" i="1"/>
  <c r="L26" i="1"/>
  <c r="M26" i="1"/>
  <c r="N26" i="1"/>
  <c r="T26" i="1"/>
  <c r="V26" i="1"/>
  <c r="W26" i="1"/>
  <c r="X26" i="1"/>
  <c r="AB26" i="1"/>
  <c r="AC26" i="1"/>
  <c r="AD26" i="1"/>
  <c r="AE26" i="1"/>
  <c r="AF26" i="1"/>
  <c r="AG26" i="1"/>
  <c r="AH26" i="1"/>
  <c r="AI26" i="1"/>
  <c r="L27" i="1"/>
  <c r="M27" i="1"/>
  <c r="N27" i="1"/>
  <c r="T27" i="1"/>
  <c r="V27" i="1"/>
  <c r="W27" i="1"/>
  <c r="X27" i="1"/>
  <c r="AB27" i="1"/>
  <c r="AC27" i="1"/>
  <c r="AD27" i="1"/>
  <c r="AE27" i="1"/>
  <c r="AF27" i="1"/>
  <c r="AG27" i="1"/>
  <c r="AH27" i="1"/>
  <c r="AI27" i="1"/>
  <c r="L28" i="1"/>
  <c r="M28" i="1"/>
  <c r="N28" i="1"/>
  <c r="T28" i="1"/>
  <c r="V28" i="1"/>
  <c r="W28" i="1"/>
  <c r="X28" i="1"/>
  <c r="AB28" i="1"/>
  <c r="AC28" i="1"/>
  <c r="AD28" i="1"/>
  <c r="AE28" i="1"/>
  <c r="AF28" i="1"/>
  <c r="AG28" i="1"/>
  <c r="AH28" i="1"/>
  <c r="AI28" i="1"/>
  <c r="L29" i="1"/>
  <c r="M29" i="1"/>
  <c r="N29" i="1"/>
  <c r="T29" i="1"/>
  <c r="V29" i="1"/>
  <c r="W29" i="1"/>
  <c r="X29" i="1"/>
  <c r="AB29" i="1"/>
  <c r="AC29" i="1"/>
  <c r="AD29" i="1"/>
  <c r="AE29" i="1"/>
  <c r="AF29" i="1"/>
  <c r="AG29" i="1"/>
  <c r="AH29" i="1"/>
  <c r="AI29" i="1"/>
  <c r="L30" i="1"/>
  <c r="M30" i="1"/>
  <c r="N30" i="1"/>
  <c r="T30" i="1"/>
  <c r="V30" i="1"/>
  <c r="W30" i="1"/>
  <c r="X30" i="1"/>
  <c r="AB30" i="1"/>
  <c r="AC30" i="1"/>
  <c r="AD30" i="1"/>
  <c r="AE30" i="1"/>
  <c r="AF30" i="1"/>
  <c r="AG30" i="1"/>
  <c r="AH30" i="1"/>
  <c r="AI30" i="1"/>
  <c r="T31" i="1"/>
  <c r="V31" i="1"/>
  <c r="W31" i="1"/>
  <c r="X31" i="1"/>
  <c r="AB31" i="1"/>
  <c r="AC31" i="1"/>
  <c r="AD31" i="1"/>
  <c r="AF31" i="1"/>
  <c r="AH31" i="1"/>
  <c r="AI31" i="1"/>
  <c r="I32" i="1"/>
  <c r="J32" i="1"/>
  <c r="K32" i="1"/>
  <c r="M32" i="1"/>
  <c r="I33" i="1"/>
  <c r="O33" i="1"/>
  <c r="I34" i="1"/>
  <c r="O34" i="1"/>
  <c r="I35" i="1"/>
  <c r="O35" i="1"/>
  <c r="E40" i="1"/>
  <c r="T40" i="1"/>
  <c r="V40" i="1"/>
  <c r="W40" i="1"/>
  <c r="X40" i="1"/>
  <c r="AB40" i="1"/>
  <c r="AC40" i="1"/>
  <c r="AD40" i="1"/>
  <c r="AE40" i="1"/>
  <c r="AF40" i="1"/>
  <c r="AG40" i="1"/>
  <c r="AH40" i="1"/>
  <c r="E41" i="1"/>
  <c r="T41" i="1"/>
  <c r="V41" i="1"/>
  <c r="W41" i="1"/>
  <c r="X41" i="1"/>
  <c r="AB41" i="1"/>
  <c r="AC41" i="1"/>
  <c r="AD41" i="1"/>
  <c r="AE41" i="1"/>
  <c r="AF41" i="1"/>
  <c r="AG41" i="1"/>
  <c r="AH41" i="1"/>
  <c r="E42" i="1"/>
  <c r="T42" i="1"/>
  <c r="V42" i="1"/>
  <c r="W42" i="1"/>
  <c r="X42" i="1"/>
  <c r="AB42" i="1"/>
  <c r="AC42" i="1"/>
  <c r="AD42" i="1"/>
  <c r="AE42" i="1"/>
  <c r="AF42" i="1"/>
  <c r="AG42" i="1"/>
  <c r="AH42" i="1"/>
  <c r="E43" i="1"/>
  <c r="L43" i="1"/>
  <c r="T43" i="1"/>
  <c r="V43" i="1"/>
  <c r="W43" i="1"/>
  <c r="X43" i="1"/>
  <c r="AB43" i="1"/>
  <c r="AC43" i="1"/>
  <c r="AD43" i="1"/>
  <c r="AE43" i="1"/>
  <c r="AF43" i="1"/>
  <c r="AG43" i="1"/>
  <c r="AH43" i="1"/>
  <c r="E44" i="1"/>
  <c r="L44" i="1"/>
  <c r="T44" i="1"/>
  <c r="V44" i="1"/>
  <c r="W44" i="1"/>
  <c r="X44" i="1"/>
  <c r="AB44" i="1"/>
  <c r="AC44" i="1"/>
  <c r="AD44" i="1"/>
  <c r="AE44" i="1"/>
  <c r="AF44" i="1"/>
  <c r="AG44" i="1"/>
  <c r="AH44" i="1"/>
  <c r="E45" i="1"/>
  <c r="L45" i="1"/>
  <c r="T45" i="1"/>
  <c r="V45" i="1"/>
  <c r="W45" i="1"/>
  <c r="X45" i="1"/>
  <c r="AB45" i="1"/>
  <c r="AC45" i="1"/>
  <c r="AD45" i="1"/>
  <c r="AE45" i="1"/>
  <c r="AF45" i="1"/>
  <c r="AG45" i="1"/>
  <c r="AH45" i="1"/>
  <c r="E46" i="1"/>
  <c r="L46" i="1"/>
  <c r="T46" i="1"/>
  <c r="V46" i="1"/>
  <c r="W46" i="1"/>
  <c r="X46" i="1"/>
  <c r="AB46" i="1"/>
  <c r="AC46" i="1"/>
  <c r="AD46" i="1"/>
  <c r="AE46" i="1"/>
  <c r="AF46" i="1"/>
  <c r="AG46" i="1"/>
  <c r="AH46" i="1"/>
  <c r="E47" i="1"/>
  <c r="L47" i="1"/>
  <c r="T47" i="1"/>
  <c r="V47" i="1"/>
  <c r="W47" i="1"/>
  <c r="X47" i="1"/>
  <c r="AB47" i="1"/>
  <c r="AC47" i="1"/>
  <c r="AD47" i="1"/>
  <c r="AE47" i="1"/>
  <c r="AF47" i="1"/>
  <c r="AG47" i="1"/>
  <c r="AH47" i="1"/>
  <c r="E48" i="1"/>
  <c r="L48" i="1"/>
  <c r="T48" i="1"/>
  <c r="V48" i="1"/>
  <c r="W48" i="1"/>
  <c r="X48" i="1"/>
  <c r="AB48" i="1"/>
  <c r="AC48" i="1"/>
  <c r="AD48" i="1"/>
  <c r="AE48" i="1"/>
  <c r="AF48" i="1"/>
  <c r="AG48" i="1"/>
  <c r="AH48" i="1"/>
  <c r="E49" i="1"/>
  <c r="L49" i="1"/>
  <c r="T49" i="1"/>
  <c r="V49" i="1"/>
  <c r="W49" i="1"/>
  <c r="X49" i="1"/>
  <c r="AB49" i="1"/>
  <c r="AC49" i="1"/>
  <c r="AD49" i="1"/>
  <c r="AE49" i="1"/>
  <c r="AF49" i="1"/>
  <c r="AG49" i="1"/>
  <c r="AH49" i="1"/>
  <c r="E50" i="1"/>
  <c r="L50" i="1"/>
  <c r="T50" i="1"/>
  <c r="V50" i="1"/>
  <c r="W50" i="1"/>
  <c r="X50" i="1"/>
  <c r="AB50" i="1"/>
  <c r="AC50" i="1"/>
  <c r="AD50" i="1"/>
  <c r="AE50" i="1"/>
  <c r="AF50" i="1"/>
  <c r="AG50" i="1"/>
  <c r="AH50" i="1"/>
  <c r="E51" i="1"/>
  <c r="L51" i="1"/>
  <c r="T51" i="1"/>
  <c r="V51" i="1"/>
  <c r="W51" i="1"/>
  <c r="X51" i="1"/>
  <c r="AB51" i="1"/>
  <c r="AC51" i="1"/>
  <c r="AD51" i="1"/>
  <c r="AE51" i="1"/>
  <c r="AF51" i="1"/>
  <c r="AG51" i="1"/>
  <c r="AH51" i="1"/>
  <c r="E52" i="1"/>
  <c r="L52" i="1"/>
  <c r="T52" i="1"/>
  <c r="V52" i="1"/>
  <c r="W52" i="1"/>
  <c r="X52" i="1"/>
  <c r="AB52" i="1"/>
  <c r="AC52" i="1"/>
  <c r="AD52" i="1"/>
  <c r="AE52" i="1"/>
  <c r="AF52" i="1"/>
  <c r="AG52" i="1"/>
  <c r="AH52" i="1"/>
  <c r="E53" i="1"/>
  <c r="L53" i="1"/>
  <c r="T53" i="1"/>
  <c r="V53" i="1"/>
  <c r="W53" i="1"/>
  <c r="X53" i="1"/>
  <c r="AB53" i="1"/>
  <c r="AC53" i="1"/>
  <c r="AD53" i="1"/>
  <c r="AE53" i="1"/>
  <c r="AF53" i="1"/>
  <c r="AG53" i="1"/>
  <c r="AH53" i="1"/>
  <c r="E54" i="1"/>
  <c r="L54" i="1"/>
  <c r="T54" i="1"/>
  <c r="V54" i="1"/>
  <c r="W54" i="1"/>
  <c r="X54" i="1"/>
  <c r="AB54" i="1"/>
  <c r="AC54" i="1"/>
  <c r="AD54" i="1"/>
  <c r="AE54" i="1"/>
  <c r="AF54" i="1"/>
  <c r="AG54" i="1"/>
  <c r="AH54" i="1"/>
  <c r="E55" i="1"/>
  <c r="L55" i="1"/>
  <c r="T55" i="1"/>
  <c r="V55" i="1"/>
  <c r="W55" i="1"/>
  <c r="X55" i="1"/>
  <c r="AB55" i="1"/>
  <c r="AC55" i="1"/>
  <c r="AD55" i="1"/>
  <c r="AE55" i="1"/>
  <c r="AF55" i="1"/>
  <c r="AG55" i="1"/>
  <c r="AH55" i="1"/>
  <c r="E56" i="1"/>
  <c r="L56" i="1"/>
  <c r="T56" i="1"/>
  <c r="V56" i="1"/>
  <c r="W56" i="1"/>
  <c r="X56" i="1"/>
  <c r="AB56" i="1"/>
  <c r="AC56" i="1"/>
  <c r="AD56" i="1"/>
  <c r="AE56" i="1"/>
  <c r="AF56" i="1"/>
  <c r="AG56" i="1"/>
  <c r="AH56" i="1"/>
  <c r="E57" i="1"/>
  <c r="L57" i="1"/>
  <c r="T57" i="1"/>
  <c r="V57" i="1"/>
  <c r="W57" i="1"/>
  <c r="X57" i="1"/>
  <c r="AB57" i="1"/>
  <c r="AC57" i="1"/>
  <c r="AD57" i="1"/>
  <c r="AE57" i="1"/>
  <c r="AF57" i="1"/>
  <c r="AG57" i="1"/>
  <c r="AH57" i="1"/>
  <c r="E58" i="1"/>
  <c r="L58" i="1"/>
  <c r="T58" i="1"/>
  <c r="V58" i="1"/>
  <c r="W58" i="1"/>
  <c r="X58" i="1"/>
  <c r="AB58" i="1"/>
  <c r="AC58" i="1"/>
  <c r="AD58" i="1"/>
  <c r="AE58" i="1"/>
  <c r="AF58" i="1"/>
  <c r="AG58" i="1"/>
  <c r="AH58" i="1"/>
  <c r="E59" i="1"/>
  <c r="L59" i="1"/>
  <c r="T59" i="1"/>
  <c r="V59" i="1"/>
  <c r="W59" i="1"/>
  <c r="X59" i="1"/>
  <c r="AB59" i="1"/>
  <c r="AC59" i="1"/>
  <c r="AD59" i="1"/>
  <c r="AE59" i="1"/>
  <c r="AF59" i="1"/>
  <c r="AG59" i="1"/>
  <c r="AH59" i="1"/>
  <c r="T60" i="1"/>
  <c r="V60" i="1"/>
  <c r="W60" i="1"/>
  <c r="X60" i="1"/>
  <c r="AB60" i="1"/>
  <c r="AC60" i="1"/>
  <c r="AD60" i="1"/>
  <c r="AE60" i="1"/>
  <c r="AF60" i="1"/>
  <c r="AG60" i="1"/>
  <c r="AH60" i="1"/>
  <c r="I61" i="1"/>
  <c r="I62" i="1"/>
  <c r="O62" i="1"/>
  <c r="D68" i="1"/>
  <c r="C68" i="1" s="1"/>
  <c r="H68" i="1"/>
  <c r="I68" i="1"/>
  <c r="J68" i="1"/>
  <c r="L68" i="1"/>
  <c r="M68" i="1"/>
  <c r="T68" i="1"/>
  <c r="U68" i="1"/>
  <c r="V68" i="1"/>
  <c r="W68" i="1"/>
  <c r="X68" i="1"/>
  <c r="AB68" i="1"/>
  <c r="AC68" i="1"/>
  <c r="AD68" i="1"/>
  <c r="AE68" i="1"/>
  <c r="AF68" i="1"/>
  <c r="AG68" i="1"/>
  <c r="AH68" i="1"/>
  <c r="AI68" i="1"/>
  <c r="AJ68" i="1"/>
  <c r="AN68" i="1"/>
  <c r="AO68" i="1"/>
  <c r="AP68" i="1"/>
  <c r="AQ68" i="1"/>
  <c r="AR68" i="1"/>
  <c r="AS68" i="1"/>
  <c r="AT68" i="1"/>
  <c r="AU68" i="1"/>
  <c r="AV68" i="1"/>
  <c r="AW68" i="1"/>
  <c r="AX68" i="1"/>
  <c r="E68" i="1" s="1"/>
  <c r="AY68" i="1"/>
  <c r="BB68" i="1"/>
  <c r="D69" i="1"/>
  <c r="C69" i="1" s="1"/>
  <c r="I69" i="1"/>
  <c r="J69" i="1"/>
  <c r="T69" i="1"/>
  <c r="U69" i="1"/>
  <c r="V69" i="1"/>
  <c r="W69" i="1"/>
  <c r="X69" i="1"/>
  <c r="AB69" i="1"/>
  <c r="H69" i="1" s="1"/>
  <c r="AC69" i="1"/>
  <c r="AD69" i="1"/>
  <c r="AF69" i="1"/>
  <c r="AG69" i="1"/>
  <c r="AH69" i="1"/>
  <c r="AE69" i="1" s="1"/>
  <c r="AI69" i="1"/>
  <c r="AJ69" i="1"/>
  <c r="AN69" i="1"/>
  <c r="AO69" i="1"/>
  <c r="AP69" i="1"/>
  <c r="AU69" i="1"/>
  <c r="AV69" i="1"/>
  <c r="AW69" i="1"/>
  <c r="BC68" i="1" s="1"/>
  <c r="AX69" i="1"/>
  <c r="AY69" i="1"/>
  <c r="BB69" i="1"/>
  <c r="BC69" i="1"/>
  <c r="D70" i="1"/>
  <c r="C70" i="1" s="1"/>
  <c r="I70" i="1"/>
  <c r="J70" i="1"/>
  <c r="T70" i="1"/>
  <c r="U70" i="1"/>
  <c r="V70" i="1"/>
  <c r="W70" i="1"/>
  <c r="X70" i="1"/>
  <c r="AB70" i="1"/>
  <c r="H70" i="1" s="1"/>
  <c r="AC70" i="1"/>
  <c r="AD70" i="1"/>
  <c r="AF70" i="1"/>
  <c r="AG70" i="1"/>
  <c r="AH70" i="1"/>
  <c r="AE70" i="1" s="1"/>
  <c r="AI70" i="1"/>
  <c r="AJ70" i="1"/>
  <c r="AN70" i="1"/>
  <c r="AO70" i="1"/>
  <c r="AP70" i="1"/>
  <c r="AU70" i="1"/>
  <c r="AV70" i="1"/>
  <c r="AW70" i="1"/>
  <c r="AX70" i="1"/>
  <c r="AY70" i="1"/>
  <c r="BB70" i="1"/>
  <c r="BC70" i="1"/>
  <c r="BD70" i="1"/>
  <c r="D71" i="1"/>
  <c r="C71" i="1" s="1"/>
  <c r="H71" i="1"/>
  <c r="I71" i="1"/>
  <c r="J71" i="1"/>
  <c r="L71" i="1"/>
  <c r="M71" i="1"/>
  <c r="T71" i="1"/>
  <c r="U71" i="1"/>
  <c r="V71" i="1"/>
  <c r="W71" i="1"/>
  <c r="X71" i="1"/>
  <c r="AB71" i="1"/>
  <c r="AC71" i="1"/>
  <c r="AD71" i="1"/>
  <c r="AE71" i="1"/>
  <c r="AF71" i="1"/>
  <c r="AG71" i="1"/>
  <c r="AH71" i="1"/>
  <c r="AI71" i="1"/>
  <c r="AJ71" i="1"/>
  <c r="AN71" i="1"/>
  <c r="AO71" i="1"/>
  <c r="AP71" i="1"/>
  <c r="AQ71" i="1"/>
  <c r="AR71" i="1"/>
  <c r="AS71" i="1"/>
  <c r="AT71" i="1"/>
  <c r="AU71" i="1"/>
  <c r="AV71" i="1"/>
  <c r="AW71" i="1"/>
  <c r="AX71" i="1"/>
  <c r="E71" i="1" s="1"/>
  <c r="AY71" i="1"/>
  <c r="BB71" i="1"/>
  <c r="BC71" i="1"/>
  <c r="BD71" i="1"/>
  <c r="BE71" i="1"/>
  <c r="D72" i="1"/>
  <c r="C72" i="1" s="1"/>
  <c r="H72" i="1"/>
  <c r="I72" i="1"/>
  <c r="J72" i="1"/>
  <c r="L72" i="1"/>
  <c r="M72" i="1"/>
  <c r="T72" i="1"/>
  <c r="U72" i="1"/>
  <c r="V72" i="1"/>
  <c r="W72" i="1"/>
  <c r="X72" i="1"/>
  <c r="AB72" i="1"/>
  <c r="AC72" i="1"/>
  <c r="AD72" i="1"/>
  <c r="AE72" i="1"/>
  <c r="AF72" i="1"/>
  <c r="AG72" i="1"/>
  <c r="AH72" i="1"/>
  <c r="AI72" i="1"/>
  <c r="AJ72" i="1"/>
  <c r="AN72" i="1"/>
  <c r="AO72" i="1"/>
  <c r="AP72" i="1"/>
  <c r="AQ72" i="1"/>
  <c r="AR72" i="1"/>
  <c r="AS72" i="1"/>
  <c r="AT72" i="1"/>
  <c r="AU72" i="1"/>
  <c r="AV72" i="1"/>
  <c r="AW72" i="1"/>
  <c r="AX72" i="1"/>
  <c r="E72" i="1" s="1"/>
  <c r="AY72" i="1"/>
  <c r="BB72" i="1"/>
  <c r="BC72" i="1"/>
  <c r="BD72" i="1"/>
  <c r="BE72" i="1"/>
  <c r="BF72" i="1"/>
  <c r="D73" i="1"/>
  <c r="C73" i="1" s="1"/>
  <c r="H73" i="1"/>
  <c r="I73" i="1"/>
  <c r="J73" i="1"/>
  <c r="L73" i="1"/>
  <c r="M73" i="1"/>
  <c r="T73" i="1"/>
  <c r="U73" i="1"/>
  <c r="V73" i="1"/>
  <c r="W73" i="1"/>
  <c r="X73" i="1"/>
  <c r="AB73" i="1"/>
  <c r="AC73" i="1"/>
  <c r="AD73" i="1"/>
  <c r="AE73" i="1"/>
  <c r="AF73" i="1"/>
  <c r="AG73" i="1"/>
  <c r="AH73" i="1"/>
  <c r="AI73" i="1"/>
  <c r="AJ73" i="1"/>
  <c r="AN73" i="1"/>
  <c r="AO73" i="1"/>
  <c r="AP73" i="1"/>
  <c r="AQ73" i="1"/>
  <c r="AR73" i="1"/>
  <c r="AS73" i="1"/>
  <c r="AT73" i="1"/>
  <c r="AU73" i="1"/>
  <c r="AV73" i="1"/>
  <c r="AW73" i="1"/>
  <c r="AX73" i="1"/>
  <c r="E73" i="1" s="1"/>
  <c r="AY73" i="1"/>
  <c r="BB73" i="1"/>
  <c r="BC73" i="1"/>
  <c r="BD73" i="1"/>
  <c r="BE73" i="1"/>
  <c r="BF73" i="1"/>
  <c r="BG73" i="1"/>
  <c r="D74" i="1"/>
  <c r="C74" i="1" s="1"/>
  <c r="H74" i="1"/>
  <c r="I74" i="1"/>
  <c r="J74" i="1"/>
  <c r="L74" i="1"/>
  <c r="M74" i="1"/>
  <c r="T74" i="1"/>
  <c r="U74" i="1"/>
  <c r="V74" i="1"/>
  <c r="W74" i="1"/>
  <c r="X74" i="1"/>
  <c r="AB74" i="1"/>
  <c r="AC74" i="1"/>
  <c r="AD74" i="1"/>
  <c r="AE74" i="1"/>
  <c r="AF74" i="1"/>
  <c r="AG74" i="1"/>
  <c r="AH74" i="1"/>
  <c r="AI74" i="1"/>
  <c r="AJ74" i="1"/>
  <c r="AN74" i="1"/>
  <c r="AO74" i="1"/>
  <c r="AP74" i="1"/>
  <c r="AQ74" i="1"/>
  <c r="AR74" i="1"/>
  <c r="AS74" i="1"/>
  <c r="AT74" i="1"/>
  <c r="AU74" i="1"/>
  <c r="AV74" i="1"/>
  <c r="AW74" i="1"/>
  <c r="AX74" i="1"/>
  <c r="E74" i="1" s="1"/>
  <c r="AY74" i="1"/>
  <c r="BB74" i="1"/>
  <c r="BC74" i="1"/>
  <c r="BD74" i="1"/>
  <c r="BE74" i="1"/>
  <c r="BF74" i="1"/>
  <c r="BG74" i="1"/>
  <c r="BH74" i="1"/>
  <c r="D75" i="1"/>
  <c r="C75" i="1" s="1"/>
  <c r="H75" i="1"/>
  <c r="I75" i="1"/>
  <c r="J75" i="1"/>
  <c r="L75" i="1"/>
  <c r="M75" i="1"/>
  <c r="T75" i="1"/>
  <c r="U75" i="1"/>
  <c r="V75" i="1"/>
  <c r="W75" i="1"/>
  <c r="X75" i="1"/>
  <c r="AB75" i="1"/>
  <c r="AC75" i="1"/>
  <c r="AD75" i="1"/>
  <c r="AE75" i="1"/>
  <c r="AF75" i="1"/>
  <c r="AG75" i="1"/>
  <c r="AH75" i="1"/>
  <c r="AI75" i="1"/>
  <c r="AJ75" i="1"/>
  <c r="AN75" i="1"/>
  <c r="AO75" i="1"/>
  <c r="AP75" i="1"/>
  <c r="AQ75" i="1"/>
  <c r="AR75" i="1"/>
  <c r="AS75" i="1"/>
  <c r="AT75" i="1"/>
  <c r="AU75" i="1"/>
  <c r="AV75" i="1"/>
  <c r="AW75" i="1"/>
  <c r="AX75" i="1"/>
  <c r="E75" i="1" s="1"/>
  <c r="AY75" i="1"/>
  <c r="BB75" i="1"/>
  <c r="BC75" i="1"/>
  <c r="BD75" i="1"/>
  <c r="BE75" i="1"/>
  <c r="BF75" i="1"/>
  <c r="BG75" i="1"/>
  <c r="BH75" i="1"/>
  <c r="BI75" i="1"/>
  <c r="D76" i="1"/>
  <c r="C76" i="1" s="1"/>
  <c r="H76" i="1"/>
  <c r="I76" i="1"/>
  <c r="J76" i="1"/>
  <c r="L76" i="1"/>
  <c r="M76" i="1"/>
  <c r="T76" i="1"/>
  <c r="U76" i="1"/>
  <c r="V76" i="1"/>
  <c r="W76" i="1"/>
  <c r="X76" i="1"/>
  <c r="AB76" i="1"/>
  <c r="AC76" i="1"/>
  <c r="AD76" i="1"/>
  <c r="AE76" i="1"/>
  <c r="AF76" i="1"/>
  <c r="AG76" i="1"/>
  <c r="AH76" i="1"/>
  <c r="AI76" i="1"/>
  <c r="AJ76" i="1"/>
  <c r="AN76" i="1"/>
  <c r="AO76" i="1"/>
  <c r="AP76" i="1"/>
  <c r="AQ76" i="1"/>
  <c r="AR76" i="1"/>
  <c r="AS76" i="1"/>
  <c r="AT76" i="1"/>
  <c r="AU76" i="1"/>
  <c r="AV76" i="1"/>
  <c r="AW76" i="1"/>
  <c r="AX76" i="1"/>
  <c r="E76" i="1" s="1"/>
  <c r="AY76" i="1"/>
  <c r="BB76" i="1"/>
  <c r="BC76" i="1"/>
  <c r="BD76" i="1"/>
  <c r="BE76" i="1"/>
  <c r="BF76" i="1"/>
  <c r="BG76" i="1"/>
  <c r="BH76" i="1"/>
  <c r="BI76" i="1"/>
  <c r="BJ76" i="1"/>
  <c r="D77" i="1"/>
  <c r="C77" i="1" s="1"/>
  <c r="H77" i="1"/>
  <c r="I77" i="1"/>
  <c r="J77" i="1"/>
  <c r="L77" i="1"/>
  <c r="M77" i="1"/>
  <c r="T77" i="1"/>
  <c r="U77" i="1"/>
  <c r="V77" i="1"/>
  <c r="W77" i="1"/>
  <c r="X77" i="1"/>
  <c r="AB77" i="1"/>
  <c r="AC77" i="1"/>
  <c r="AD77" i="1"/>
  <c r="AE77" i="1"/>
  <c r="AF77" i="1"/>
  <c r="AG77" i="1"/>
  <c r="AH77" i="1"/>
  <c r="AI77" i="1"/>
  <c r="AJ77" i="1"/>
  <c r="AN77" i="1"/>
  <c r="AO77" i="1"/>
  <c r="AP77" i="1"/>
  <c r="AQ77" i="1"/>
  <c r="AR77" i="1"/>
  <c r="AS77" i="1"/>
  <c r="AT77" i="1"/>
  <c r="AU77" i="1"/>
  <c r="AV77" i="1"/>
  <c r="AW77" i="1"/>
  <c r="AX77" i="1"/>
  <c r="E77" i="1" s="1"/>
  <c r="AY77" i="1"/>
  <c r="BB77" i="1"/>
  <c r="BC77" i="1"/>
  <c r="BD77" i="1"/>
  <c r="BE77" i="1"/>
  <c r="BF77" i="1"/>
  <c r="BG77" i="1"/>
  <c r="BH77" i="1"/>
  <c r="BI77" i="1"/>
  <c r="BJ77" i="1"/>
  <c r="BK77" i="1"/>
  <c r="D78" i="1"/>
  <c r="C78" i="1" s="1"/>
  <c r="H78" i="1"/>
  <c r="I78" i="1"/>
  <c r="J78" i="1"/>
  <c r="L78" i="1"/>
  <c r="M78" i="1"/>
  <c r="T78" i="1"/>
  <c r="U78" i="1"/>
  <c r="V78" i="1"/>
  <c r="W78" i="1"/>
  <c r="X78" i="1"/>
  <c r="AB78" i="1"/>
  <c r="AC78" i="1"/>
  <c r="AD78" i="1"/>
  <c r="AE78" i="1"/>
  <c r="AF78" i="1"/>
  <c r="AG78" i="1"/>
  <c r="AH78" i="1"/>
  <c r="AI78" i="1"/>
  <c r="AJ78" i="1"/>
  <c r="AN78" i="1"/>
  <c r="AO78" i="1"/>
  <c r="AP78" i="1"/>
  <c r="AQ78" i="1"/>
  <c r="AR78" i="1"/>
  <c r="AS78" i="1"/>
  <c r="AT78" i="1"/>
  <c r="AU78" i="1"/>
  <c r="AV78" i="1"/>
  <c r="AW78" i="1"/>
  <c r="AX78" i="1"/>
  <c r="E78" i="1" s="1"/>
  <c r="AY78" i="1"/>
  <c r="BB78" i="1"/>
  <c r="BC78" i="1"/>
  <c r="BD78" i="1"/>
  <c r="BE78" i="1"/>
  <c r="BF78" i="1"/>
  <c r="BG78" i="1"/>
  <c r="BH78" i="1"/>
  <c r="BI78" i="1"/>
  <c r="BJ78" i="1"/>
  <c r="BK78" i="1"/>
  <c r="BL78" i="1"/>
  <c r="D79" i="1"/>
  <c r="C79" i="1" s="1"/>
  <c r="H79" i="1"/>
  <c r="I79" i="1"/>
  <c r="J79" i="1"/>
  <c r="L79" i="1"/>
  <c r="M79" i="1"/>
  <c r="T79" i="1"/>
  <c r="U79" i="1"/>
  <c r="V79" i="1"/>
  <c r="W79" i="1"/>
  <c r="X79" i="1"/>
  <c r="AB79" i="1"/>
  <c r="AC79" i="1"/>
  <c r="AD79" i="1"/>
  <c r="AE79" i="1"/>
  <c r="AF79" i="1"/>
  <c r="AG79" i="1"/>
  <c r="AH79" i="1"/>
  <c r="AI79" i="1"/>
  <c r="AJ79" i="1"/>
  <c r="AN79" i="1"/>
  <c r="AO79" i="1"/>
  <c r="AP79" i="1"/>
  <c r="AQ79" i="1"/>
  <c r="AR79" i="1"/>
  <c r="AS79" i="1"/>
  <c r="AT79" i="1"/>
  <c r="AU79" i="1"/>
  <c r="AV79" i="1"/>
  <c r="AW79" i="1"/>
  <c r="AX79" i="1"/>
  <c r="E79" i="1" s="1"/>
  <c r="AY79" i="1"/>
  <c r="BB79" i="1"/>
  <c r="BC79" i="1"/>
  <c r="BD79" i="1"/>
  <c r="BE79" i="1"/>
  <c r="BF79" i="1"/>
  <c r="BG79" i="1"/>
  <c r="BH79" i="1"/>
  <c r="BI79" i="1"/>
  <c r="BJ79" i="1"/>
  <c r="BK79" i="1"/>
  <c r="BL79" i="1"/>
  <c r="BM79" i="1"/>
  <c r="D80" i="1"/>
  <c r="C80" i="1" s="1"/>
  <c r="H80" i="1"/>
  <c r="I80" i="1"/>
  <c r="J80" i="1"/>
  <c r="L80" i="1"/>
  <c r="M80" i="1"/>
  <c r="T80" i="1"/>
  <c r="U80" i="1"/>
  <c r="V80" i="1"/>
  <c r="W80" i="1"/>
  <c r="X80" i="1"/>
  <c r="AB80" i="1"/>
  <c r="AC80" i="1"/>
  <c r="AD80" i="1"/>
  <c r="AE80" i="1"/>
  <c r="AF80" i="1"/>
  <c r="AG80" i="1"/>
  <c r="AH80" i="1"/>
  <c r="AI80" i="1"/>
  <c r="AJ80" i="1"/>
  <c r="AN80" i="1"/>
  <c r="AO80" i="1"/>
  <c r="AP80" i="1"/>
  <c r="AQ80" i="1"/>
  <c r="AR80" i="1"/>
  <c r="AS80" i="1"/>
  <c r="AT80" i="1"/>
  <c r="AU80" i="1"/>
  <c r="AV80" i="1"/>
  <c r="AW80" i="1"/>
  <c r="AX80" i="1"/>
  <c r="E80" i="1" s="1"/>
  <c r="AY80" i="1"/>
  <c r="BB80" i="1"/>
  <c r="BC80" i="1"/>
  <c r="BD80" i="1"/>
  <c r="BE80" i="1"/>
  <c r="BF80" i="1"/>
  <c r="BG80" i="1"/>
  <c r="BH80" i="1"/>
  <c r="BI80" i="1"/>
  <c r="BJ80" i="1"/>
  <c r="BK80" i="1"/>
  <c r="BL80" i="1"/>
  <c r="BM80" i="1"/>
  <c r="BN80" i="1"/>
  <c r="D81" i="1"/>
  <c r="C81" i="1" s="1"/>
  <c r="H81" i="1"/>
  <c r="I81" i="1"/>
  <c r="J81" i="1"/>
  <c r="L81" i="1"/>
  <c r="M81" i="1"/>
  <c r="T81" i="1"/>
  <c r="U81" i="1"/>
  <c r="V81" i="1"/>
  <c r="W81" i="1"/>
  <c r="X81" i="1"/>
  <c r="AB81" i="1"/>
  <c r="AC81" i="1"/>
  <c r="AD81" i="1"/>
  <c r="AE81" i="1"/>
  <c r="AF81" i="1"/>
  <c r="AG81" i="1"/>
  <c r="AH81" i="1"/>
  <c r="AI81" i="1"/>
  <c r="AJ81" i="1"/>
  <c r="AN81" i="1"/>
  <c r="AO81" i="1"/>
  <c r="AP81" i="1"/>
  <c r="AQ81" i="1"/>
  <c r="AR81" i="1"/>
  <c r="AS81" i="1"/>
  <c r="AT81" i="1"/>
  <c r="AU81" i="1"/>
  <c r="AV81" i="1"/>
  <c r="AW81" i="1"/>
  <c r="AX81" i="1"/>
  <c r="E81" i="1" s="1"/>
  <c r="AY81" i="1"/>
  <c r="BB81" i="1"/>
  <c r="BC81" i="1"/>
  <c r="BD81" i="1"/>
  <c r="BE81" i="1"/>
  <c r="BF81" i="1"/>
  <c r="BG81" i="1"/>
  <c r="BH81" i="1"/>
  <c r="BI81" i="1"/>
  <c r="BJ81" i="1"/>
  <c r="BK81" i="1"/>
  <c r="BL81" i="1"/>
  <c r="BM81" i="1"/>
  <c r="BN81" i="1"/>
  <c r="BO81" i="1"/>
  <c r="D82" i="1"/>
  <c r="C82" i="1" s="1"/>
  <c r="H82" i="1"/>
  <c r="I82" i="1"/>
  <c r="J82" i="1"/>
  <c r="L82" i="1"/>
  <c r="M82" i="1"/>
  <c r="T82" i="1"/>
  <c r="U82" i="1"/>
  <c r="V82" i="1"/>
  <c r="W82" i="1"/>
  <c r="X82" i="1"/>
  <c r="AB82" i="1"/>
  <c r="AC82" i="1"/>
  <c r="AD82" i="1"/>
  <c r="AE82" i="1"/>
  <c r="AF82" i="1"/>
  <c r="AG82" i="1"/>
  <c r="AH82" i="1"/>
  <c r="AI82" i="1"/>
  <c r="AJ82" i="1"/>
  <c r="AN82" i="1"/>
  <c r="AO82" i="1"/>
  <c r="AP82" i="1"/>
  <c r="AQ82" i="1"/>
  <c r="AR82" i="1"/>
  <c r="AS82" i="1"/>
  <c r="AT82" i="1"/>
  <c r="AU82" i="1"/>
  <c r="AV82" i="1"/>
  <c r="AW82" i="1"/>
  <c r="AX82" i="1"/>
  <c r="E82" i="1" s="1"/>
  <c r="AY82" i="1"/>
  <c r="BB82" i="1"/>
  <c r="BC82" i="1"/>
  <c r="BD82" i="1"/>
  <c r="BE82" i="1"/>
  <c r="BF82" i="1"/>
  <c r="BG82" i="1"/>
  <c r="BH82" i="1"/>
  <c r="BI82" i="1"/>
  <c r="BJ82" i="1"/>
  <c r="BK82" i="1"/>
  <c r="BL82" i="1"/>
  <c r="BM82" i="1"/>
  <c r="BN82" i="1"/>
  <c r="BO82" i="1"/>
  <c r="BP82" i="1"/>
  <c r="D83" i="1"/>
  <c r="C83" i="1" s="1"/>
  <c r="H83" i="1"/>
  <c r="I83" i="1"/>
  <c r="J83" i="1"/>
  <c r="L83" i="1"/>
  <c r="M83" i="1"/>
  <c r="T83" i="1"/>
  <c r="U83" i="1"/>
  <c r="V83" i="1"/>
  <c r="W83" i="1"/>
  <c r="X83" i="1"/>
  <c r="AB83" i="1"/>
  <c r="AC83" i="1"/>
  <c r="AD83" i="1"/>
  <c r="AE83" i="1"/>
  <c r="AF83" i="1"/>
  <c r="AG83" i="1"/>
  <c r="AH83" i="1"/>
  <c r="AI83" i="1"/>
  <c r="AJ83" i="1"/>
  <c r="AN83" i="1"/>
  <c r="AO83" i="1"/>
  <c r="AP83" i="1"/>
  <c r="AQ83" i="1"/>
  <c r="AR83" i="1"/>
  <c r="AS83" i="1"/>
  <c r="AT83" i="1"/>
  <c r="AU83" i="1"/>
  <c r="AV83" i="1"/>
  <c r="AW83" i="1"/>
  <c r="AX83" i="1"/>
  <c r="E83" i="1" s="1"/>
  <c r="AY83" i="1"/>
  <c r="BB83" i="1"/>
  <c r="BC83" i="1"/>
  <c r="BD83" i="1"/>
  <c r="BE83" i="1"/>
  <c r="BF83" i="1"/>
  <c r="BG83" i="1"/>
  <c r="BH83" i="1"/>
  <c r="BI83" i="1"/>
  <c r="BJ83" i="1"/>
  <c r="BK83" i="1"/>
  <c r="BL83" i="1"/>
  <c r="BM83" i="1"/>
  <c r="BN83" i="1"/>
  <c r="BO83" i="1"/>
  <c r="BP83" i="1"/>
  <c r="BQ83" i="1"/>
  <c r="D84" i="1"/>
  <c r="C84" i="1" s="1"/>
  <c r="H84" i="1"/>
  <c r="I84" i="1"/>
  <c r="J84" i="1"/>
  <c r="L84" i="1"/>
  <c r="M84" i="1"/>
  <c r="T84" i="1"/>
  <c r="U84" i="1"/>
  <c r="V84" i="1"/>
  <c r="W84" i="1"/>
  <c r="X84" i="1"/>
  <c r="AB84" i="1"/>
  <c r="AC84" i="1"/>
  <c r="AD84" i="1"/>
  <c r="AE84" i="1"/>
  <c r="AF84" i="1"/>
  <c r="AG84" i="1"/>
  <c r="AH84" i="1"/>
  <c r="AI84" i="1"/>
  <c r="AJ84" i="1"/>
  <c r="AN84" i="1"/>
  <c r="AO84" i="1"/>
  <c r="AP84" i="1"/>
  <c r="AQ84" i="1"/>
  <c r="AR84" i="1"/>
  <c r="AS84" i="1"/>
  <c r="AT84" i="1"/>
  <c r="AU84" i="1"/>
  <c r="AV84" i="1"/>
  <c r="AW84" i="1"/>
  <c r="AX84" i="1"/>
  <c r="E84" i="1" s="1"/>
  <c r="AY84" i="1"/>
  <c r="BB84" i="1"/>
  <c r="BC84" i="1"/>
  <c r="BD84" i="1"/>
  <c r="BE84" i="1"/>
  <c r="BF84" i="1"/>
  <c r="BG84" i="1"/>
  <c r="BH84" i="1"/>
  <c r="BI84" i="1"/>
  <c r="BJ84" i="1"/>
  <c r="BK84" i="1"/>
  <c r="BL84" i="1"/>
  <c r="BM84" i="1"/>
  <c r="BN84" i="1"/>
  <c r="BO84" i="1"/>
  <c r="BP84" i="1"/>
  <c r="BQ84" i="1"/>
  <c r="BR84" i="1"/>
  <c r="D85" i="1"/>
  <c r="C85" i="1" s="1"/>
  <c r="H85" i="1"/>
  <c r="I85" i="1"/>
  <c r="J85" i="1"/>
  <c r="L85" i="1"/>
  <c r="M85" i="1"/>
  <c r="T85" i="1"/>
  <c r="U85" i="1"/>
  <c r="V85" i="1"/>
  <c r="W85" i="1"/>
  <c r="X85" i="1"/>
  <c r="AB85" i="1"/>
  <c r="AC85" i="1"/>
  <c r="AD85" i="1"/>
  <c r="AE85" i="1"/>
  <c r="AF85" i="1"/>
  <c r="AG85" i="1"/>
  <c r="AH85" i="1"/>
  <c r="AI85" i="1"/>
  <c r="AJ85" i="1"/>
  <c r="AN85" i="1"/>
  <c r="AO85" i="1"/>
  <c r="AP85" i="1"/>
  <c r="AQ85" i="1"/>
  <c r="AR85" i="1"/>
  <c r="AS85" i="1"/>
  <c r="AT85" i="1"/>
  <c r="AU85" i="1"/>
  <c r="AV85" i="1"/>
  <c r="AW85" i="1"/>
  <c r="AX85" i="1"/>
  <c r="E85" i="1" s="1"/>
  <c r="AY85" i="1"/>
  <c r="BB85" i="1"/>
  <c r="BC85" i="1"/>
  <c r="BD85" i="1"/>
  <c r="BE85" i="1"/>
  <c r="BF85" i="1"/>
  <c r="BG85" i="1"/>
  <c r="BH85" i="1"/>
  <c r="BI85" i="1"/>
  <c r="BJ85" i="1"/>
  <c r="BK85" i="1"/>
  <c r="BL85" i="1"/>
  <c r="BM85" i="1"/>
  <c r="BN85" i="1"/>
  <c r="BO85" i="1"/>
  <c r="BP85" i="1"/>
  <c r="BQ85" i="1"/>
  <c r="BR85" i="1"/>
  <c r="BS85" i="1"/>
  <c r="D86" i="1"/>
  <c r="C86" i="1" s="1"/>
  <c r="H86" i="1"/>
  <c r="I86" i="1"/>
  <c r="J86" i="1"/>
  <c r="L86" i="1"/>
  <c r="M86" i="1"/>
  <c r="T86" i="1"/>
  <c r="U86" i="1"/>
  <c r="V86" i="1"/>
  <c r="W86" i="1"/>
  <c r="X86" i="1"/>
  <c r="AB86" i="1"/>
  <c r="AC86" i="1"/>
  <c r="AD86" i="1"/>
  <c r="AE86" i="1"/>
  <c r="AF86" i="1"/>
  <c r="AG86" i="1"/>
  <c r="AH86" i="1"/>
  <c r="AI86" i="1"/>
  <c r="AJ86" i="1"/>
  <c r="AN86" i="1"/>
  <c r="AO86" i="1"/>
  <c r="AP86" i="1"/>
  <c r="AQ86" i="1"/>
  <c r="AR86" i="1"/>
  <c r="AS86" i="1"/>
  <c r="AT86" i="1"/>
  <c r="AU86" i="1"/>
  <c r="AV86" i="1"/>
  <c r="AW86" i="1"/>
  <c r="AX86" i="1"/>
  <c r="E86" i="1" s="1"/>
  <c r="AY86" i="1"/>
  <c r="BB86" i="1"/>
  <c r="BC86" i="1"/>
  <c r="BD86" i="1"/>
  <c r="BE86" i="1"/>
  <c r="BF86" i="1"/>
  <c r="BG86" i="1"/>
  <c r="BH86" i="1"/>
  <c r="BI86" i="1"/>
  <c r="BJ86" i="1"/>
  <c r="BK86" i="1"/>
  <c r="BL86" i="1"/>
  <c r="BM86" i="1"/>
  <c r="BN86" i="1"/>
  <c r="BO86" i="1"/>
  <c r="BP86" i="1"/>
  <c r="BQ86" i="1"/>
  <c r="BR86" i="1"/>
  <c r="BS86" i="1"/>
  <c r="BT86" i="1"/>
  <c r="D87" i="1"/>
  <c r="C87" i="1" s="1"/>
  <c r="H87" i="1"/>
  <c r="I87" i="1"/>
  <c r="J87" i="1"/>
  <c r="L87" i="1"/>
  <c r="M87" i="1"/>
  <c r="T87" i="1"/>
  <c r="U87" i="1"/>
  <c r="V87" i="1"/>
  <c r="W87" i="1"/>
  <c r="X87" i="1"/>
  <c r="AB87" i="1"/>
  <c r="AC87" i="1"/>
  <c r="AD87" i="1"/>
  <c r="AE87" i="1"/>
  <c r="AF87" i="1"/>
  <c r="AG87" i="1"/>
  <c r="AH87" i="1"/>
  <c r="AI87" i="1"/>
  <c r="AJ87" i="1"/>
  <c r="AN87" i="1"/>
  <c r="AO87" i="1"/>
  <c r="AP87" i="1"/>
  <c r="AQ87" i="1"/>
  <c r="AR87" i="1"/>
  <c r="AS87" i="1"/>
  <c r="AT87" i="1"/>
  <c r="AU87" i="1"/>
  <c r="AV87" i="1"/>
  <c r="AW87" i="1"/>
  <c r="AX87" i="1"/>
  <c r="E87" i="1" s="1"/>
  <c r="AY87" i="1"/>
  <c r="BB87" i="1"/>
  <c r="BC87" i="1"/>
  <c r="BD87" i="1"/>
  <c r="BE87" i="1"/>
  <c r="BF87" i="1"/>
  <c r="BG87" i="1"/>
  <c r="BH87" i="1"/>
  <c r="BI87" i="1"/>
  <c r="BJ87" i="1"/>
  <c r="BK87" i="1"/>
  <c r="BL87" i="1"/>
  <c r="BM87" i="1"/>
  <c r="BN87" i="1"/>
  <c r="BO87" i="1"/>
  <c r="BP87" i="1"/>
  <c r="BQ87" i="1"/>
  <c r="BR87" i="1"/>
  <c r="BS87" i="1"/>
  <c r="BT87" i="1"/>
  <c r="BU87" i="1"/>
  <c r="J88" i="1"/>
  <c r="T88" i="1"/>
  <c r="U88" i="1"/>
  <c r="V88" i="1"/>
  <c r="W88" i="1"/>
  <c r="X88" i="1"/>
  <c r="AB88" i="1"/>
  <c r="AC88" i="1"/>
  <c r="AD88" i="1"/>
  <c r="AF88" i="1"/>
  <c r="AG88" i="1"/>
  <c r="AH88" i="1"/>
  <c r="AE88" i="1" s="1"/>
  <c r="AI88" i="1"/>
  <c r="AJ88" i="1"/>
  <c r="AN88" i="1"/>
  <c r="AO88" i="1"/>
  <c r="AP88" i="1"/>
  <c r="AQ88" i="1"/>
  <c r="AR88" i="1"/>
  <c r="AS88" i="1"/>
  <c r="AT88" i="1"/>
  <c r="AU88" i="1"/>
  <c r="AV88" i="1"/>
  <c r="AW88" i="1"/>
  <c r="AX88" i="1"/>
  <c r="AY88" i="1"/>
  <c r="I89" i="1"/>
  <c r="D99" i="1"/>
  <c r="E99" i="1"/>
  <c r="G99" i="1"/>
  <c r="E100" i="1"/>
  <c r="F114" i="1"/>
  <c r="G114" i="1"/>
  <c r="H114" i="1"/>
  <c r="F115" i="1"/>
  <c r="G115" i="1"/>
  <c r="H115" i="1"/>
  <c r="I115" i="1"/>
  <c r="J115" i="1"/>
  <c r="F116" i="1"/>
  <c r="G116" i="1"/>
  <c r="H116" i="1"/>
  <c r="F117" i="1"/>
  <c r="G117" i="1"/>
  <c r="H117" i="1"/>
  <c r="I117" i="1"/>
  <c r="J117" i="1"/>
  <c r="F118" i="1"/>
  <c r="G118" i="1"/>
  <c r="H118" i="1"/>
  <c r="F119" i="1"/>
  <c r="G119" i="1"/>
  <c r="H119" i="1"/>
  <c r="I119" i="1"/>
  <c r="J119" i="1"/>
  <c r="F120" i="1"/>
  <c r="G120" i="1"/>
  <c r="H120" i="1"/>
  <c r="F121" i="1"/>
  <c r="G121" i="1"/>
  <c r="H121" i="1"/>
  <c r="I121" i="1"/>
  <c r="J121" i="1"/>
  <c r="F122" i="1"/>
  <c r="G122" i="1"/>
  <c r="H122" i="1"/>
  <c r="F123" i="1"/>
  <c r="G123" i="1"/>
  <c r="H123" i="1"/>
  <c r="I123" i="1"/>
  <c r="J123" i="1"/>
  <c r="F124" i="1"/>
  <c r="G124" i="1"/>
  <c r="H124" i="1"/>
  <c r="F125" i="1"/>
  <c r="G125" i="1"/>
  <c r="H125" i="1"/>
  <c r="I125" i="1"/>
  <c r="J125" i="1"/>
  <c r="F126" i="1"/>
  <c r="G126" i="1"/>
  <c r="H126" i="1"/>
  <c r="F127" i="1"/>
  <c r="G127" i="1"/>
  <c r="H127" i="1"/>
  <c r="I127" i="1"/>
  <c r="J127" i="1"/>
  <c r="F129" i="1"/>
  <c r="G129" i="1"/>
  <c r="H129" i="1"/>
  <c r="I129" i="1"/>
  <c r="J129" i="1"/>
  <c r="F130" i="1"/>
  <c r="G130" i="1"/>
  <c r="H130" i="1"/>
  <c r="F131" i="1"/>
  <c r="G131" i="1"/>
  <c r="H131" i="1"/>
  <c r="I131" i="1"/>
  <c r="J131" i="1"/>
  <c r="F132" i="1"/>
  <c r="G132" i="1"/>
  <c r="H132" i="1"/>
  <c r="F133" i="1"/>
  <c r="G133" i="1"/>
  <c r="H133" i="1"/>
  <c r="I133" i="1"/>
  <c r="J133" i="1"/>
  <c r="F134" i="1"/>
  <c r="G134" i="1"/>
  <c r="H134" i="1"/>
  <c r="C2" i="21"/>
  <c r="L11" i="21"/>
  <c r="M11" i="21"/>
  <c r="N11" i="21"/>
  <c r="T11" i="21"/>
  <c r="V11" i="21"/>
  <c r="W11" i="21"/>
  <c r="X11" i="21"/>
  <c r="AB11" i="21"/>
  <c r="AC11" i="21"/>
  <c r="AD11" i="21"/>
  <c r="AE11" i="21"/>
  <c r="AF11" i="21"/>
  <c r="AG11" i="21"/>
  <c r="AH11" i="21"/>
  <c r="AI11" i="21"/>
  <c r="L12" i="21"/>
  <c r="M12" i="21"/>
  <c r="N12" i="21"/>
  <c r="T12" i="21"/>
  <c r="V12" i="21"/>
  <c r="W12" i="21"/>
  <c r="X12" i="21"/>
  <c r="AB12" i="21"/>
  <c r="AC12" i="21"/>
  <c r="AD12" i="21"/>
  <c r="AE12" i="21"/>
  <c r="AF12" i="21"/>
  <c r="AG12" i="21"/>
  <c r="AH12" i="21"/>
  <c r="AI12" i="21"/>
  <c r="L13" i="21"/>
  <c r="M13" i="21"/>
  <c r="N13" i="21"/>
  <c r="T13" i="21"/>
  <c r="V13" i="21"/>
  <c r="W13" i="21"/>
  <c r="X13" i="21"/>
  <c r="AB13" i="21"/>
  <c r="AC13" i="21"/>
  <c r="AD13" i="21"/>
  <c r="AE13" i="21"/>
  <c r="AF13" i="21"/>
  <c r="AG13" i="21"/>
  <c r="AH13" i="21"/>
  <c r="AI13" i="21"/>
  <c r="L14" i="21"/>
  <c r="M14" i="21"/>
  <c r="N14" i="21"/>
  <c r="T14" i="21"/>
  <c r="V14" i="21"/>
  <c r="W14" i="21"/>
  <c r="X14" i="21"/>
  <c r="AB14" i="21"/>
  <c r="AC14" i="21"/>
  <c r="AD14" i="21"/>
  <c r="AE14" i="21"/>
  <c r="AF14" i="21"/>
  <c r="AG14" i="21"/>
  <c r="AH14" i="21"/>
  <c r="AI14" i="21"/>
  <c r="L15" i="21"/>
  <c r="M15" i="21"/>
  <c r="N15" i="21"/>
  <c r="T15" i="21"/>
  <c r="V15" i="21"/>
  <c r="W15" i="21"/>
  <c r="X15" i="21"/>
  <c r="AB15" i="21"/>
  <c r="AC15" i="21"/>
  <c r="AD15" i="21"/>
  <c r="AE15" i="21"/>
  <c r="AF15" i="21"/>
  <c r="AG15" i="21"/>
  <c r="AH15" i="21"/>
  <c r="AI15" i="21"/>
  <c r="L16" i="21"/>
  <c r="M16" i="21"/>
  <c r="N16" i="21"/>
  <c r="T16" i="21"/>
  <c r="V16" i="21"/>
  <c r="W16" i="21"/>
  <c r="X16" i="21"/>
  <c r="AB16" i="21"/>
  <c r="AC16" i="21"/>
  <c r="AD16" i="21"/>
  <c r="AE16" i="21"/>
  <c r="AF16" i="21"/>
  <c r="AG16" i="21"/>
  <c r="AH16" i="21"/>
  <c r="AI16" i="21"/>
  <c r="L17" i="21"/>
  <c r="M17" i="21"/>
  <c r="N17" i="21"/>
  <c r="T17" i="21"/>
  <c r="V17" i="21"/>
  <c r="W17" i="21"/>
  <c r="X17" i="21"/>
  <c r="AB17" i="21"/>
  <c r="AC17" i="21"/>
  <c r="AD17" i="21"/>
  <c r="AE17" i="21"/>
  <c r="AF17" i="21"/>
  <c r="AG17" i="21"/>
  <c r="AH17" i="21"/>
  <c r="AI17" i="21"/>
  <c r="L18" i="21"/>
  <c r="M18" i="21"/>
  <c r="N18" i="21"/>
  <c r="T18" i="21"/>
  <c r="V18" i="21"/>
  <c r="W18" i="21"/>
  <c r="X18" i="21"/>
  <c r="AB18" i="21"/>
  <c r="AC18" i="21"/>
  <c r="AD18" i="21"/>
  <c r="AE18" i="21"/>
  <c r="AF18" i="21"/>
  <c r="AG18" i="21"/>
  <c r="AH18" i="21"/>
  <c r="AI18" i="21"/>
  <c r="L19" i="21"/>
  <c r="M19" i="21"/>
  <c r="N19" i="21"/>
  <c r="T19" i="21"/>
  <c r="V19" i="21"/>
  <c r="W19" i="21"/>
  <c r="X19" i="21"/>
  <c r="AB19" i="21"/>
  <c r="AC19" i="21"/>
  <c r="AD19" i="21"/>
  <c r="AE19" i="21"/>
  <c r="AF19" i="21"/>
  <c r="AG19" i="21"/>
  <c r="AH19" i="21"/>
  <c r="AI19" i="21"/>
  <c r="L20" i="21"/>
  <c r="M20" i="21"/>
  <c r="N20" i="21"/>
  <c r="T20" i="21"/>
  <c r="V20" i="21"/>
  <c r="W20" i="21"/>
  <c r="X20" i="21"/>
  <c r="AB20" i="21"/>
  <c r="AC20" i="21"/>
  <c r="AD20" i="21"/>
  <c r="AE20" i="21"/>
  <c r="AF20" i="21"/>
  <c r="AG20" i="21"/>
  <c r="AH20" i="21"/>
  <c r="AI20" i="21"/>
  <c r="L21" i="21"/>
  <c r="M21" i="21"/>
  <c r="N21" i="21"/>
  <c r="T21" i="21"/>
  <c r="V21" i="21"/>
  <c r="W21" i="21"/>
  <c r="X21" i="21"/>
  <c r="AB21" i="21"/>
  <c r="AC21" i="21"/>
  <c r="AD21" i="21"/>
  <c r="AE21" i="21"/>
  <c r="AF21" i="21"/>
  <c r="AG21" i="21"/>
  <c r="AH21" i="21"/>
  <c r="AI21" i="21"/>
  <c r="L22" i="21"/>
  <c r="M22" i="21"/>
  <c r="N22" i="21"/>
  <c r="T22" i="21"/>
  <c r="V22" i="21"/>
  <c r="W22" i="21"/>
  <c r="X22" i="21"/>
  <c r="AB22" i="21"/>
  <c r="AC22" i="21"/>
  <c r="AD22" i="21"/>
  <c r="AE22" i="21"/>
  <c r="AF22" i="21"/>
  <c r="AG22" i="21"/>
  <c r="AH22" i="21"/>
  <c r="AI22" i="21"/>
  <c r="L23" i="21"/>
  <c r="M23" i="21"/>
  <c r="N23" i="21"/>
  <c r="T23" i="21"/>
  <c r="V23" i="21"/>
  <c r="W23" i="21"/>
  <c r="X23" i="21"/>
  <c r="AB23" i="21"/>
  <c r="AC23" i="21"/>
  <c r="AD23" i="21"/>
  <c r="AE23" i="21"/>
  <c r="AF23" i="21"/>
  <c r="AG23" i="21"/>
  <c r="AH23" i="21"/>
  <c r="AI23" i="21"/>
  <c r="L24" i="21"/>
  <c r="M24" i="21"/>
  <c r="N24" i="21"/>
  <c r="T24" i="21"/>
  <c r="V24" i="21"/>
  <c r="W24" i="21"/>
  <c r="X24" i="21"/>
  <c r="AB24" i="21"/>
  <c r="AC24" i="21"/>
  <c r="AD24" i="21"/>
  <c r="AE24" i="21"/>
  <c r="AF24" i="21"/>
  <c r="AG24" i="21"/>
  <c r="AH24" i="21"/>
  <c r="AI24" i="21"/>
  <c r="L25" i="21"/>
  <c r="M25" i="21"/>
  <c r="N25" i="21"/>
  <c r="T25" i="21"/>
  <c r="V25" i="21"/>
  <c r="W25" i="21"/>
  <c r="X25" i="21"/>
  <c r="AB25" i="21"/>
  <c r="AC25" i="21"/>
  <c r="AD25" i="21"/>
  <c r="AE25" i="21"/>
  <c r="AF25" i="21"/>
  <c r="AG25" i="21"/>
  <c r="AH25" i="21"/>
  <c r="AI25" i="21"/>
  <c r="L26" i="21"/>
  <c r="M26" i="21"/>
  <c r="N26" i="21"/>
  <c r="T26" i="21"/>
  <c r="V26" i="21"/>
  <c r="W26" i="21"/>
  <c r="X26" i="21"/>
  <c r="AB26" i="21"/>
  <c r="AC26" i="21"/>
  <c r="AD26" i="21"/>
  <c r="AE26" i="21"/>
  <c r="AF26" i="21"/>
  <c r="AG26" i="21"/>
  <c r="AH26" i="21"/>
  <c r="AI26" i="21"/>
  <c r="L27" i="21"/>
  <c r="M27" i="21"/>
  <c r="N27" i="21"/>
  <c r="T27" i="21"/>
  <c r="V27" i="21"/>
  <c r="W27" i="21"/>
  <c r="X27" i="21"/>
  <c r="AB27" i="21"/>
  <c r="AC27" i="21"/>
  <c r="AD27" i="21"/>
  <c r="AE27" i="21"/>
  <c r="AF27" i="21"/>
  <c r="AG27" i="21"/>
  <c r="AH27" i="21"/>
  <c r="AI27" i="21"/>
  <c r="L28" i="21"/>
  <c r="M28" i="21"/>
  <c r="N28" i="21"/>
  <c r="T28" i="21"/>
  <c r="V28" i="21"/>
  <c r="W28" i="21"/>
  <c r="X28" i="21"/>
  <c r="AB28" i="21"/>
  <c r="AC28" i="21"/>
  <c r="AD28" i="21"/>
  <c r="AE28" i="21"/>
  <c r="AF28" i="21"/>
  <c r="AG28" i="21"/>
  <c r="AH28" i="21"/>
  <c r="AI28" i="21"/>
  <c r="L29" i="21"/>
  <c r="M29" i="21"/>
  <c r="N29" i="21"/>
  <c r="T29" i="21"/>
  <c r="V29" i="21"/>
  <c r="W29" i="21"/>
  <c r="X29" i="21"/>
  <c r="AB29" i="21"/>
  <c r="AC29" i="21"/>
  <c r="AD29" i="21"/>
  <c r="AE29" i="21"/>
  <c r="AF29" i="21"/>
  <c r="AG29" i="21"/>
  <c r="AH29" i="21"/>
  <c r="AI29" i="21"/>
  <c r="L30" i="21"/>
  <c r="M30" i="21"/>
  <c r="N30" i="21"/>
  <c r="T30" i="21"/>
  <c r="V30" i="21"/>
  <c r="W30" i="21"/>
  <c r="X30" i="21"/>
  <c r="AB30" i="21"/>
  <c r="AC30" i="21"/>
  <c r="AD30" i="21"/>
  <c r="AE30" i="21"/>
  <c r="AF30" i="21"/>
  <c r="AG30" i="21"/>
  <c r="AH30" i="21"/>
  <c r="AI30" i="21"/>
  <c r="I31" i="21"/>
  <c r="J31" i="21"/>
  <c r="K31" i="21"/>
  <c r="L31" i="21"/>
  <c r="M31" i="21"/>
  <c r="N31" i="21"/>
  <c r="P2" i="21" s="1"/>
  <c r="I32" i="21"/>
  <c r="O32" i="21"/>
  <c r="I33" i="21"/>
  <c r="O33" i="21"/>
  <c r="E39" i="21"/>
  <c r="L39" i="21"/>
  <c r="T39" i="21"/>
  <c r="V39" i="21"/>
  <c r="W39" i="21"/>
  <c r="X39" i="21"/>
  <c r="AB39" i="21"/>
  <c r="AC39" i="21"/>
  <c r="AD39" i="21"/>
  <c r="AE39" i="21"/>
  <c r="AF39" i="21"/>
  <c r="AG39" i="21"/>
  <c r="AH39" i="21"/>
  <c r="E40" i="21"/>
  <c r="L40" i="21"/>
  <c r="T40" i="21"/>
  <c r="V40" i="21"/>
  <c r="W40" i="21"/>
  <c r="X40" i="21"/>
  <c r="AB40" i="21"/>
  <c r="AC40" i="21"/>
  <c r="AD40" i="21"/>
  <c r="AE40" i="21"/>
  <c r="AF40" i="21"/>
  <c r="AG40" i="21"/>
  <c r="AH40" i="21"/>
  <c r="E41" i="21"/>
  <c r="L41" i="21"/>
  <c r="T41" i="21"/>
  <c r="V41" i="21"/>
  <c r="W41" i="21"/>
  <c r="X41" i="21"/>
  <c r="AB41" i="21"/>
  <c r="AC41" i="21"/>
  <c r="AD41" i="21"/>
  <c r="AE41" i="21"/>
  <c r="AF41" i="21"/>
  <c r="AG41" i="21"/>
  <c r="AH41" i="21"/>
  <c r="E42" i="21"/>
  <c r="L42" i="21"/>
  <c r="T42" i="21"/>
  <c r="V42" i="21"/>
  <c r="W42" i="21"/>
  <c r="X42" i="21"/>
  <c r="AB42" i="21"/>
  <c r="AC42" i="21"/>
  <c r="AD42" i="21"/>
  <c r="AE42" i="21"/>
  <c r="AF42" i="21"/>
  <c r="AG42" i="21"/>
  <c r="AH42" i="21"/>
  <c r="E43" i="21"/>
  <c r="L43" i="21"/>
  <c r="T43" i="21"/>
  <c r="V43" i="21"/>
  <c r="W43" i="21"/>
  <c r="X43" i="21"/>
  <c r="AB43" i="21"/>
  <c r="AC43" i="21"/>
  <c r="AD43" i="21"/>
  <c r="AE43" i="21"/>
  <c r="AF43" i="21"/>
  <c r="AG43" i="21"/>
  <c r="AH43" i="21"/>
  <c r="E44" i="21"/>
  <c r="L44" i="21"/>
  <c r="T44" i="21"/>
  <c r="V44" i="21"/>
  <c r="W44" i="21"/>
  <c r="X44" i="21"/>
  <c r="AB44" i="21"/>
  <c r="AC44" i="21"/>
  <c r="AD44" i="21"/>
  <c r="AE44" i="21"/>
  <c r="AF44" i="21"/>
  <c r="AG44" i="21"/>
  <c r="AH44" i="21"/>
  <c r="E45" i="21"/>
  <c r="L45" i="21"/>
  <c r="T45" i="21"/>
  <c r="V45" i="21"/>
  <c r="W45" i="21"/>
  <c r="X45" i="21"/>
  <c r="AB45" i="21"/>
  <c r="AC45" i="21"/>
  <c r="AD45" i="21"/>
  <c r="AE45" i="21"/>
  <c r="AF45" i="21"/>
  <c r="AG45" i="21"/>
  <c r="AH45" i="21"/>
  <c r="E46" i="21"/>
  <c r="L46" i="21"/>
  <c r="T46" i="21"/>
  <c r="V46" i="21"/>
  <c r="W46" i="21"/>
  <c r="X46" i="21"/>
  <c r="AB46" i="21"/>
  <c r="AC46" i="21"/>
  <c r="AD46" i="21"/>
  <c r="AE46" i="21"/>
  <c r="AF46" i="21"/>
  <c r="AG46" i="21"/>
  <c r="AH46" i="21"/>
  <c r="E47" i="21"/>
  <c r="L47" i="21"/>
  <c r="T47" i="21"/>
  <c r="V47" i="21"/>
  <c r="W47" i="21"/>
  <c r="X47" i="21"/>
  <c r="AB47" i="21"/>
  <c r="AC47" i="21"/>
  <c r="AD47" i="21"/>
  <c r="AE47" i="21"/>
  <c r="AF47" i="21"/>
  <c r="AG47" i="21"/>
  <c r="AH47" i="21"/>
  <c r="E48" i="21"/>
  <c r="L48" i="21"/>
  <c r="T48" i="21"/>
  <c r="V48" i="21"/>
  <c r="W48" i="21"/>
  <c r="X48" i="21"/>
  <c r="AB48" i="21"/>
  <c r="AC48" i="21"/>
  <c r="AD48" i="21"/>
  <c r="AE48" i="21"/>
  <c r="AF48" i="21"/>
  <c r="AG48" i="21"/>
  <c r="AH48" i="21"/>
  <c r="E49" i="21"/>
  <c r="L49" i="21"/>
  <c r="T49" i="21"/>
  <c r="V49" i="21"/>
  <c r="W49" i="21"/>
  <c r="X49" i="21"/>
  <c r="AB49" i="21"/>
  <c r="AC49" i="21"/>
  <c r="AD49" i="21"/>
  <c r="AE49" i="21"/>
  <c r="AF49" i="21"/>
  <c r="AG49" i="21"/>
  <c r="AH49" i="21"/>
  <c r="E50" i="21"/>
  <c r="L50" i="21"/>
  <c r="T50" i="21"/>
  <c r="V50" i="21"/>
  <c r="W50" i="21"/>
  <c r="X50" i="21"/>
  <c r="AB50" i="21"/>
  <c r="AC50" i="21"/>
  <c r="AD50" i="21"/>
  <c r="AE50" i="21"/>
  <c r="AF50" i="21"/>
  <c r="AG50" i="21"/>
  <c r="AH50" i="21"/>
  <c r="E51" i="21"/>
  <c r="L51" i="21"/>
  <c r="T51" i="21"/>
  <c r="V51" i="21"/>
  <c r="W51" i="21"/>
  <c r="X51" i="21"/>
  <c r="AB51" i="21"/>
  <c r="AC51" i="21"/>
  <c r="AD51" i="21"/>
  <c r="AE51" i="21"/>
  <c r="AF51" i="21"/>
  <c r="AG51" i="21"/>
  <c r="AH51" i="21"/>
  <c r="E52" i="21"/>
  <c r="L52" i="21"/>
  <c r="T52" i="21"/>
  <c r="V52" i="21"/>
  <c r="W52" i="21"/>
  <c r="X52" i="21"/>
  <c r="AB52" i="21"/>
  <c r="AC52" i="21"/>
  <c r="AD52" i="21"/>
  <c r="AE52" i="21"/>
  <c r="AF52" i="21"/>
  <c r="AG52" i="21"/>
  <c r="AH52" i="21"/>
  <c r="E53" i="21"/>
  <c r="L53" i="21"/>
  <c r="T53" i="21"/>
  <c r="V53" i="21"/>
  <c r="W53" i="21"/>
  <c r="X53" i="21"/>
  <c r="AB53" i="21"/>
  <c r="AC53" i="21"/>
  <c r="AD53" i="21"/>
  <c r="AE53" i="21"/>
  <c r="AF53" i="21"/>
  <c r="AG53" i="21"/>
  <c r="AH53" i="21"/>
  <c r="E54" i="21"/>
  <c r="L54" i="21"/>
  <c r="T54" i="21"/>
  <c r="V54" i="21"/>
  <c r="W54" i="21"/>
  <c r="X54" i="21"/>
  <c r="AB54" i="21"/>
  <c r="AC54" i="21"/>
  <c r="AD54" i="21"/>
  <c r="AE54" i="21"/>
  <c r="AF54" i="21"/>
  <c r="AG54" i="21"/>
  <c r="AH54" i="21"/>
  <c r="E55" i="21"/>
  <c r="L55" i="21"/>
  <c r="T55" i="21"/>
  <c r="V55" i="21"/>
  <c r="W55" i="21"/>
  <c r="X55" i="21"/>
  <c r="AB55" i="21"/>
  <c r="AC55" i="21"/>
  <c r="AD55" i="21"/>
  <c r="AE55" i="21"/>
  <c r="AF55" i="21"/>
  <c r="AG55" i="21"/>
  <c r="AH55" i="21"/>
  <c r="E56" i="21"/>
  <c r="L56" i="21"/>
  <c r="T56" i="21"/>
  <c r="V56" i="21"/>
  <c r="W56" i="21"/>
  <c r="X56" i="21"/>
  <c r="AB56" i="21"/>
  <c r="AC56" i="21"/>
  <c r="AD56" i="21"/>
  <c r="AE56" i="21"/>
  <c r="AF56" i="21"/>
  <c r="AG56" i="21"/>
  <c r="AH56" i="21"/>
  <c r="E57" i="21"/>
  <c r="L57" i="21"/>
  <c r="T57" i="21"/>
  <c r="V57" i="21"/>
  <c r="W57" i="21"/>
  <c r="X57" i="21"/>
  <c r="AB57" i="21"/>
  <c r="AC57" i="21"/>
  <c r="AD57" i="21"/>
  <c r="AE57" i="21"/>
  <c r="AF57" i="21"/>
  <c r="AG57" i="21"/>
  <c r="AH57" i="21"/>
  <c r="E58" i="21"/>
  <c r="L58" i="21"/>
  <c r="T58" i="21"/>
  <c r="V58" i="21"/>
  <c r="W58" i="21"/>
  <c r="X58" i="21"/>
  <c r="AB58" i="21"/>
  <c r="AC58" i="21"/>
  <c r="AD58" i="21"/>
  <c r="AE58" i="21"/>
  <c r="AF58" i="21"/>
  <c r="AG58" i="21"/>
  <c r="AH58" i="21"/>
  <c r="I59" i="21"/>
  <c r="L59" i="21"/>
  <c r="P3" i="21" s="1"/>
  <c r="I60" i="21"/>
  <c r="D66" i="21"/>
  <c r="C66" i="21" s="1"/>
  <c r="H66" i="21"/>
  <c r="I66" i="21"/>
  <c r="J66" i="21"/>
  <c r="L66" i="21"/>
  <c r="M66" i="21"/>
  <c r="T66" i="21"/>
  <c r="U66" i="21"/>
  <c r="V66" i="21"/>
  <c r="W66" i="21"/>
  <c r="X66" i="21"/>
  <c r="AB66" i="21"/>
  <c r="AC66" i="21"/>
  <c r="AD66" i="21"/>
  <c r="AE66" i="21"/>
  <c r="AF66" i="21"/>
  <c r="AG66" i="21"/>
  <c r="AH66" i="21"/>
  <c r="AI66" i="21"/>
  <c r="AJ66" i="21"/>
  <c r="AN66" i="21"/>
  <c r="AO66" i="21"/>
  <c r="AP66" i="21"/>
  <c r="AQ66" i="21"/>
  <c r="AR66" i="21"/>
  <c r="AS66" i="21"/>
  <c r="AT66" i="21"/>
  <c r="AU66" i="21"/>
  <c r="AV66" i="21"/>
  <c r="AW66" i="21"/>
  <c r="AX66" i="21"/>
  <c r="E66" i="21" s="1"/>
  <c r="BB66" i="21"/>
  <c r="D67" i="21"/>
  <c r="C67" i="21" s="1"/>
  <c r="H67" i="21"/>
  <c r="I67" i="21"/>
  <c r="J67" i="21"/>
  <c r="L67" i="21"/>
  <c r="M67" i="21"/>
  <c r="T67" i="21"/>
  <c r="U67" i="21"/>
  <c r="V67" i="21"/>
  <c r="W67" i="21"/>
  <c r="X67" i="21"/>
  <c r="AB67" i="21"/>
  <c r="AC67" i="21"/>
  <c r="AD67" i="21"/>
  <c r="AE67" i="21"/>
  <c r="AF67" i="21"/>
  <c r="AG67" i="21"/>
  <c r="AH67" i="21"/>
  <c r="AI67" i="21"/>
  <c r="AJ67" i="21"/>
  <c r="AN67" i="21"/>
  <c r="AO67" i="21"/>
  <c r="AP67" i="21"/>
  <c r="AQ67" i="21"/>
  <c r="AR67" i="21"/>
  <c r="AS67" i="21"/>
  <c r="AT67" i="21"/>
  <c r="AU67" i="21"/>
  <c r="AV67" i="21"/>
  <c r="AW67" i="21"/>
  <c r="BC66" i="21" s="1"/>
  <c r="AX67" i="21"/>
  <c r="E67" i="21" s="1"/>
  <c r="BB67" i="21"/>
  <c r="BC67" i="21"/>
  <c r="D68" i="21"/>
  <c r="C68" i="21" s="1"/>
  <c r="H68" i="21"/>
  <c r="I68" i="21"/>
  <c r="J68" i="21"/>
  <c r="L68" i="21"/>
  <c r="M68" i="21"/>
  <c r="T68" i="21"/>
  <c r="U68" i="21"/>
  <c r="V68" i="21"/>
  <c r="W68" i="21"/>
  <c r="X68" i="21"/>
  <c r="AB68" i="21"/>
  <c r="AC68" i="21"/>
  <c r="AD68" i="21"/>
  <c r="AE68" i="21"/>
  <c r="AF68" i="21"/>
  <c r="AG68" i="21"/>
  <c r="AH68" i="21"/>
  <c r="AI68" i="21"/>
  <c r="AJ68" i="21"/>
  <c r="AN68" i="21"/>
  <c r="AO68" i="21"/>
  <c r="AP68" i="21"/>
  <c r="AQ68" i="21"/>
  <c r="AR68" i="21"/>
  <c r="AS68" i="21"/>
  <c r="AT68" i="21"/>
  <c r="AU68" i="21"/>
  <c r="AV68" i="21"/>
  <c r="AW68" i="21"/>
  <c r="AX68" i="21"/>
  <c r="E68" i="21" s="1"/>
  <c r="BB68" i="21"/>
  <c r="BC68" i="21"/>
  <c r="BD68" i="21"/>
  <c r="D69" i="21"/>
  <c r="C69" i="21" s="1"/>
  <c r="H69" i="21"/>
  <c r="I69" i="21"/>
  <c r="J69" i="21"/>
  <c r="L69" i="21"/>
  <c r="M69" i="21"/>
  <c r="T69" i="21"/>
  <c r="U69" i="21"/>
  <c r="V69" i="21"/>
  <c r="W69" i="21"/>
  <c r="X69" i="21"/>
  <c r="AB69" i="21"/>
  <c r="AC69" i="21"/>
  <c r="AD69" i="21"/>
  <c r="AE69" i="21"/>
  <c r="AF69" i="21"/>
  <c r="AG69" i="21"/>
  <c r="AH69" i="21"/>
  <c r="AI69" i="21"/>
  <c r="AJ69" i="21"/>
  <c r="AN69" i="21"/>
  <c r="AO69" i="21"/>
  <c r="AP69" i="21"/>
  <c r="AQ69" i="21"/>
  <c r="AR69" i="21"/>
  <c r="AS69" i="21"/>
  <c r="AT69" i="21"/>
  <c r="AU69" i="21"/>
  <c r="AV69" i="21"/>
  <c r="AW69" i="21"/>
  <c r="AX69" i="21"/>
  <c r="E69" i="21" s="1"/>
  <c r="BB69" i="21"/>
  <c r="BC69" i="21"/>
  <c r="BD69" i="21"/>
  <c r="BE69" i="21"/>
  <c r="D70" i="21"/>
  <c r="C70" i="21" s="1"/>
  <c r="H70" i="21"/>
  <c r="I70" i="21"/>
  <c r="J70" i="21"/>
  <c r="L70" i="21"/>
  <c r="M70" i="21"/>
  <c r="T70" i="21"/>
  <c r="U70" i="21"/>
  <c r="V70" i="21"/>
  <c r="W70" i="21"/>
  <c r="X70" i="21"/>
  <c r="AB70" i="21"/>
  <c r="AC70" i="21"/>
  <c r="AD70" i="21"/>
  <c r="AE70" i="21"/>
  <c r="AF70" i="21"/>
  <c r="AG70" i="21"/>
  <c r="AH70" i="21"/>
  <c r="AI70" i="21"/>
  <c r="AJ70" i="21"/>
  <c r="AN70" i="21"/>
  <c r="AO70" i="21"/>
  <c r="AP70" i="21"/>
  <c r="AQ70" i="21"/>
  <c r="AR70" i="21"/>
  <c r="AS70" i="21"/>
  <c r="AT70" i="21"/>
  <c r="AU70" i="21"/>
  <c r="AV70" i="21"/>
  <c r="AW70" i="21"/>
  <c r="AX70" i="21"/>
  <c r="E70" i="21" s="1"/>
  <c r="BB70" i="21"/>
  <c r="BC70" i="21"/>
  <c r="BD70" i="21"/>
  <c r="BE70" i="21"/>
  <c r="BF70" i="21"/>
  <c r="D71" i="21"/>
  <c r="C71" i="21" s="1"/>
  <c r="H71" i="21"/>
  <c r="I71" i="21"/>
  <c r="J71" i="21"/>
  <c r="L71" i="21"/>
  <c r="M71" i="21"/>
  <c r="T71" i="21"/>
  <c r="U71" i="21"/>
  <c r="V71" i="21"/>
  <c r="W71" i="21"/>
  <c r="X71" i="21"/>
  <c r="AB71" i="21"/>
  <c r="AC71" i="21"/>
  <c r="AD71" i="21"/>
  <c r="AE71" i="21"/>
  <c r="AF71" i="21"/>
  <c r="AG71" i="21"/>
  <c r="AH71" i="21"/>
  <c r="AI71" i="21"/>
  <c r="AJ71" i="21"/>
  <c r="AN71" i="21"/>
  <c r="AO71" i="21"/>
  <c r="AP71" i="21"/>
  <c r="AQ71" i="21"/>
  <c r="AR71" i="21"/>
  <c r="AS71" i="21"/>
  <c r="AT71" i="21"/>
  <c r="AU71" i="21"/>
  <c r="AV71" i="21"/>
  <c r="AW71" i="21"/>
  <c r="AX71" i="21"/>
  <c r="E71" i="21" s="1"/>
  <c r="BB71" i="21"/>
  <c r="BC71" i="21"/>
  <c r="BD71" i="21"/>
  <c r="BE71" i="21"/>
  <c r="BF71" i="21"/>
  <c r="BG71" i="21"/>
  <c r="D72" i="21"/>
  <c r="C72" i="21" s="1"/>
  <c r="H72" i="21"/>
  <c r="I72" i="21"/>
  <c r="J72" i="21"/>
  <c r="L72" i="21"/>
  <c r="M72" i="21"/>
  <c r="T72" i="21"/>
  <c r="U72" i="21"/>
  <c r="V72" i="21"/>
  <c r="W72" i="21"/>
  <c r="X72" i="21"/>
  <c r="AB72" i="21"/>
  <c r="AC72" i="21"/>
  <c r="AD72" i="21"/>
  <c r="AE72" i="21"/>
  <c r="AF72" i="21"/>
  <c r="AG72" i="21"/>
  <c r="AH72" i="21"/>
  <c r="AI72" i="21"/>
  <c r="AJ72" i="21"/>
  <c r="AN72" i="21"/>
  <c r="AO72" i="21"/>
  <c r="AP72" i="21"/>
  <c r="AQ72" i="21"/>
  <c r="AR72" i="21"/>
  <c r="AS72" i="21"/>
  <c r="AT72" i="21"/>
  <c r="AU72" i="21"/>
  <c r="AV72" i="21"/>
  <c r="AW72" i="21"/>
  <c r="AX72" i="21"/>
  <c r="E72" i="21" s="1"/>
  <c r="BB72" i="21"/>
  <c r="BC72" i="21"/>
  <c r="BD72" i="21"/>
  <c r="BE72" i="21"/>
  <c r="BF72" i="21"/>
  <c r="BG72" i="21"/>
  <c r="BH72" i="21"/>
  <c r="D73" i="21"/>
  <c r="C73" i="21" s="1"/>
  <c r="H73" i="21"/>
  <c r="I73" i="21"/>
  <c r="J73" i="21"/>
  <c r="L73" i="21"/>
  <c r="M73" i="21"/>
  <c r="T73" i="21"/>
  <c r="U73" i="21"/>
  <c r="V73" i="21"/>
  <c r="W73" i="21"/>
  <c r="X73" i="21"/>
  <c r="AB73" i="21"/>
  <c r="AC73" i="21"/>
  <c r="AD73" i="21"/>
  <c r="AE73" i="21"/>
  <c r="AF73" i="21"/>
  <c r="AG73" i="21"/>
  <c r="AH73" i="21"/>
  <c r="AI73" i="21"/>
  <c r="AJ73" i="21"/>
  <c r="AN73" i="21"/>
  <c r="AO73" i="21"/>
  <c r="AP73" i="21"/>
  <c r="AQ73" i="21"/>
  <c r="AR73" i="21"/>
  <c r="AS73" i="21"/>
  <c r="AT73" i="21"/>
  <c r="AU73" i="21"/>
  <c r="AV73" i="21"/>
  <c r="AW73" i="21"/>
  <c r="AX73" i="21"/>
  <c r="E73" i="21" s="1"/>
  <c r="BB73" i="21"/>
  <c r="BC73" i="21"/>
  <c r="BD73" i="21"/>
  <c r="BE73" i="21"/>
  <c r="BF73" i="21"/>
  <c r="BG73" i="21"/>
  <c r="BH73" i="21"/>
  <c r="BI73" i="21"/>
  <c r="D74" i="21"/>
  <c r="C74" i="21" s="1"/>
  <c r="H74" i="21"/>
  <c r="I74" i="21"/>
  <c r="J74" i="21"/>
  <c r="L74" i="21"/>
  <c r="M74" i="21"/>
  <c r="T74" i="21"/>
  <c r="U74" i="21"/>
  <c r="V74" i="21"/>
  <c r="W74" i="21"/>
  <c r="X74" i="21"/>
  <c r="AB74" i="21"/>
  <c r="AC74" i="21"/>
  <c r="AD74" i="21"/>
  <c r="AE74" i="21"/>
  <c r="AF74" i="21"/>
  <c r="AG74" i="21"/>
  <c r="AH74" i="21"/>
  <c r="AI74" i="21"/>
  <c r="AJ74" i="21"/>
  <c r="AN74" i="21"/>
  <c r="AO74" i="21"/>
  <c r="AP74" i="21"/>
  <c r="AQ74" i="21"/>
  <c r="AR74" i="21"/>
  <c r="AS74" i="21"/>
  <c r="AT74" i="21"/>
  <c r="AU74" i="21"/>
  <c r="AV74" i="21"/>
  <c r="AW74" i="21"/>
  <c r="AX74" i="21"/>
  <c r="E74" i="21" s="1"/>
  <c r="BB74" i="21"/>
  <c r="BC74" i="21"/>
  <c r="BD74" i="21"/>
  <c r="BE74" i="21"/>
  <c r="BF74" i="21"/>
  <c r="BG74" i="21"/>
  <c r="BH74" i="21"/>
  <c r="BI74" i="21"/>
  <c r="BJ74" i="21"/>
  <c r="D75" i="21"/>
  <c r="C75" i="21" s="1"/>
  <c r="H75" i="21"/>
  <c r="I75" i="21"/>
  <c r="J75" i="21"/>
  <c r="L75" i="21"/>
  <c r="M75" i="21"/>
  <c r="T75" i="21"/>
  <c r="U75" i="21"/>
  <c r="V75" i="21"/>
  <c r="W75" i="21"/>
  <c r="X75" i="21"/>
  <c r="AB75" i="21"/>
  <c r="AC75" i="21"/>
  <c r="AD75" i="21"/>
  <c r="AE75" i="21"/>
  <c r="AF75" i="21"/>
  <c r="AG75" i="21"/>
  <c r="AH75" i="21"/>
  <c r="AI75" i="21"/>
  <c r="AJ75" i="21"/>
  <c r="AN75" i="21"/>
  <c r="AO75" i="21"/>
  <c r="AP75" i="21"/>
  <c r="AQ75" i="21"/>
  <c r="AR75" i="21"/>
  <c r="AS75" i="21"/>
  <c r="AT75" i="21"/>
  <c r="AU75" i="21"/>
  <c r="AV75" i="21"/>
  <c r="AW75" i="21"/>
  <c r="AX75" i="21"/>
  <c r="E75" i="21" s="1"/>
  <c r="BB75" i="21"/>
  <c r="BC75" i="21"/>
  <c r="BD75" i="21"/>
  <c r="BE75" i="21"/>
  <c r="BF75" i="21"/>
  <c r="BG75" i="21"/>
  <c r="BH75" i="21"/>
  <c r="BI75" i="21"/>
  <c r="BJ75" i="21"/>
  <c r="BK75" i="21"/>
  <c r="D76" i="21"/>
  <c r="C76" i="21" s="1"/>
  <c r="H76" i="21"/>
  <c r="I76" i="21"/>
  <c r="J76" i="21"/>
  <c r="L76" i="21"/>
  <c r="M76" i="21"/>
  <c r="T76" i="21"/>
  <c r="U76" i="21"/>
  <c r="V76" i="21"/>
  <c r="W76" i="21"/>
  <c r="X76" i="21"/>
  <c r="AB76" i="21"/>
  <c r="AC76" i="21"/>
  <c r="AD76" i="21"/>
  <c r="AE76" i="21"/>
  <c r="AF76" i="21"/>
  <c r="AG76" i="21"/>
  <c r="AH76" i="21"/>
  <c r="AI76" i="21"/>
  <c r="AJ76" i="21"/>
  <c r="AN76" i="21"/>
  <c r="AO76" i="21"/>
  <c r="AP76" i="21"/>
  <c r="AQ76" i="21"/>
  <c r="AR76" i="21"/>
  <c r="AS76" i="21"/>
  <c r="AT76" i="21"/>
  <c r="AU76" i="21"/>
  <c r="AV76" i="21"/>
  <c r="AW76" i="21"/>
  <c r="AX76" i="21"/>
  <c r="E76" i="21" s="1"/>
  <c r="BB76" i="21"/>
  <c r="BC76" i="21"/>
  <c r="BD76" i="21"/>
  <c r="BE76" i="21"/>
  <c r="BF76" i="21"/>
  <c r="BG76" i="21"/>
  <c r="BH76" i="21"/>
  <c r="BI76" i="21"/>
  <c r="BJ76" i="21"/>
  <c r="BK76" i="21"/>
  <c r="BL76" i="21"/>
  <c r="D77" i="21"/>
  <c r="C77" i="21" s="1"/>
  <c r="H77" i="21"/>
  <c r="I77" i="21"/>
  <c r="J77" i="21"/>
  <c r="L77" i="21"/>
  <c r="M77" i="21"/>
  <c r="T77" i="21"/>
  <c r="U77" i="21"/>
  <c r="V77" i="21"/>
  <c r="W77" i="21"/>
  <c r="X77" i="21"/>
  <c r="AB77" i="21"/>
  <c r="AC77" i="21"/>
  <c r="AD77" i="21"/>
  <c r="AE77" i="21"/>
  <c r="AF77" i="21"/>
  <c r="AG77" i="21"/>
  <c r="AH77" i="21"/>
  <c r="AI77" i="21"/>
  <c r="AJ77" i="21"/>
  <c r="AN77" i="21"/>
  <c r="AO77" i="21"/>
  <c r="AP77" i="21"/>
  <c r="AQ77" i="21"/>
  <c r="AR77" i="21"/>
  <c r="AS77" i="21"/>
  <c r="AT77" i="21"/>
  <c r="AU77" i="21"/>
  <c r="AV77" i="21"/>
  <c r="AW77" i="21"/>
  <c r="AX77" i="21"/>
  <c r="E77" i="21" s="1"/>
  <c r="BB77" i="21"/>
  <c r="BC77" i="21"/>
  <c r="BD77" i="21"/>
  <c r="BE77" i="21"/>
  <c r="BF77" i="21"/>
  <c r="BG77" i="21"/>
  <c r="BH77" i="21"/>
  <c r="BI77" i="21"/>
  <c r="BJ77" i="21"/>
  <c r="BK77" i="21"/>
  <c r="BL77" i="21"/>
  <c r="BM77" i="21"/>
  <c r="D78" i="21"/>
  <c r="C78" i="21" s="1"/>
  <c r="H78" i="21"/>
  <c r="I78" i="21"/>
  <c r="J78" i="21"/>
  <c r="L78" i="21"/>
  <c r="M78" i="21"/>
  <c r="T78" i="21"/>
  <c r="U78" i="21"/>
  <c r="V78" i="21"/>
  <c r="W78" i="21"/>
  <c r="X78" i="21"/>
  <c r="AB78" i="21"/>
  <c r="AC78" i="21"/>
  <c r="AD78" i="21"/>
  <c r="AE78" i="21"/>
  <c r="AF78" i="21"/>
  <c r="AG78" i="21"/>
  <c r="AH78" i="21"/>
  <c r="AI78" i="21"/>
  <c r="AJ78" i="21"/>
  <c r="AN78" i="21"/>
  <c r="AO78" i="21"/>
  <c r="AP78" i="21"/>
  <c r="AQ78" i="21"/>
  <c r="AR78" i="21"/>
  <c r="AS78" i="21"/>
  <c r="AT78" i="21"/>
  <c r="AU78" i="21"/>
  <c r="AV78" i="21"/>
  <c r="AW78" i="21"/>
  <c r="AX78" i="21"/>
  <c r="E78" i="21" s="1"/>
  <c r="BB78" i="21"/>
  <c r="BC78" i="21"/>
  <c r="BD78" i="21"/>
  <c r="BE78" i="21"/>
  <c r="BF78" i="21"/>
  <c r="BG78" i="21"/>
  <c r="BH78" i="21"/>
  <c r="BI78" i="21"/>
  <c r="BJ78" i="21"/>
  <c r="BK78" i="21"/>
  <c r="BL78" i="21"/>
  <c r="BM78" i="21"/>
  <c r="BN78" i="21"/>
  <c r="D79" i="21"/>
  <c r="C79" i="21" s="1"/>
  <c r="H79" i="21"/>
  <c r="I79" i="21"/>
  <c r="J79" i="21"/>
  <c r="L79" i="21"/>
  <c r="M79" i="21"/>
  <c r="T79" i="21"/>
  <c r="U79" i="21"/>
  <c r="V79" i="21"/>
  <c r="W79" i="21"/>
  <c r="X79" i="21"/>
  <c r="AB79" i="21"/>
  <c r="AC79" i="21"/>
  <c r="AD79" i="21"/>
  <c r="AE79" i="21"/>
  <c r="AF79" i="21"/>
  <c r="AG79" i="21"/>
  <c r="AH79" i="21"/>
  <c r="AI79" i="21"/>
  <c r="AJ79" i="21"/>
  <c r="AN79" i="21"/>
  <c r="AO79" i="21"/>
  <c r="AP79" i="21"/>
  <c r="AQ79" i="21"/>
  <c r="AR79" i="21"/>
  <c r="AS79" i="21"/>
  <c r="AT79" i="21"/>
  <c r="AU79" i="21"/>
  <c r="AV79" i="21"/>
  <c r="AW79" i="21"/>
  <c r="AX79" i="21"/>
  <c r="E79" i="21" s="1"/>
  <c r="BB79" i="21"/>
  <c r="BC79" i="21"/>
  <c r="BD79" i="21"/>
  <c r="BE79" i="21"/>
  <c r="BF79" i="21"/>
  <c r="BG79" i="21"/>
  <c r="BH79" i="21"/>
  <c r="BI79" i="21"/>
  <c r="BJ79" i="21"/>
  <c r="BK79" i="21"/>
  <c r="BL79" i="21"/>
  <c r="BM79" i="21"/>
  <c r="BN79" i="21"/>
  <c r="BO79" i="21"/>
  <c r="D80" i="21"/>
  <c r="C80" i="21" s="1"/>
  <c r="H80" i="21"/>
  <c r="I80" i="21"/>
  <c r="J80" i="21"/>
  <c r="L80" i="21"/>
  <c r="M80" i="21"/>
  <c r="T80" i="21"/>
  <c r="U80" i="21"/>
  <c r="V80" i="21"/>
  <c r="W80" i="21"/>
  <c r="X80" i="21"/>
  <c r="AB80" i="21"/>
  <c r="AC80" i="21"/>
  <c r="AD80" i="21"/>
  <c r="AE80" i="21"/>
  <c r="AF80" i="21"/>
  <c r="AG80" i="21"/>
  <c r="AH80" i="21"/>
  <c r="AI80" i="21"/>
  <c r="AJ80" i="21"/>
  <c r="AN80" i="21"/>
  <c r="AO80" i="21"/>
  <c r="AP80" i="21"/>
  <c r="AQ80" i="21"/>
  <c r="AR80" i="21"/>
  <c r="AS80" i="21"/>
  <c r="AT80" i="21"/>
  <c r="AU80" i="21"/>
  <c r="AV80" i="21"/>
  <c r="AW80" i="21"/>
  <c r="AX80" i="21"/>
  <c r="E80" i="21" s="1"/>
  <c r="BB80" i="21"/>
  <c r="BC80" i="21"/>
  <c r="BD80" i="21"/>
  <c r="BE80" i="21"/>
  <c r="BF80" i="21"/>
  <c r="BG80" i="21"/>
  <c r="BH80" i="21"/>
  <c r="BI80" i="21"/>
  <c r="BJ80" i="21"/>
  <c r="BK80" i="21"/>
  <c r="BL80" i="21"/>
  <c r="BM80" i="21"/>
  <c r="BN80" i="21"/>
  <c r="BO80" i="21"/>
  <c r="BP80" i="21"/>
  <c r="D81" i="21"/>
  <c r="C81" i="21" s="1"/>
  <c r="H81" i="21"/>
  <c r="I81" i="21"/>
  <c r="J81" i="21"/>
  <c r="L81" i="21"/>
  <c r="M81" i="21"/>
  <c r="T81" i="21"/>
  <c r="U81" i="21"/>
  <c r="V81" i="21"/>
  <c r="W81" i="21"/>
  <c r="X81" i="21"/>
  <c r="AB81" i="21"/>
  <c r="AC81" i="21"/>
  <c r="AD81" i="21"/>
  <c r="AE81" i="21"/>
  <c r="AF81" i="21"/>
  <c r="AG81" i="21"/>
  <c r="AH81" i="21"/>
  <c r="AI81" i="21"/>
  <c r="AJ81" i="21"/>
  <c r="AN81" i="21"/>
  <c r="AO81" i="21"/>
  <c r="AP81" i="21"/>
  <c r="AQ81" i="21"/>
  <c r="AR81" i="21"/>
  <c r="AS81" i="21"/>
  <c r="AT81" i="21"/>
  <c r="AU81" i="21"/>
  <c r="AV81" i="21"/>
  <c r="AW81" i="21"/>
  <c r="AX81" i="21"/>
  <c r="E81" i="21" s="1"/>
  <c r="BB81" i="21"/>
  <c r="BC81" i="21"/>
  <c r="BD81" i="21"/>
  <c r="BE81" i="21"/>
  <c r="BF81" i="21"/>
  <c r="BG81" i="21"/>
  <c r="BH81" i="21"/>
  <c r="BI81" i="21"/>
  <c r="BJ81" i="21"/>
  <c r="BK81" i="21"/>
  <c r="BL81" i="21"/>
  <c r="BM81" i="21"/>
  <c r="BN81" i="21"/>
  <c r="BO81" i="21"/>
  <c r="BP81" i="21"/>
  <c r="BQ81" i="21"/>
  <c r="D82" i="21"/>
  <c r="C82" i="21" s="1"/>
  <c r="H82" i="21"/>
  <c r="I82" i="21"/>
  <c r="J82" i="21"/>
  <c r="L82" i="21"/>
  <c r="M82" i="21"/>
  <c r="T82" i="21"/>
  <c r="U82" i="21"/>
  <c r="V82" i="21"/>
  <c r="W82" i="21"/>
  <c r="X82" i="21"/>
  <c r="AB82" i="21"/>
  <c r="AC82" i="21"/>
  <c r="AD82" i="21"/>
  <c r="AE82" i="21"/>
  <c r="AF82" i="21"/>
  <c r="AG82" i="21"/>
  <c r="AH82" i="21"/>
  <c r="AI82" i="21"/>
  <c r="AJ82" i="21"/>
  <c r="AN82" i="21"/>
  <c r="AO82" i="21"/>
  <c r="AP82" i="21"/>
  <c r="AQ82" i="21"/>
  <c r="AR82" i="21"/>
  <c r="AS82" i="21"/>
  <c r="AT82" i="21"/>
  <c r="AU82" i="21"/>
  <c r="AV82" i="21"/>
  <c r="AW82" i="21"/>
  <c r="AX82" i="21"/>
  <c r="E82" i="21" s="1"/>
  <c r="BB82" i="21"/>
  <c r="BC82" i="21"/>
  <c r="BD82" i="21"/>
  <c r="BE82" i="21"/>
  <c r="BF82" i="21"/>
  <c r="BG82" i="21"/>
  <c r="BH82" i="21"/>
  <c r="BI82" i="21"/>
  <c r="BJ82" i="21"/>
  <c r="BK82" i="21"/>
  <c r="BL82" i="21"/>
  <c r="BM82" i="21"/>
  <c r="BN82" i="21"/>
  <c r="BO82" i="21"/>
  <c r="BP82" i="21"/>
  <c r="BQ82" i="21"/>
  <c r="BR82" i="21"/>
  <c r="D83" i="21"/>
  <c r="C83" i="21" s="1"/>
  <c r="H83" i="21"/>
  <c r="I83" i="21"/>
  <c r="J83" i="21"/>
  <c r="L83" i="21"/>
  <c r="M83" i="21"/>
  <c r="T83" i="21"/>
  <c r="U83" i="21"/>
  <c r="V83" i="21"/>
  <c r="W83" i="21"/>
  <c r="X83" i="21"/>
  <c r="AB83" i="21"/>
  <c r="AC83" i="21"/>
  <c r="AD83" i="21"/>
  <c r="AE83" i="21"/>
  <c r="AF83" i="21"/>
  <c r="AG83" i="21"/>
  <c r="AH83" i="21"/>
  <c r="AI83" i="21"/>
  <c r="AJ83" i="21"/>
  <c r="AN83" i="21"/>
  <c r="AO83" i="21"/>
  <c r="AP83" i="21"/>
  <c r="AQ83" i="21"/>
  <c r="AR83" i="21"/>
  <c r="AS83" i="21"/>
  <c r="AT83" i="21"/>
  <c r="AU83" i="21"/>
  <c r="AV83" i="21"/>
  <c r="AW83" i="21"/>
  <c r="AX83" i="21"/>
  <c r="E83" i="21" s="1"/>
  <c r="BB83" i="21"/>
  <c r="BC83" i="21"/>
  <c r="BD83" i="21"/>
  <c r="BE83" i="21"/>
  <c r="BF83" i="21"/>
  <c r="BG83" i="21"/>
  <c r="BH83" i="21"/>
  <c r="BI83" i="21"/>
  <c r="BJ83" i="21"/>
  <c r="BK83" i="21"/>
  <c r="BL83" i="21"/>
  <c r="BM83" i="21"/>
  <c r="BN83" i="21"/>
  <c r="BO83" i="21"/>
  <c r="BP83" i="21"/>
  <c r="BQ83" i="21"/>
  <c r="BR83" i="21"/>
  <c r="BS83" i="21"/>
  <c r="D84" i="21"/>
  <c r="C84" i="21" s="1"/>
  <c r="H84" i="21"/>
  <c r="I84" i="21"/>
  <c r="J84" i="21"/>
  <c r="L84" i="21"/>
  <c r="M84" i="21"/>
  <c r="T84" i="21"/>
  <c r="U84" i="21"/>
  <c r="V84" i="21"/>
  <c r="W84" i="21"/>
  <c r="X84" i="21"/>
  <c r="AB84" i="21"/>
  <c r="AC84" i="21"/>
  <c r="AD84" i="21"/>
  <c r="AE84" i="21"/>
  <c r="AF84" i="21"/>
  <c r="AG84" i="21"/>
  <c r="AH84" i="21"/>
  <c r="AI84" i="21"/>
  <c r="AJ84" i="21"/>
  <c r="AN84" i="21"/>
  <c r="AO84" i="21"/>
  <c r="AP84" i="21"/>
  <c r="AQ84" i="21"/>
  <c r="AR84" i="21"/>
  <c r="AS84" i="21"/>
  <c r="AT84" i="21"/>
  <c r="AU84" i="21"/>
  <c r="AV84" i="21"/>
  <c r="AW84" i="21"/>
  <c r="AX84" i="21"/>
  <c r="E84" i="21" s="1"/>
  <c r="BB84" i="21"/>
  <c r="BC84" i="21"/>
  <c r="BD84" i="21"/>
  <c r="BE84" i="21"/>
  <c r="BF84" i="21"/>
  <c r="BG84" i="21"/>
  <c r="BH84" i="21"/>
  <c r="BI84" i="21"/>
  <c r="BJ84" i="21"/>
  <c r="BK84" i="21"/>
  <c r="BL84" i="21"/>
  <c r="BM84" i="21"/>
  <c r="BN84" i="21"/>
  <c r="BO84" i="21"/>
  <c r="BP84" i="21"/>
  <c r="BQ84" i="21"/>
  <c r="BR84" i="21"/>
  <c r="BS84" i="21"/>
  <c r="BT84" i="21"/>
  <c r="D85" i="21"/>
  <c r="C85" i="21" s="1"/>
  <c r="H85" i="21"/>
  <c r="I85" i="21"/>
  <c r="J85" i="21"/>
  <c r="L85" i="21"/>
  <c r="M85" i="21"/>
  <c r="T85" i="21"/>
  <c r="U85" i="21"/>
  <c r="V85" i="21"/>
  <c r="W85" i="21"/>
  <c r="X85" i="21"/>
  <c r="AB85" i="21"/>
  <c r="AC85" i="21"/>
  <c r="AD85" i="21"/>
  <c r="AE85" i="21"/>
  <c r="AF85" i="21"/>
  <c r="AG85" i="21"/>
  <c r="AH85" i="21"/>
  <c r="AI85" i="21"/>
  <c r="AJ85" i="21"/>
  <c r="AN85" i="21"/>
  <c r="AO85" i="21"/>
  <c r="AP85" i="21"/>
  <c r="AQ85" i="21"/>
  <c r="AR85" i="21"/>
  <c r="AS85" i="21"/>
  <c r="AT85" i="21"/>
  <c r="AU85" i="21"/>
  <c r="AV85" i="21"/>
  <c r="AW85" i="21"/>
  <c r="AX85" i="21"/>
  <c r="E85" i="21" s="1"/>
  <c r="BB85" i="21"/>
  <c r="BC85" i="21"/>
  <c r="BD85" i="21"/>
  <c r="BE85" i="21"/>
  <c r="BF85" i="21"/>
  <c r="BG85" i="21"/>
  <c r="BH85" i="21"/>
  <c r="BI85" i="21"/>
  <c r="BJ85" i="21"/>
  <c r="BK85" i="21"/>
  <c r="BL85" i="21"/>
  <c r="BM85" i="21"/>
  <c r="BN85" i="21"/>
  <c r="BO85" i="21"/>
  <c r="BP85" i="21"/>
  <c r="BQ85" i="21"/>
  <c r="BR85" i="21"/>
  <c r="BS85" i="21"/>
  <c r="BT85" i="21"/>
  <c r="BU85" i="21"/>
  <c r="I86" i="21"/>
  <c r="L86" i="21"/>
  <c r="P4" i="21" s="1"/>
  <c r="M86" i="21"/>
  <c r="E103" i="21"/>
  <c r="F103" i="21"/>
  <c r="G103" i="21"/>
  <c r="E104" i="21"/>
  <c r="F104" i="21"/>
  <c r="G104" i="21"/>
  <c r="E105" i="21"/>
  <c r="F105" i="21"/>
  <c r="G105" i="21"/>
  <c r="E106" i="21"/>
  <c r="F106" i="21"/>
  <c r="G106" i="21"/>
  <c r="E107" i="21"/>
  <c r="F107" i="21"/>
  <c r="G107" i="21"/>
  <c r="E108" i="21"/>
  <c r="F108" i="21"/>
  <c r="G108" i="21"/>
  <c r="H103" i="21" s="1"/>
  <c r="I108" i="21"/>
  <c r="E109" i="21"/>
  <c r="F109" i="21"/>
  <c r="G109" i="21"/>
  <c r="E110" i="21"/>
  <c r="F110" i="21"/>
  <c r="G110" i="21"/>
  <c r="E111" i="21"/>
  <c r="F111" i="21"/>
  <c r="G111" i="21"/>
  <c r="E112" i="21"/>
  <c r="F112" i="21"/>
  <c r="G112" i="21"/>
  <c r="H109" i="21" s="1"/>
  <c r="I112" i="21"/>
  <c r="E113" i="21"/>
  <c r="F113" i="21"/>
  <c r="G113" i="21"/>
  <c r="H113" i="21"/>
  <c r="I113" i="21"/>
  <c r="E114" i="21"/>
  <c r="F114" i="21"/>
  <c r="F115" i="21"/>
  <c r="G115" i="21"/>
  <c r="F116" i="21"/>
  <c r="G116" i="21"/>
  <c r="F117" i="21"/>
  <c r="C2" i="22"/>
  <c r="L11" i="22"/>
  <c r="M11" i="22"/>
  <c r="N11" i="22"/>
  <c r="T11" i="22"/>
  <c r="V11" i="22"/>
  <c r="W11" i="22"/>
  <c r="X11" i="22"/>
  <c r="AB11" i="22"/>
  <c r="AC11" i="22"/>
  <c r="AD11" i="22"/>
  <c r="AE11" i="22"/>
  <c r="AF11" i="22"/>
  <c r="AG11" i="22"/>
  <c r="AH11" i="22"/>
  <c r="AI11" i="22"/>
  <c r="AJ11" i="22" a="1"/>
  <c r="AJ11" i="22"/>
  <c r="AR11" i="22"/>
  <c r="L12" i="22"/>
  <c r="M12" i="22"/>
  <c r="N12" i="22"/>
  <c r="T12" i="22"/>
  <c r="V12" i="22"/>
  <c r="W12" i="22"/>
  <c r="X12" i="22"/>
  <c r="AB12" i="22"/>
  <c r="AC12" i="22"/>
  <c r="AD12" i="22"/>
  <c r="AE12" i="22"/>
  <c r="AF12" i="22"/>
  <c r="AG12" i="22"/>
  <c r="AH12" i="22"/>
  <c r="AI12" i="22"/>
  <c r="AR12" i="22"/>
  <c r="L13" i="22"/>
  <c r="M13" i="22"/>
  <c r="N13" i="22"/>
  <c r="T13" i="22"/>
  <c r="V13" i="22"/>
  <c r="W13" i="22"/>
  <c r="X13" i="22"/>
  <c r="AB13" i="22"/>
  <c r="AC13" i="22"/>
  <c r="AD13" i="22"/>
  <c r="AE13" i="22"/>
  <c r="AF13" i="22"/>
  <c r="AG13" i="22"/>
  <c r="AH13" i="22"/>
  <c r="AI13" i="22"/>
  <c r="AR13" i="22"/>
  <c r="L14" i="22"/>
  <c r="M14" i="22"/>
  <c r="N14" i="22"/>
  <c r="T14" i="22"/>
  <c r="V14" i="22"/>
  <c r="W14" i="22"/>
  <c r="X14" i="22"/>
  <c r="AB14" i="22"/>
  <c r="AC14" i="22"/>
  <c r="AD14" i="22"/>
  <c r="AE14" i="22"/>
  <c r="AF14" i="22"/>
  <c r="AG14" i="22"/>
  <c r="AH14" i="22"/>
  <c r="AI14" i="22"/>
  <c r="AR14" i="22"/>
  <c r="L15" i="22"/>
  <c r="M15" i="22"/>
  <c r="N15" i="22"/>
  <c r="T15" i="22"/>
  <c r="V15" i="22"/>
  <c r="W15" i="22"/>
  <c r="X15" i="22"/>
  <c r="AB15" i="22"/>
  <c r="AC15" i="22"/>
  <c r="AD15" i="22"/>
  <c r="AE15" i="22"/>
  <c r="AF15" i="22"/>
  <c r="AG15" i="22"/>
  <c r="AH15" i="22"/>
  <c r="AI15" i="22"/>
  <c r="AR15" i="22"/>
  <c r="L16" i="22"/>
  <c r="M16" i="22"/>
  <c r="N16" i="22"/>
  <c r="T16" i="22"/>
  <c r="V16" i="22"/>
  <c r="W16" i="22"/>
  <c r="X16" i="22"/>
  <c r="AB16" i="22"/>
  <c r="AC16" i="22"/>
  <c r="AD16" i="22"/>
  <c r="AE16" i="22"/>
  <c r="AF16" i="22"/>
  <c r="AG16" i="22"/>
  <c r="AH16" i="22"/>
  <c r="AI16" i="22"/>
  <c r="AR16" i="22"/>
  <c r="L17" i="22"/>
  <c r="M17" i="22"/>
  <c r="N17" i="22"/>
  <c r="T17" i="22"/>
  <c r="V17" i="22"/>
  <c r="W17" i="22"/>
  <c r="X17" i="22"/>
  <c r="AB17" i="22"/>
  <c r="AC17" i="22"/>
  <c r="AD17" i="22"/>
  <c r="AE17" i="22"/>
  <c r="AF17" i="22"/>
  <c r="AG17" i="22"/>
  <c r="AH17" i="22"/>
  <c r="AI17" i="22"/>
  <c r="AR17" i="22"/>
  <c r="L18" i="22"/>
  <c r="M18" i="22"/>
  <c r="N18" i="22"/>
  <c r="T18" i="22"/>
  <c r="V18" i="22"/>
  <c r="W18" i="22"/>
  <c r="X18" i="22"/>
  <c r="AB18" i="22"/>
  <c r="AC18" i="22"/>
  <c r="AD18" i="22"/>
  <c r="AE18" i="22"/>
  <c r="AF18" i="22"/>
  <c r="AG18" i="22"/>
  <c r="AH18" i="22"/>
  <c r="AI18" i="22"/>
  <c r="AR18" i="22"/>
  <c r="L19" i="22"/>
  <c r="M19" i="22"/>
  <c r="N19" i="22"/>
  <c r="T19" i="22"/>
  <c r="V19" i="22"/>
  <c r="W19" i="22"/>
  <c r="X19" i="22"/>
  <c r="AB19" i="22"/>
  <c r="AC19" i="22"/>
  <c r="AD19" i="22"/>
  <c r="AE19" i="22"/>
  <c r="AF19" i="22"/>
  <c r="AG19" i="22"/>
  <c r="AH19" i="22"/>
  <c r="AI19" i="22"/>
  <c r="AR19" i="22"/>
  <c r="L20" i="22"/>
  <c r="M20" i="22"/>
  <c r="N20" i="22"/>
  <c r="T20" i="22"/>
  <c r="V20" i="22"/>
  <c r="W20" i="22"/>
  <c r="X20" i="22"/>
  <c r="AB20" i="22"/>
  <c r="AC20" i="22"/>
  <c r="AD20" i="22"/>
  <c r="AE20" i="22"/>
  <c r="AF20" i="22"/>
  <c r="AG20" i="22"/>
  <c r="AH20" i="22"/>
  <c r="AI20" i="22"/>
  <c r="AR20" i="22"/>
  <c r="L21" i="22"/>
  <c r="M21" i="22"/>
  <c r="N21" i="22"/>
  <c r="T21" i="22"/>
  <c r="V21" i="22"/>
  <c r="W21" i="22"/>
  <c r="X21" i="22"/>
  <c r="AB21" i="22"/>
  <c r="AC21" i="22"/>
  <c r="AD21" i="22"/>
  <c r="AE21" i="22"/>
  <c r="AF21" i="22"/>
  <c r="AG21" i="22"/>
  <c r="AH21" i="22"/>
  <c r="AI21" i="22"/>
  <c r="AR21" i="22"/>
  <c r="L22" i="22"/>
  <c r="M22" i="22"/>
  <c r="N22" i="22"/>
  <c r="T22" i="22"/>
  <c r="V22" i="22"/>
  <c r="W22" i="22"/>
  <c r="X22" i="22"/>
  <c r="AB22" i="22"/>
  <c r="AC22" i="22"/>
  <c r="AD22" i="22"/>
  <c r="AE22" i="22"/>
  <c r="AF22" i="22"/>
  <c r="AG22" i="22"/>
  <c r="AH22" i="22"/>
  <c r="AI22" i="22"/>
  <c r="AR22" i="22"/>
  <c r="L23" i="22"/>
  <c r="M23" i="22"/>
  <c r="N23" i="22"/>
  <c r="T23" i="22"/>
  <c r="V23" i="22"/>
  <c r="W23" i="22"/>
  <c r="X23" i="22"/>
  <c r="AB23" i="22"/>
  <c r="AC23" i="22"/>
  <c r="AD23" i="22"/>
  <c r="AE23" i="22"/>
  <c r="AF23" i="22"/>
  <c r="AG23" i="22"/>
  <c r="AH23" i="22"/>
  <c r="AI23" i="22"/>
  <c r="AR23" i="22"/>
  <c r="L24" i="22"/>
  <c r="M24" i="22"/>
  <c r="N24" i="22"/>
  <c r="T24" i="22"/>
  <c r="V24" i="22"/>
  <c r="W24" i="22"/>
  <c r="X24" i="22"/>
  <c r="AB24" i="22"/>
  <c r="AC24" i="22"/>
  <c r="AD24" i="22"/>
  <c r="AE24" i="22"/>
  <c r="AF24" i="22"/>
  <c r="AG24" i="22"/>
  <c r="AH24" i="22"/>
  <c r="AI24" i="22"/>
  <c r="AR24" i="22"/>
  <c r="L25" i="22"/>
  <c r="M25" i="22"/>
  <c r="N25" i="22"/>
  <c r="T25" i="22"/>
  <c r="V25" i="22"/>
  <c r="W25" i="22"/>
  <c r="X25" i="22"/>
  <c r="AB25" i="22"/>
  <c r="AC25" i="22"/>
  <c r="AD25" i="22"/>
  <c r="AE25" i="22"/>
  <c r="AF25" i="22"/>
  <c r="AG25" i="22"/>
  <c r="AH25" i="22"/>
  <c r="AI25" i="22"/>
  <c r="AR25" i="22"/>
  <c r="L26" i="22"/>
  <c r="M26" i="22"/>
  <c r="N26" i="22"/>
  <c r="T26" i="22"/>
  <c r="V26" i="22"/>
  <c r="W26" i="22"/>
  <c r="X26" i="22"/>
  <c r="AB26" i="22"/>
  <c r="AC26" i="22"/>
  <c r="AD26" i="22"/>
  <c r="AE26" i="22"/>
  <c r="AF26" i="22"/>
  <c r="AG26" i="22"/>
  <c r="AH26" i="22"/>
  <c r="AI26" i="22"/>
  <c r="AR26" i="22"/>
  <c r="L27" i="22"/>
  <c r="M27" i="22"/>
  <c r="N27" i="22"/>
  <c r="T27" i="22"/>
  <c r="V27" i="22"/>
  <c r="W27" i="22"/>
  <c r="X27" i="22"/>
  <c r="AB27" i="22"/>
  <c r="AC27" i="22"/>
  <c r="AD27" i="22"/>
  <c r="AE27" i="22"/>
  <c r="AF27" i="22"/>
  <c r="AG27" i="22"/>
  <c r="AH27" i="22"/>
  <c r="AI27" i="22"/>
  <c r="AR27" i="22"/>
  <c r="L28" i="22"/>
  <c r="M28" i="22"/>
  <c r="N28" i="22"/>
  <c r="T28" i="22"/>
  <c r="V28" i="22"/>
  <c r="W28" i="22"/>
  <c r="X28" i="22"/>
  <c r="AB28" i="22"/>
  <c r="AC28" i="22"/>
  <c r="AD28" i="22"/>
  <c r="AE28" i="22"/>
  <c r="AF28" i="22"/>
  <c r="AG28" i="22"/>
  <c r="AH28" i="22"/>
  <c r="AI28" i="22"/>
  <c r="AR28" i="22"/>
  <c r="L29" i="22"/>
  <c r="M29" i="22"/>
  <c r="N29" i="22"/>
  <c r="T29" i="22"/>
  <c r="V29" i="22"/>
  <c r="W29" i="22"/>
  <c r="X29" i="22"/>
  <c r="AB29" i="22"/>
  <c r="AC29" i="22"/>
  <c r="AD29" i="22"/>
  <c r="AE29" i="22"/>
  <c r="AF29" i="22"/>
  <c r="AG29" i="22"/>
  <c r="AH29" i="22"/>
  <c r="AI29" i="22"/>
  <c r="AR29" i="22"/>
  <c r="L30" i="22"/>
  <c r="M30" i="22"/>
  <c r="N30" i="22"/>
  <c r="T30" i="22"/>
  <c r="V30" i="22"/>
  <c r="W30" i="22"/>
  <c r="X30" i="22"/>
  <c r="AB30" i="22"/>
  <c r="AC30" i="22"/>
  <c r="AD30" i="22"/>
  <c r="AE30" i="22"/>
  <c r="AF30" i="22"/>
  <c r="AG30" i="22"/>
  <c r="AH30" i="22"/>
  <c r="AI30" i="22"/>
  <c r="AR30" i="22"/>
  <c r="I31" i="22"/>
  <c r="J31" i="22"/>
  <c r="K31" i="22"/>
  <c r="L31" i="22"/>
  <c r="M31" i="22"/>
  <c r="N31" i="22"/>
  <c r="P2" i="22" s="1"/>
  <c r="I32" i="22"/>
  <c r="O32" i="22"/>
  <c r="I33" i="22"/>
  <c r="O33" i="22"/>
  <c r="E39" i="22"/>
  <c r="L39" i="22"/>
  <c r="T39" i="22"/>
  <c r="V39" i="22"/>
  <c r="W39" i="22"/>
  <c r="X39" i="22"/>
  <c r="AB39" i="22"/>
  <c r="AC39" i="22"/>
  <c r="AD39" i="22"/>
  <c r="AE39" i="22"/>
  <c r="AF39" i="22"/>
  <c r="AG39" i="22"/>
  <c r="AH39" i="22"/>
  <c r="AI39" i="22" a="1"/>
  <c r="AI39" i="22"/>
  <c r="E40" i="22"/>
  <c r="L40" i="22"/>
  <c r="T40" i="22"/>
  <c r="V40" i="22"/>
  <c r="W40" i="22"/>
  <c r="X40" i="22"/>
  <c r="AB40" i="22"/>
  <c r="AC40" i="22"/>
  <c r="AD40" i="22"/>
  <c r="AE40" i="22"/>
  <c r="AF40" i="22"/>
  <c r="AG40" i="22"/>
  <c r="AH40" i="22"/>
  <c r="E41" i="22"/>
  <c r="L41" i="22"/>
  <c r="T41" i="22"/>
  <c r="V41" i="22"/>
  <c r="W41" i="22"/>
  <c r="X41" i="22"/>
  <c r="AB41" i="22"/>
  <c r="AC41" i="22"/>
  <c r="AD41" i="22"/>
  <c r="AE41" i="22"/>
  <c r="AF41" i="22"/>
  <c r="AG41" i="22"/>
  <c r="AH41" i="22"/>
  <c r="E42" i="22"/>
  <c r="L42" i="22"/>
  <c r="T42" i="22"/>
  <c r="V42" i="22"/>
  <c r="W42" i="22"/>
  <c r="X42" i="22"/>
  <c r="AB42" i="22"/>
  <c r="AC42" i="22"/>
  <c r="AD42" i="22"/>
  <c r="AE42" i="22"/>
  <c r="AF42" i="22"/>
  <c r="AG42" i="22"/>
  <c r="AH42" i="22"/>
  <c r="E43" i="22"/>
  <c r="L43" i="22"/>
  <c r="T43" i="22"/>
  <c r="V43" i="22"/>
  <c r="W43" i="22"/>
  <c r="X43" i="22"/>
  <c r="AB43" i="22"/>
  <c r="AC43" i="22"/>
  <c r="AD43" i="22"/>
  <c r="AE43" i="22"/>
  <c r="AF43" i="22"/>
  <c r="AG43" i="22"/>
  <c r="AH43" i="22"/>
  <c r="E44" i="22"/>
  <c r="L44" i="22"/>
  <c r="T44" i="22"/>
  <c r="V44" i="22"/>
  <c r="W44" i="22"/>
  <c r="X44" i="22"/>
  <c r="AB44" i="22"/>
  <c r="AC44" i="22"/>
  <c r="AD44" i="22"/>
  <c r="AE44" i="22"/>
  <c r="AF44" i="22"/>
  <c r="AG44" i="22"/>
  <c r="AH44" i="22"/>
  <c r="E45" i="22"/>
  <c r="L45" i="22"/>
  <c r="T45" i="22"/>
  <c r="V45" i="22"/>
  <c r="W45" i="22"/>
  <c r="X45" i="22"/>
  <c r="AB45" i="22"/>
  <c r="AC45" i="22"/>
  <c r="AD45" i="22"/>
  <c r="AE45" i="22"/>
  <c r="AF45" i="22"/>
  <c r="AG45" i="22"/>
  <c r="AH45" i="22"/>
  <c r="E46" i="22"/>
  <c r="L46" i="22"/>
  <c r="T46" i="22"/>
  <c r="V46" i="22"/>
  <c r="W46" i="22"/>
  <c r="X46" i="22"/>
  <c r="AB46" i="22"/>
  <c r="AC46" i="22"/>
  <c r="AD46" i="22"/>
  <c r="AE46" i="22"/>
  <c r="AF46" i="22"/>
  <c r="AG46" i="22"/>
  <c r="AH46" i="22"/>
  <c r="E47" i="22"/>
  <c r="L47" i="22"/>
  <c r="T47" i="22"/>
  <c r="V47" i="22"/>
  <c r="W47" i="22"/>
  <c r="X47" i="22"/>
  <c r="AB47" i="22"/>
  <c r="AC47" i="22"/>
  <c r="AD47" i="22"/>
  <c r="AE47" i="22"/>
  <c r="AF47" i="22"/>
  <c r="AG47" i="22"/>
  <c r="AH47" i="22"/>
  <c r="E48" i="22"/>
  <c r="L48" i="22"/>
  <c r="T48" i="22"/>
  <c r="V48" i="22"/>
  <c r="W48" i="22"/>
  <c r="X48" i="22"/>
  <c r="AB48" i="22"/>
  <c r="AC48" i="22"/>
  <c r="AD48" i="22"/>
  <c r="AE48" i="22"/>
  <c r="AF48" i="22"/>
  <c r="AG48" i="22"/>
  <c r="AH48" i="22"/>
  <c r="E49" i="22"/>
  <c r="L49" i="22"/>
  <c r="T49" i="22"/>
  <c r="V49" i="22"/>
  <c r="W49" i="22"/>
  <c r="X49" i="22"/>
  <c r="AB49" i="22"/>
  <c r="AC49" i="22"/>
  <c r="AD49" i="22"/>
  <c r="AE49" i="22"/>
  <c r="AF49" i="22"/>
  <c r="AG49" i="22"/>
  <c r="AH49" i="22"/>
  <c r="E50" i="22"/>
  <c r="L50" i="22"/>
  <c r="T50" i="22"/>
  <c r="V50" i="22"/>
  <c r="W50" i="22"/>
  <c r="X50" i="22"/>
  <c r="AB50" i="22"/>
  <c r="AC50" i="22"/>
  <c r="AD50" i="22"/>
  <c r="AE50" i="22"/>
  <c r="AF50" i="22"/>
  <c r="AG50" i="22"/>
  <c r="AH50" i="22"/>
  <c r="E51" i="22"/>
  <c r="L51" i="22"/>
  <c r="T51" i="22"/>
  <c r="V51" i="22"/>
  <c r="W51" i="22"/>
  <c r="X51" i="22"/>
  <c r="AB51" i="22"/>
  <c r="AC51" i="22"/>
  <c r="AD51" i="22"/>
  <c r="AE51" i="22"/>
  <c r="AF51" i="22"/>
  <c r="AG51" i="22"/>
  <c r="AH51" i="22"/>
  <c r="E52" i="22"/>
  <c r="L52" i="22"/>
  <c r="T52" i="22"/>
  <c r="V52" i="22"/>
  <c r="W52" i="22"/>
  <c r="X52" i="22"/>
  <c r="AB52" i="22"/>
  <c r="AC52" i="22"/>
  <c r="AD52" i="22"/>
  <c r="AE52" i="22"/>
  <c r="AF52" i="22"/>
  <c r="AG52" i="22"/>
  <c r="AH52" i="22"/>
  <c r="E53" i="22"/>
  <c r="L53" i="22"/>
  <c r="T53" i="22"/>
  <c r="V53" i="22"/>
  <c r="W53" i="22"/>
  <c r="X53" i="22"/>
  <c r="AB53" i="22"/>
  <c r="AC53" i="22"/>
  <c r="AD53" i="22"/>
  <c r="AE53" i="22"/>
  <c r="AF53" i="22"/>
  <c r="AG53" i="22"/>
  <c r="AH53" i="22"/>
  <c r="E54" i="22"/>
  <c r="L54" i="22"/>
  <c r="T54" i="22"/>
  <c r="V54" i="22"/>
  <c r="W54" i="22"/>
  <c r="X54" i="22"/>
  <c r="AB54" i="22"/>
  <c r="AC54" i="22"/>
  <c r="AD54" i="22"/>
  <c r="AE54" i="22"/>
  <c r="AF54" i="22"/>
  <c r="AG54" i="22"/>
  <c r="AH54" i="22"/>
  <c r="E55" i="22"/>
  <c r="L55" i="22"/>
  <c r="T55" i="22"/>
  <c r="V55" i="22"/>
  <c r="W55" i="22"/>
  <c r="X55" i="22"/>
  <c r="AB55" i="22"/>
  <c r="AC55" i="22"/>
  <c r="AD55" i="22"/>
  <c r="AE55" i="22"/>
  <c r="AF55" i="22"/>
  <c r="AG55" i="22"/>
  <c r="AH55" i="22"/>
  <c r="E56" i="22"/>
  <c r="L56" i="22"/>
  <c r="T56" i="22"/>
  <c r="V56" i="22"/>
  <c r="W56" i="22"/>
  <c r="X56" i="22"/>
  <c r="AB56" i="22"/>
  <c r="AC56" i="22"/>
  <c r="AD56" i="22"/>
  <c r="AE56" i="22"/>
  <c r="AF56" i="22"/>
  <c r="AG56" i="22"/>
  <c r="AH56" i="22"/>
  <c r="E57" i="22"/>
  <c r="L57" i="22"/>
  <c r="T57" i="22"/>
  <c r="V57" i="22"/>
  <c r="W57" i="22"/>
  <c r="X57" i="22"/>
  <c r="AB57" i="22"/>
  <c r="AC57" i="22"/>
  <c r="AD57" i="22"/>
  <c r="AE57" i="22"/>
  <c r="AF57" i="22"/>
  <c r="AG57" i="22"/>
  <c r="AH57" i="22"/>
  <c r="E58" i="22"/>
  <c r="L58" i="22"/>
  <c r="T58" i="22"/>
  <c r="V58" i="22"/>
  <c r="W58" i="22"/>
  <c r="X58" i="22"/>
  <c r="AB58" i="22"/>
  <c r="AC58" i="22"/>
  <c r="AD58" i="22"/>
  <c r="AE58" i="22"/>
  <c r="AF58" i="22"/>
  <c r="AG58" i="22"/>
  <c r="AH58" i="22"/>
  <c r="I59" i="22"/>
  <c r="L59" i="22"/>
  <c r="P3" i="22" s="1"/>
  <c r="D66" i="22"/>
  <c r="C66" i="22" s="1"/>
  <c r="H66" i="22"/>
  <c r="I66" i="22"/>
  <c r="J66" i="22"/>
  <c r="L66" i="22"/>
  <c r="M66" i="22"/>
  <c r="T66" i="22"/>
  <c r="U66" i="22"/>
  <c r="V66" i="22"/>
  <c r="W66" i="22"/>
  <c r="X66" i="22"/>
  <c r="AB66" i="22"/>
  <c r="AC66" i="22"/>
  <c r="AD66" i="22"/>
  <c r="AE66" i="22"/>
  <c r="AF66" i="22"/>
  <c r="AG66" i="22"/>
  <c r="AH66" i="22"/>
  <c r="AI66" i="22"/>
  <c r="AJ66" i="22"/>
  <c r="AN66" i="22"/>
  <c r="AO66" i="22"/>
  <c r="AP66" i="22"/>
  <c r="AQ66" i="22"/>
  <c r="AR66" i="22"/>
  <c r="AS66" i="22"/>
  <c r="AT66" i="22"/>
  <c r="AU66" i="22"/>
  <c r="AV66" i="22"/>
  <c r="AW66" i="22"/>
  <c r="AX66" i="22"/>
  <c r="E66" i="22" s="1"/>
  <c r="AY66" i="22" a="1"/>
  <c r="AY66" i="22"/>
  <c r="BB66" i="22"/>
  <c r="D67" i="22"/>
  <c r="C67" i="22" s="1"/>
  <c r="H67" i="22"/>
  <c r="I67" i="22"/>
  <c r="J67" i="22"/>
  <c r="L67" i="22"/>
  <c r="M67" i="22"/>
  <c r="T67" i="22"/>
  <c r="U67" i="22"/>
  <c r="V67" i="22"/>
  <c r="W67" i="22"/>
  <c r="X67" i="22"/>
  <c r="AB67" i="22"/>
  <c r="AC67" i="22"/>
  <c r="AD67" i="22"/>
  <c r="AE67" i="22"/>
  <c r="AF67" i="22"/>
  <c r="AG67" i="22"/>
  <c r="AH67" i="22"/>
  <c r="AI67" i="22"/>
  <c r="AJ67" i="22"/>
  <c r="AN67" i="22"/>
  <c r="AO67" i="22"/>
  <c r="AP67" i="22"/>
  <c r="AQ67" i="22"/>
  <c r="AR67" i="22"/>
  <c r="AS67" i="22"/>
  <c r="AT67" i="22"/>
  <c r="AU67" i="22"/>
  <c r="AV67" i="22"/>
  <c r="AW67" i="22"/>
  <c r="BC66" i="22" s="1"/>
  <c r="AX67" i="22"/>
  <c r="E67" i="22" s="1"/>
  <c r="BB67" i="22"/>
  <c r="BC67" i="22"/>
  <c r="D68" i="22"/>
  <c r="C68" i="22" s="1"/>
  <c r="H68" i="22"/>
  <c r="I68" i="22"/>
  <c r="J68" i="22"/>
  <c r="L68" i="22"/>
  <c r="M68" i="22"/>
  <c r="T68" i="22"/>
  <c r="U68" i="22"/>
  <c r="V68" i="22"/>
  <c r="W68" i="22"/>
  <c r="X68" i="22"/>
  <c r="AB68" i="22"/>
  <c r="AC68" i="22"/>
  <c r="AD68" i="22"/>
  <c r="AE68" i="22"/>
  <c r="AF68" i="22"/>
  <c r="AG68" i="22"/>
  <c r="AH68" i="22"/>
  <c r="AI68" i="22"/>
  <c r="AJ68" i="22"/>
  <c r="AN68" i="22"/>
  <c r="AO68" i="22"/>
  <c r="AP68" i="22"/>
  <c r="AQ68" i="22"/>
  <c r="AR68" i="22"/>
  <c r="AS68" i="22"/>
  <c r="AT68" i="22"/>
  <c r="AU68" i="22"/>
  <c r="AV68" i="22"/>
  <c r="AW68" i="22"/>
  <c r="AX68" i="22"/>
  <c r="E68" i="22" s="1"/>
  <c r="BB68" i="22"/>
  <c r="BC68" i="22"/>
  <c r="BD68" i="22"/>
  <c r="D69" i="22"/>
  <c r="C69" i="22" s="1"/>
  <c r="H69" i="22"/>
  <c r="I69" i="22"/>
  <c r="J69" i="22"/>
  <c r="L69" i="22"/>
  <c r="M69" i="22"/>
  <c r="T69" i="22"/>
  <c r="U69" i="22"/>
  <c r="V69" i="22"/>
  <c r="W69" i="22"/>
  <c r="X69" i="22"/>
  <c r="AB69" i="22"/>
  <c r="AC69" i="22"/>
  <c r="AD69" i="22"/>
  <c r="AE69" i="22"/>
  <c r="AF69" i="22"/>
  <c r="AG69" i="22"/>
  <c r="AH69" i="22"/>
  <c r="AI69" i="22"/>
  <c r="AJ69" i="22"/>
  <c r="AN69" i="22"/>
  <c r="AO69" i="22"/>
  <c r="AP69" i="22"/>
  <c r="AQ69" i="22"/>
  <c r="AR69" i="22"/>
  <c r="AS69" i="22"/>
  <c r="AT69" i="22"/>
  <c r="AU69" i="22"/>
  <c r="AV69" i="22"/>
  <c r="AW69" i="22"/>
  <c r="AX69" i="22"/>
  <c r="E69" i="22" s="1"/>
  <c r="BB69" i="22"/>
  <c r="BC69" i="22"/>
  <c r="BD69" i="22"/>
  <c r="BE69" i="22"/>
  <c r="D70" i="22"/>
  <c r="C70" i="22" s="1"/>
  <c r="H70" i="22"/>
  <c r="I70" i="22"/>
  <c r="J70" i="22"/>
  <c r="L70" i="22"/>
  <c r="M70" i="22"/>
  <c r="T70" i="22"/>
  <c r="U70" i="22"/>
  <c r="V70" i="22"/>
  <c r="W70" i="22"/>
  <c r="X70" i="22"/>
  <c r="AB70" i="22"/>
  <c r="AC70" i="22"/>
  <c r="AD70" i="22"/>
  <c r="AE70" i="22"/>
  <c r="AF70" i="22"/>
  <c r="AG70" i="22"/>
  <c r="AH70" i="22"/>
  <c r="AI70" i="22"/>
  <c r="AJ70" i="22"/>
  <c r="AN70" i="22"/>
  <c r="AO70" i="22"/>
  <c r="AP70" i="22"/>
  <c r="AQ70" i="22"/>
  <c r="AR70" i="22"/>
  <c r="AS70" i="22"/>
  <c r="AT70" i="22"/>
  <c r="AU70" i="22"/>
  <c r="AV70" i="22"/>
  <c r="AW70" i="22"/>
  <c r="AX70" i="22"/>
  <c r="E70" i="22" s="1"/>
  <c r="BB70" i="22"/>
  <c r="BC70" i="22"/>
  <c r="BD70" i="22"/>
  <c r="BE70" i="22"/>
  <c r="BF70" i="22"/>
  <c r="D71" i="22"/>
  <c r="C71" i="22" s="1"/>
  <c r="H71" i="22"/>
  <c r="I71" i="22"/>
  <c r="J71" i="22"/>
  <c r="L71" i="22"/>
  <c r="M71" i="22"/>
  <c r="T71" i="22"/>
  <c r="U71" i="22"/>
  <c r="V71" i="22"/>
  <c r="W71" i="22"/>
  <c r="X71" i="22"/>
  <c r="AB71" i="22"/>
  <c r="AC71" i="22"/>
  <c r="AD71" i="22"/>
  <c r="AE71" i="22"/>
  <c r="AF71" i="22"/>
  <c r="AG71" i="22"/>
  <c r="AH71" i="22"/>
  <c r="AI71" i="22"/>
  <c r="AJ71" i="22"/>
  <c r="AN71" i="22"/>
  <c r="AO71" i="22"/>
  <c r="AP71" i="22"/>
  <c r="AQ71" i="22"/>
  <c r="AR71" i="22"/>
  <c r="AS71" i="22"/>
  <c r="AT71" i="22"/>
  <c r="AU71" i="22"/>
  <c r="AV71" i="22"/>
  <c r="AW71" i="22"/>
  <c r="AX71" i="22"/>
  <c r="E71" i="22" s="1"/>
  <c r="BB71" i="22"/>
  <c r="BC71" i="22"/>
  <c r="BD71" i="22"/>
  <c r="BE71" i="22"/>
  <c r="BF71" i="22"/>
  <c r="BG71" i="22"/>
  <c r="D72" i="22"/>
  <c r="C72" i="22" s="1"/>
  <c r="H72" i="22"/>
  <c r="I72" i="22"/>
  <c r="J72" i="22"/>
  <c r="L72" i="22"/>
  <c r="M72" i="22"/>
  <c r="T72" i="22"/>
  <c r="U72" i="22"/>
  <c r="V72" i="22"/>
  <c r="W72" i="22"/>
  <c r="X72" i="22"/>
  <c r="AB72" i="22"/>
  <c r="AC72" i="22"/>
  <c r="AD72" i="22"/>
  <c r="AE72" i="22"/>
  <c r="AF72" i="22"/>
  <c r="AG72" i="22"/>
  <c r="AH72" i="22"/>
  <c r="AI72" i="22"/>
  <c r="AJ72" i="22"/>
  <c r="AN72" i="22"/>
  <c r="AO72" i="22"/>
  <c r="AP72" i="22"/>
  <c r="AQ72" i="22"/>
  <c r="AR72" i="22"/>
  <c r="AS72" i="22"/>
  <c r="AT72" i="22"/>
  <c r="AU72" i="22"/>
  <c r="AV72" i="22"/>
  <c r="AW72" i="22"/>
  <c r="AX72" i="22"/>
  <c r="E72" i="22" s="1"/>
  <c r="BB72" i="22"/>
  <c r="BC72" i="22"/>
  <c r="BD72" i="22"/>
  <c r="BE72" i="22"/>
  <c r="BF72" i="22"/>
  <c r="BG72" i="22"/>
  <c r="BH72" i="22"/>
  <c r="D73" i="22"/>
  <c r="C73" i="22" s="1"/>
  <c r="H73" i="22"/>
  <c r="I73" i="22"/>
  <c r="J73" i="22"/>
  <c r="L73" i="22"/>
  <c r="M73" i="22"/>
  <c r="T73" i="22"/>
  <c r="U73" i="22"/>
  <c r="V73" i="22"/>
  <c r="W73" i="22"/>
  <c r="X73" i="22"/>
  <c r="AB73" i="22"/>
  <c r="AC73" i="22"/>
  <c r="AD73" i="22"/>
  <c r="AE73" i="22"/>
  <c r="AF73" i="22"/>
  <c r="AG73" i="22"/>
  <c r="AH73" i="22"/>
  <c r="AI73" i="22"/>
  <c r="AJ73" i="22"/>
  <c r="AN73" i="22"/>
  <c r="AO73" i="22"/>
  <c r="AP73" i="22"/>
  <c r="AQ73" i="22"/>
  <c r="AR73" i="22"/>
  <c r="AS73" i="22"/>
  <c r="AT73" i="22"/>
  <c r="AU73" i="22"/>
  <c r="AV73" i="22"/>
  <c r="AW73" i="22"/>
  <c r="AX73" i="22"/>
  <c r="E73" i="22" s="1"/>
  <c r="BB73" i="22"/>
  <c r="BC73" i="22"/>
  <c r="BD73" i="22"/>
  <c r="BE73" i="22"/>
  <c r="BF73" i="22"/>
  <c r="BG73" i="22"/>
  <c r="BH73" i="22"/>
  <c r="BI73" i="22"/>
  <c r="D74" i="22"/>
  <c r="C74" i="22" s="1"/>
  <c r="H74" i="22"/>
  <c r="I74" i="22"/>
  <c r="J74" i="22"/>
  <c r="L74" i="22"/>
  <c r="M74" i="22"/>
  <c r="T74" i="22"/>
  <c r="U74" i="22"/>
  <c r="V74" i="22"/>
  <c r="W74" i="22"/>
  <c r="X74" i="22"/>
  <c r="AB74" i="22"/>
  <c r="AC74" i="22"/>
  <c r="AD74" i="22"/>
  <c r="AE74" i="22"/>
  <c r="AF74" i="22"/>
  <c r="AG74" i="22"/>
  <c r="AH74" i="22"/>
  <c r="AI74" i="22"/>
  <c r="AJ74" i="22"/>
  <c r="AN74" i="22"/>
  <c r="AO74" i="22"/>
  <c r="AP74" i="22"/>
  <c r="AQ74" i="22"/>
  <c r="AR74" i="22"/>
  <c r="AS74" i="22"/>
  <c r="AT74" i="22"/>
  <c r="AU74" i="22"/>
  <c r="AV74" i="22"/>
  <c r="AW74" i="22"/>
  <c r="AX74" i="22"/>
  <c r="E74" i="22" s="1"/>
  <c r="BB74" i="22"/>
  <c r="BC74" i="22"/>
  <c r="BD74" i="22"/>
  <c r="BE74" i="22"/>
  <c r="BF74" i="22"/>
  <c r="BG74" i="22"/>
  <c r="BH74" i="22"/>
  <c r="BI74" i="22"/>
  <c r="BJ74" i="22"/>
  <c r="D75" i="22"/>
  <c r="C75" i="22" s="1"/>
  <c r="H75" i="22"/>
  <c r="I75" i="22"/>
  <c r="J75" i="22"/>
  <c r="L75" i="22"/>
  <c r="M75" i="22"/>
  <c r="T75" i="22"/>
  <c r="U75" i="22"/>
  <c r="V75" i="22"/>
  <c r="W75" i="22"/>
  <c r="X75" i="22"/>
  <c r="AB75" i="22"/>
  <c r="AC75" i="22"/>
  <c r="AD75" i="22"/>
  <c r="AE75" i="22"/>
  <c r="AF75" i="22"/>
  <c r="AG75" i="22"/>
  <c r="AH75" i="22"/>
  <c r="AI75" i="22"/>
  <c r="AJ75" i="22"/>
  <c r="AN75" i="22"/>
  <c r="AO75" i="22"/>
  <c r="AP75" i="22"/>
  <c r="AQ75" i="22"/>
  <c r="AR75" i="22"/>
  <c r="AS75" i="22"/>
  <c r="AT75" i="22"/>
  <c r="AU75" i="22"/>
  <c r="AV75" i="22"/>
  <c r="AW75" i="22"/>
  <c r="AX75" i="22"/>
  <c r="E75" i="22" s="1"/>
  <c r="BB75" i="22"/>
  <c r="BC75" i="22"/>
  <c r="BD75" i="22"/>
  <c r="BE75" i="22"/>
  <c r="BF75" i="22"/>
  <c r="BG75" i="22"/>
  <c r="BH75" i="22"/>
  <c r="BI75" i="22"/>
  <c r="BJ75" i="22"/>
  <c r="BK75" i="22"/>
  <c r="D76" i="22"/>
  <c r="C76" i="22" s="1"/>
  <c r="H76" i="22"/>
  <c r="I76" i="22"/>
  <c r="J76" i="22"/>
  <c r="L76" i="22"/>
  <c r="M76" i="22"/>
  <c r="T76" i="22"/>
  <c r="U76" i="22"/>
  <c r="V76" i="22"/>
  <c r="W76" i="22"/>
  <c r="X76" i="22"/>
  <c r="AB76" i="22"/>
  <c r="AC76" i="22"/>
  <c r="AD76" i="22"/>
  <c r="AE76" i="22"/>
  <c r="AF76" i="22"/>
  <c r="AG76" i="22"/>
  <c r="AH76" i="22"/>
  <c r="AI76" i="22"/>
  <c r="AJ76" i="22"/>
  <c r="AN76" i="22"/>
  <c r="AO76" i="22"/>
  <c r="AP76" i="22"/>
  <c r="AQ76" i="22"/>
  <c r="AR76" i="22"/>
  <c r="AS76" i="22"/>
  <c r="AT76" i="22"/>
  <c r="AU76" i="22"/>
  <c r="AV76" i="22"/>
  <c r="AW76" i="22"/>
  <c r="AX76" i="22"/>
  <c r="E76" i="22" s="1"/>
  <c r="BB76" i="22"/>
  <c r="BC76" i="22"/>
  <c r="BD76" i="22"/>
  <c r="BE76" i="22"/>
  <c r="BF76" i="22"/>
  <c r="BG76" i="22"/>
  <c r="BH76" i="22"/>
  <c r="BI76" i="22"/>
  <c r="BJ76" i="22"/>
  <c r="BK76" i="22"/>
  <c r="BL76" i="22"/>
  <c r="D77" i="22"/>
  <c r="C77" i="22" s="1"/>
  <c r="H77" i="22"/>
  <c r="I77" i="22"/>
  <c r="J77" i="22"/>
  <c r="L77" i="22"/>
  <c r="M77" i="22"/>
  <c r="T77" i="22"/>
  <c r="U77" i="22"/>
  <c r="V77" i="22"/>
  <c r="W77" i="22"/>
  <c r="X77" i="22"/>
  <c r="AB77" i="22"/>
  <c r="AC77" i="22"/>
  <c r="AD77" i="22"/>
  <c r="AE77" i="22"/>
  <c r="AF77" i="22"/>
  <c r="AG77" i="22"/>
  <c r="AH77" i="22"/>
  <c r="AI77" i="22"/>
  <c r="AJ77" i="22"/>
  <c r="AN77" i="22"/>
  <c r="AO77" i="22"/>
  <c r="AP77" i="22"/>
  <c r="AQ77" i="22"/>
  <c r="AR77" i="22"/>
  <c r="AS77" i="22"/>
  <c r="AT77" i="22"/>
  <c r="AU77" i="22"/>
  <c r="AV77" i="22"/>
  <c r="AW77" i="22"/>
  <c r="AX77" i="22"/>
  <c r="E77" i="22" s="1"/>
  <c r="BB77" i="22"/>
  <c r="BC77" i="22"/>
  <c r="BD77" i="22"/>
  <c r="BE77" i="22"/>
  <c r="BF77" i="22"/>
  <c r="BG77" i="22"/>
  <c r="BH77" i="22"/>
  <c r="BI77" i="22"/>
  <c r="BJ77" i="22"/>
  <c r="BK77" i="22"/>
  <c r="BL77" i="22"/>
  <c r="BM77" i="22"/>
  <c r="D78" i="22"/>
  <c r="C78" i="22" s="1"/>
  <c r="H78" i="22"/>
  <c r="I78" i="22"/>
  <c r="J78" i="22"/>
  <c r="L78" i="22"/>
  <c r="M78" i="22"/>
  <c r="T78" i="22"/>
  <c r="U78" i="22"/>
  <c r="V78" i="22"/>
  <c r="W78" i="22"/>
  <c r="X78" i="22"/>
  <c r="AB78" i="22"/>
  <c r="AC78" i="22"/>
  <c r="AD78" i="22"/>
  <c r="AE78" i="22"/>
  <c r="AF78" i="22"/>
  <c r="AG78" i="22"/>
  <c r="AH78" i="22"/>
  <c r="AI78" i="22"/>
  <c r="AJ78" i="22"/>
  <c r="AN78" i="22"/>
  <c r="AO78" i="22"/>
  <c r="AP78" i="22"/>
  <c r="AQ78" i="22"/>
  <c r="AR78" i="22"/>
  <c r="AS78" i="22"/>
  <c r="AT78" i="22"/>
  <c r="AU78" i="22"/>
  <c r="AV78" i="22"/>
  <c r="AW78" i="22"/>
  <c r="AX78" i="22"/>
  <c r="E78" i="22" s="1"/>
  <c r="BB78" i="22"/>
  <c r="BC78" i="22"/>
  <c r="BD78" i="22"/>
  <c r="BE78" i="22"/>
  <c r="BF78" i="22"/>
  <c r="BG78" i="22"/>
  <c r="BH78" i="22"/>
  <c r="BI78" i="22"/>
  <c r="BJ78" i="22"/>
  <c r="BK78" i="22"/>
  <c r="BL78" i="22"/>
  <c r="BM78" i="22"/>
  <c r="BN78" i="22"/>
  <c r="D79" i="22"/>
  <c r="C79" i="22" s="1"/>
  <c r="H79" i="22"/>
  <c r="I79" i="22"/>
  <c r="J79" i="22"/>
  <c r="L79" i="22"/>
  <c r="M79" i="22"/>
  <c r="T79" i="22"/>
  <c r="U79" i="22"/>
  <c r="V79" i="22"/>
  <c r="W79" i="22"/>
  <c r="X79" i="22"/>
  <c r="AB79" i="22"/>
  <c r="AC79" i="22"/>
  <c r="AD79" i="22"/>
  <c r="AE79" i="22"/>
  <c r="AF79" i="22"/>
  <c r="AG79" i="22"/>
  <c r="AH79" i="22"/>
  <c r="AI79" i="22"/>
  <c r="AJ79" i="22"/>
  <c r="AN79" i="22"/>
  <c r="AO79" i="22"/>
  <c r="AP79" i="22"/>
  <c r="AQ79" i="22"/>
  <c r="AR79" i="22"/>
  <c r="AS79" i="22"/>
  <c r="AT79" i="22"/>
  <c r="AU79" i="22"/>
  <c r="AV79" i="22"/>
  <c r="AW79" i="22"/>
  <c r="AX79" i="22"/>
  <c r="E79" i="22" s="1"/>
  <c r="BB79" i="22"/>
  <c r="BC79" i="22"/>
  <c r="BD79" i="22"/>
  <c r="BE79" i="22"/>
  <c r="BF79" i="22"/>
  <c r="BG79" i="22"/>
  <c r="BH79" i="22"/>
  <c r="BI79" i="22"/>
  <c r="BJ79" i="22"/>
  <c r="BK79" i="22"/>
  <c r="BL79" i="22"/>
  <c r="BM79" i="22"/>
  <c r="BN79" i="22"/>
  <c r="BO79" i="22"/>
  <c r="D80" i="22"/>
  <c r="C80" i="22" s="1"/>
  <c r="H80" i="22"/>
  <c r="I80" i="22"/>
  <c r="J80" i="22"/>
  <c r="L80" i="22"/>
  <c r="M80" i="22"/>
  <c r="T80" i="22"/>
  <c r="U80" i="22"/>
  <c r="V80" i="22"/>
  <c r="W80" i="22"/>
  <c r="X80" i="22"/>
  <c r="AB80" i="22"/>
  <c r="AC80" i="22"/>
  <c r="AD80" i="22"/>
  <c r="AE80" i="22"/>
  <c r="AF80" i="22"/>
  <c r="AG80" i="22"/>
  <c r="AH80" i="22"/>
  <c r="AI80" i="22"/>
  <c r="AJ80" i="22"/>
  <c r="AN80" i="22"/>
  <c r="AO80" i="22"/>
  <c r="AP80" i="22"/>
  <c r="AQ80" i="22"/>
  <c r="AR80" i="22"/>
  <c r="AS80" i="22"/>
  <c r="AT80" i="22"/>
  <c r="AU80" i="22"/>
  <c r="AV80" i="22"/>
  <c r="AW80" i="22"/>
  <c r="AX80" i="22"/>
  <c r="E80" i="22" s="1"/>
  <c r="BB80" i="22"/>
  <c r="BC80" i="22"/>
  <c r="BD80" i="22"/>
  <c r="BE80" i="22"/>
  <c r="BF80" i="22"/>
  <c r="BG80" i="22"/>
  <c r="BH80" i="22"/>
  <c r="BI80" i="22"/>
  <c r="BJ80" i="22"/>
  <c r="BK80" i="22"/>
  <c r="BL80" i="22"/>
  <c r="BM80" i="22"/>
  <c r="BN80" i="22"/>
  <c r="BO80" i="22"/>
  <c r="BP80" i="22"/>
  <c r="D81" i="22"/>
  <c r="C81" i="22" s="1"/>
  <c r="H81" i="22"/>
  <c r="I81" i="22"/>
  <c r="J81" i="22"/>
  <c r="L81" i="22"/>
  <c r="M81" i="22"/>
  <c r="T81" i="22"/>
  <c r="U81" i="22"/>
  <c r="V81" i="22"/>
  <c r="W81" i="22"/>
  <c r="X81" i="22"/>
  <c r="AB81" i="22"/>
  <c r="AC81" i="22"/>
  <c r="AD81" i="22"/>
  <c r="AE81" i="22"/>
  <c r="AF81" i="22"/>
  <c r="AG81" i="22"/>
  <c r="AH81" i="22"/>
  <c r="AI81" i="22"/>
  <c r="AJ81" i="22"/>
  <c r="AN81" i="22"/>
  <c r="AO81" i="22"/>
  <c r="AP81" i="22"/>
  <c r="AQ81" i="22"/>
  <c r="AR81" i="22"/>
  <c r="AS81" i="22"/>
  <c r="AT81" i="22"/>
  <c r="AU81" i="22"/>
  <c r="AV81" i="22"/>
  <c r="AW81" i="22"/>
  <c r="AX81" i="22"/>
  <c r="E81" i="22" s="1"/>
  <c r="BB81" i="22"/>
  <c r="BC81" i="22"/>
  <c r="BD81" i="22"/>
  <c r="BE81" i="22"/>
  <c r="BF81" i="22"/>
  <c r="BG81" i="22"/>
  <c r="BH81" i="22"/>
  <c r="BI81" i="22"/>
  <c r="BJ81" i="22"/>
  <c r="BK81" i="22"/>
  <c r="BL81" i="22"/>
  <c r="BM81" i="22"/>
  <c r="BN81" i="22"/>
  <c r="BO81" i="22"/>
  <c r="BP81" i="22"/>
  <c r="BQ81" i="22"/>
  <c r="D82" i="22"/>
  <c r="C82" i="22" s="1"/>
  <c r="H82" i="22"/>
  <c r="I82" i="22"/>
  <c r="J82" i="22"/>
  <c r="L82" i="22"/>
  <c r="M82" i="22"/>
  <c r="T82" i="22"/>
  <c r="U82" i="22"/>
  <c r="V82" i="22"/>
  <c r="W82" i="22"/>
  <c r="X82" i="22"/>
  <c r="AB82" i="22"/>
  <c r="AC82" i="22"/>
  <c r="AD82" i="22"/>
  <c r="AE82" i="22"/>
  <c r="AF82" i="22"/>
  <c r="AG82" i="22"/>
  <c r="AH82" i="22"/>
  <c r="AI82" i="22"/>
  <c r="AJ82" i="22"/>
  <c r="AN82" i="22"/>
  <c r="AO82" i="22"/>
  <c r="AP82" i="22"/>
  <c r="AQ82" i="22"/>
  <c r="AR82" i="22"/>
  <c r="AS82" i="22"/>
  <c r="AT82" i="22"/>
  <c r="AU82" i="22"/>
  <c r="AV82" i="22"/>
  <c r="AW82" i="22"/>
  <c r="AX82" i="22"/>
  <c r="E82" i="22" s="1"/>
  <c r="BB82" i="22"/>
  <c r="BC82" i="22"/>
  <c r="BD82" i="22"/>
  <c r="BE82" i="22"/>
  <c r="BF82" i="22"/>
  <c r="BG82" i="22"/>
  <c r="BH82" i="22"/>
  <c r="BI82" i="22"/>
  <c r="BJ82" i="22"/>
  <c r="BK82" i="22"/>
  <c r="BL82" i="22"/>
  <c r="BM82" i="22"/>
  <c r="BN82" i="22"/>
  <c r="BO82" i="22"/>
  <c r="BP82" i="22"/>
  <c r="BQ82" i="22"/>
  <c r="BR82" i="22"/>
  <c r="D83" i="22"/>
  <c r="C83" i="22" s="1"/>
  <c r="H83" i="22"/>
  <c r="I83" i="22"/>
  <c r="J83" i="22"/>
  <c r="L83" i="22"/>
  <c r="M83" i="22"/>
  <c r="T83" i="22"/>
  <c r="U83" i="22"/>
  <c r="V83" i="22"/>
  <c r="W83" i="22"/>
  <c r="X83" i="22"/>
  <c r="AB83" i="22"/>
  <c r="AC83" i="22"/>
  <c r="AD83" i="22"/>
  <c r="AE83" i="22"/>
  <c r="AF83" i="22"/>
  <c r="AG83" i="22"/>
  <c r="AH83" i="22"/>
  <c r="AI83" i="22"/>
  <c r="AJ83" i="22"/>
  <c r="AN83" i="22"/>
  <c r="AO83" i="22"/>
  <c r="AP83" i="22"/>
  <c r="AQ83" i="22"/>
  <c r="AR83" i="22"/>
  <c r="AS83" i="22"/>
  <c r="AT83" i="22"/>
  <c r="AU83" i="22"/>
  <c r="AV83" i="22"/>
  <c r="AW83" i="22"/>
  <c r="AX83" i="22"/>
  <c r="E83" i="22" s="1"/>
  <c r="BB83" i="22"/>
  <c r="BC83" i="22"/>
  <c r="BD83" i="22"/>
  <c r="BE83" i="22"/>
  <c r="BF83" i="22"/>
  <c r="BG83" i="22"/>
  <c r="BH83" i="22"/>
  <c r="BI83" i="22"/>
  <c r="BJ83" i="22"/>
  <c r="BK83" i="22"/>
  <c r="BL83" i="22"/>
  <c r="BM83" i="22"/>
  <c r="BN83" i="22"/>
  <c r="BO83" i="22"/>
  <c r="BP83" i="22"/>
  <c r="BQ83" i="22"/>
  <c r="BR83" i="22"/>
  <c r="BS83" i="22"/>
  <c r="D84" i="22"/>
  <c r="C84" i="22" s="1"/>
  <c r="H84" i="22"/>
  <c r="I84" i="22"/>
  <c r="J84" i="22"/>
  <c r="L84" i="22"/>
  <c r="M84" i="22"/>
  <c r="T84" i="22"/>
  <c r="U84" i="22"/>
  <c r="V84" i="22"/>
  <c r="W84" i="22"/>
  <c r="X84" i="22"/>
  <c r="AB84" i="22"/>
  <c r="AC84" i="22"/>
  <c r="AD84" i="22"/>
  <c r="AE84" i="22"/>
  <c r="AF84" i="22"/>
  <c r="AG84" i="22"/>
  <c r="AH84" i="22"/>
  <c r="AI84" i="22"/>
  <c r="AJ84" i="22"/>
  <c r="AN84" i="22"/>
  <c r="AO84" i="22"/>
  <c r="AP84" i="22"/>
  <c r="AQ84" i="22"/>
  <c r="AR84" i="22"/>
  <c r="AS84" i="22"/>
  <c r="AT84" i="22"/>
  <c r="AU84" i="22"/>
  <c r="AV84" i="22"/>
  <c r="AW84" i="22"/>
  <c r="AX84" i="22"/>
  <c r="E84" i="22" s="1"/>
  <c r="BB84" i="22"/>
  <c r="BC84" i="22"/>
  <c r="BD84" i="22"/>
  <c r="BE84" i="22"/>
  <c r="BF84" i="22"/>
  <c r="BG84" i="22"/>
  <c r="BH84" i="22"/>
  <c r="BI84" i="22"/>
  <c r="BJ84" i="22"/>
  <c r="BK84" i="22"/>
  <c r="BL84" i="22"/>
  <c r="BM84" i="22"/>
  <c r="BN84" i="22"/>
  <c r="BO84" i="22"/>
  <c r="BP84" i="22"/>
  <c r="BQ84" i="22"/>
  <c r="BR84" i="22"/>
  <c r="BS84" i="22"/>
  <c r="BT84" i="22"/>
  <c r="D85" i="22"/>
  <c r="C85" i="22" s="1"/>
  <c r="H85" i="22"/>
  <c r="I85" i="22"/>
  <c r="J85" i="22"/>
  <c r="L85" i="22"/>
  <c r="M85" i="22"/>
  <c r="T85" i="22"/>
  <c r="U85" i="22"/>
  <c r="V85" i="22"/>
  <c r="W85" i="22"/>
  <c r="X85" i="22"/>
  <c r="AB85" i="22"/>
  <c r="AC85" i="22"/>
  <c r="AD85" i="22"/>
  <c r="AE85" i="22"/>
  <c r="AF85" i="22"/>
  <c r="AG85" i="22"/>
  <c r="AH85" i="22"/>
  <c r="AI85" i="22"/>
  <c r="AJ85" i="22"/>
  <c r="AN85" i="22"/>
  <c r="AO85" i="22"/>
  <c r="AP85" i="22"/>
  <c r="AQ85" i="22"/>
  <c r="AR85" i="22"/>
  <c r="AS85" i="22"/>
  <c r="AT85" i="22"/>
  <c r="AU85" i="22"/>
  <c r="AV85" i="22"/>
  <c r="AW85" i="22"/>
  <c r="AX85" i="22"/>
  <c r="E85" i="22" s="1"/>
  <c r="BB85" i="22"/>
  <c r="BC85" i="22"/>
  <c r="BD85" i="22"/>
  <c r="BE85" i="22"/>
  <c r="BF85" i="22"/>
  <c r="BG85" i="22"/>
  <c r="BH85" i="22"/>
  <c r="BI85" i="22"/>
  <c r="BJ85" i="22"/>
  <c r="BK85" i="22"/>
  <c r="BL85" i="22"/>
  <c r="BM85" i="22"/>
  <c r="BN85" i="22"/>
  <c r="BO85" i="22"/>
  <c r="BP85" i="22"/>
  <c r="BQ85" i="22"/>
  <c r="BR85" i="22"/>
  <c r="BS85" i="22"/>
  <c r="BT85" i="22"/>
  <c r="BU85" i="22"/>
  <c r="I86" i="22"/>
  <c r="L86" i="22"/>
  <c r="P4" i="22" s="1"/>
  <c r="M86" i="22"/>
  <c r="F103" i="22"/>
  <c r="F104" i="22"/>
  <c r="F105" i="22"/>
  <c r="F106" i="22"/>
  <c r="D2" i="11"/>
  <c r="D12" i="11"/>
  <c r="F12" i="11"/>
  <c r="D13" i="11"/>
  <c r="F13" i="11"/>
  <c r="F16" i="11"/>
  <c r="F17" i="11"/>
  <c r="F20" i="11"/>
  <c r="F21" i="11"/>
  <c r="D24" i="11"/>
  <c r="E24" i="11" a="1"/>
  <c r="E24" i="11"/>
  <c r="F24" i="11"/>
  <c r="D25" i="11"/>
  <c r="E25" i="11" a="1"/>
  <c r="E25" i="11"/>
  <c r="F25" i="11"/>
  <c r="C37" i="11"/>
  <c r="C38" i="11"/>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S36" i="4"/>
  <c r="T36" i="4"/>
  <c r="S37" i="4"/>
  <c r="T37" i="4"/>
  <c r="S38" i="4"/>
  <c r="T38" i="4"/>
  <c r="O47" i="4"/>
  <c r="P47" i="4"/>
  <c r="P48" i="4"/>
  <c r="P49" i="4"/>
  <c r="P50" i="4"/>
  <c r="I98" i="1" l="1"/>
  <c r="L98" i="1"/>
  <c r="O98" i="1"/>
  <c r="I97" i="1"/>
  <c r="L97" i="1"/>
  <c r="O97" i="1"/>
  <c r="I96" i="1"/>
  <c r="L96" i="1"/>
  <c r="O96" i="1"/>
  <c r="I95" i="1"/>
  <c r="I99" i="1" s="1"/>
  <c r="I31" i="1" s="1"/>
  <c r="L95" i="1"/>
  <c r="L99" i="1" s="1"/>
  <c r="J31" i="1" s="1"/>
  <c r="AE31" i="1" s="1"/>
  <c r="O95" i="1"/>
  <c r="O99" i="1" s="1"/>
  <c r="I60" i="1" s="1"/>
  <c r="BU66" i="22"/>
  <c r="BU67" i="22"/>
  <c r="BU68" i="22"/>
  <c r="BU69" i="22"/>
  <c r="BU70" i="22"/>
  <c r="BU71" i="22"/>
  <c r="BU72" i="22"/>
  <c r="BU73" i="22"/>
  <c r="BU74" i="22"/>
  <c r="BU75" i="22"/>
  <c r="BU76" i="22"/>
  <c r="BU77" i="22"/>
  <c r="BU78" i="22"/>
  <c r="BU79" i="22"/>
  <c r="BU80" i="22"/>
  <c r="BU81" i="22"/>
  <c r="BU82" i="22"/>
  <c r="BU83" i="22"/>
  <c r="BU84" i="22"/>
  <c r="BT66" i="22"/>
  <c r="BT67" i="22"/>
  <c r="BT68" i="22"/>
  <c r="BT69" i="22"/>
  <c r="BT70" i="22"/>
  <c r="BT71" i="22"/>
  <c r="BT72" i="22"/>
  <c r="BT73" i="22"/>
  <c r="BT74" i="22"/>
  <c r="BT75" i="22"/>
  <c r="BT76" i="22"/>
  <c r="BT77" i="22"/>
  <c r="BT78" i="22"/>
  <c r="BT79" i="22"/>
  <c r="BT80" i="22"/>
  <c r="BT81" i="22"/>
  <c r="BT82" i="22"/>
  <c r="BT83" i="22"/>
  <c r="BS66" i="22"/>
  <c r="BS67" i="22"/>
  <c r="BS68" i="22"/>
  <c r="BS69" i="22"/>
  <c r="BS70" i="22"/>
  <c r="BS71" i="22"/>
  <c r="BS72" i="22"/>
  <c r="BS73" i="22"/>
  <c r="BS74" i="22"/>
  <c r="BS75" i="22"/>
  <c r="BS76" i="22"/>
  <c r="BS77" i="22"/>
  <c r="BS78" i="22"/>
  <c r="BS79" i="22"/>
  <c r="BS80" i="22"/>
  <c r="BS81" i="22"/>
  <c r="BS82" i="22"/>
  <c r="BR66" i="22"/>
  <c r="BR67" i="22"/>
  <c r="BR68" i="22"/>
  <c r="BR69" i="22"/>
  <c r="BR70" i="22"/>
  <c r="BR71" i="22"/>
  <c r="BR72" i="22"/>
  <c r="BR73" i="22"/>
  <c r="BR74" i="22"/>
  <c r="BR75" i="22"/>
  <c r="BR76" i="22"/>
  <c r="BR77" i="22"/>
  <c r="BR78" i="22"/>
  <c r="BR79" i="22"/>
  <c r="BR80" i="22"/>
  <c r="BR81" i="22"/>
  <c r="BQ66" i="22"/>
  <c r="BQ67" i="22"/>
  <c r="BQ68" i="22"/>
  <c r="BQ69" i="22"/>
  <c r="BQ70" i="22"/>
  <c r="BQ71" i="22"/>
  <c r="BQ72" i="22"/>
  <c r="BQ73" i="22"/>
  <c r="BQ74" i="22"/>
  <c r="BQ75" i="22"/>
  <c r="BQ76" i="22"/>
  <c r="BQ77" i="22"/>
  <c r="BQ78" i="22"/>
  <c r="BQ79" i="22"/>
  <c r="BQ80" i="22"/>
  <c r="BP66" i="22"/>
  <c r="BP67" i="22"/>
  <c r="BP68" i="22"/>
  <c r="BP69" i="22"/>
  <c r="BP70" i="22"/>
  <c r="BP71" i="22"/>
  <c r="BP72" i="22"/>
  <c r="BP73" i="22"/>
  <c r="BP74" i="22"/>
  <c r="BP75" i="22"/>
  <c r="BP76" i="22"/>
  <c r="BP77" i="22"/>
  <c r="BP78" i="22"/>
  <c r="BP79" i="22"/>
  <c r="BO66" i="22"/>
  <c r="BO67" i="22"/>
  <c r="BO68" i="22"/>
  <c r="BO69" i="22"/>
  <c r="BO70" i="22"/>
  <c r="BO71" i="22"/>
  <c r="BO72" i="22"/>
  <c r="BO73" i="22"/>
  <c r="BO74" i="22"/>
  <c r="BO75" i="22"/>
  <c r="BO76" i="22"/>
  <c r="BO77" i="22"/>
  <c r="BO78" i="22"/>
  <c r="BN66" i="22"/>
  <c r="BN67" i="22"/>
  <c r="BN68" i="22"/>
  <c r="BN69" i="22"/>
  <c r="BN70" i="22"/>
  <c r="BN71" i="22"/>
  <c r="BN72" i="22"/>
  <c r="BN73" i="22"/>
  <c r="BN74" i="22"/>
  <c r="BN75" i="22"/>
  <c r="BN76" i="22"/>
  <c r="BN77" i="22"/>
  <c r="BM66" i="22"/>
  <c r="BM67" i="22"/>
  <c r="BM68" i="22"/>
  <c r="BM69" i="22"/>
  <c r="BM70" i="22"/>
  <c r="BM71" i="22"/>
  <c r="BM72" i="22"/>
  <c r="BM73" i="22"/>
  <c r="BM74" i="22"/>
  <c r="BM75" i="22"/>
  <c r="BM76" i="22"/>
  <c r="BL66" i="22"/>
  <c r="BL67" i="22"/>
  <c r="BL68" i="22"/>
  <c r="BL69" i="22"/>
  <c r="BL70" i="22"/>
  <c r="BL71" i="22"/>
  <c r="BL72" i="22"/>
  <c r="BL73" i="22"/>
  <c r="BL74" i="22"/>
  <c r="BL75" i="22"/>
  <c r="BK66" i="22"/>
  <c r="BK67" i="22"/>
  <c r="BK68" i="22"/>
  <c r="BK69" i="22"/>
  <c r="BK70" i="22"/>
  <c r="BK71" i="22"/>
  <c r="BK72" i="22"/>
  <c r="BK73" i="22"/>
  <c r="BK74" i="22"/>
  <c r="BJ66" i="22"/>
  <c r="BJ67" i="22"/>
  <c r="BJ68" i="22"/>
  <c r="BJ69" i="22"/>
  <c r="BJ70" i="22"/>
  <c r="BJ71" i="22"/>
  <c r="BJ72" i="22"/>
  <c r="BJ73" i="22"/>
  <c r="BI66" i="22"/>
  <c r="BI67" i="22"/>
  <c r="BI68" i="22"/>
  <c r="BI69" i="22"/>
  <c r="BI70" i="22"/>
  <c r="BI71" i="22"/>
  <c r="BI72" i="22"/>
  <c r="BH66" i="22"/>
  <c r="BH67" i="22"/>
  <c r="BH68" i="22"/>
  <c r="BH69" i="22"/>
  <c r="BH70" i="22"/>
  <c r="BH71" i="22"/>
  <c r="BG66" i="22"/>
  <c r="BG67" i="22"/>
  <c r="BG68" i="22"/>
  <c r="BG69" i="22"/>
  <c r="BG70" i="22"/>
  <c r="BF66" i="22"/>
  <c r="BF67" i="22"/>
  <c r="BF68" i="22"/>
  <c r="BF69" i="22"/>
  <c r="BE66" i="22"/>
  <c r="BE67" i="22"/>
  <c r="BE68" i="22"/>
  <c r="BD66" i="22"/>
  <c r="BD67" i="22"/>
  <c r="BC64" i="22"/>
  <c r="BX67" i="22" s="1"/>
  <c r="BV67" i="22" s="1"/>
  <c r="BB64" i="22"/>
  <c r="BX66" i="22" s="1"/>
  <c r="BV66" i="22" s="1"/>
  <c r="P1" i="22"/>
  <c r="E97" i="21" a="1"/>
  <c r="E97" i="21" s="1"/>
  <c r="J97" i="21" s="1"/>
  <c r="BU66" i="21"/>
  <c r="BU67" i="21"/>
  <c r="BU68" i="21"/>
  <c r="BU69" i="21"/>
  <c r="BU70" i="21"/>
  <c r="BU71" i="21"/>
  <c r="BU72" i="21"/>
  <c r="BU73" i="21"/>
  <c r="BU74" i="21"/>
  <c r="BU75" i="21"/>
  <c r="BU76" i="21"/>
  <c r="BU77" i="21"/>
  <c r="BU78" i="21"/>
  <c r="BU79" i="21"/>
  <c r="BU80" i="21"/>
  <c r="BU81" i="21"/>
  <c r="BU82" i="21"/>
  <c r="BU83" i="21"/>
  <c r="BU84" i="21"/>
  <c r="BT66" i="21"/>
  <c r="BT67" i="21"/>
  <c r="BT68" i="21"/>
  <c r="BT69" i="21"/>
  <c r="BT70" i="21"/>
  <c r="BT71" i="21"/>
  <c r="BT72" i="21"/>
  <c r="BT73" i="21"/>
  <c r="BT74" i="21"/>
  <c r="BT75" i="21"/>
  <c r="BT76" i="21"/>
  <c r="BT77" i="21"/>
  <c r="BT78" i="21"/>
  <c r="BT79" i="21"/>
  <c r="BT80" i="21"/>
  <c r="BT81" i="21"/>
  <c r="BT82" i="21"/>
  <c r="BT83" i="21"/>
  <c r="BS66" i="21"/>
  <c r="BS67" i="21"/>
  <c r="BS68" i="21"/>
  <c r="BS69" i="21"/>
  <c r="BS70" i="21"/>
  <c r="BS71" i="21"/>
  <c r="BS72" i="21"/>
  <c r="BS73" i="21"/>
  <c r="BS74" i="21"/>
  <c r="BS75" i="21"/>
  <c r="BS76" i="21"/>
  <c r="BS77" i="21"/>
  <c r="BS78" i="21"/>
  <c r="BS79" i="21"/>
  <c r="BS80" i="21"/>
  <c r="BS81" i="21"/>
  <c r="BS82" i="21"/>
  <c r="BR66" i="21"/>
  <c r="BR67" i="21"/>
  <c r="BR68" i="21"/>
  <c r="BR69" i="21"/>
  <c r="BR70" i="21"/>
  <c r="BR71" i="21"/>
  <c r="BR72" i="21"/>
  <c r="BR73" i="21"/>
  <c r="BR74" i="21"/>
  <c r="BR75" i="21"/>
  <c r="BR76" i="21"/>
  <c r="BR77" i="21"/>
  <c r="BR78" i="21"/>
  <c r="BR79" i="21"/>
  <c r="BR80" i="21"/>
  <c r="BR81" i="21"/>
  <c r="BQ66" i="21"/>
  <c r="BQ67" i="21"/>
  <c r="BQ68" i="21"/>
  <c r="BQ69" i="21"/>
  <c r="BQ70" i="21"/>
  <c r="BQ71" i="21"/>
  <c r="BQ72" i="21"/>
  <c r="BQ73" i="21"/>
  <c r="BQ74" i="21"/>
  <c r="BQ75" i="21"/>
  <c r="BQ76" i="21"/>
  <c r="BQ77" i="21"/>
  <c r="BQ78" i="21"/>
  <c r="BQ79" i="21"/>
  <c r="BQ80" i="21"/>
  <c r="BP66" i="21"/>
  <c r="BP67" i="21"/>
  <c r="BP68" i="21"/>
  <c r="BP69" i="21"/>
  <c r="BP70" i="21"/>
  <c r="BP71" i="21"/>
  <c r="BP72" i="21"/>
  <c r="BP73" i="21"/>
  <c r="BP74" i="21"/>
  <c r="BP75" i="21"/>
  <c r="BP76" i="21"/>
  <c r="BP77" i="21"/>
  <c r="BP78" i="21"/>
  <c r="BP79" i="21"/>
  <c r="BO66" i="21"/>
  <c r="BO67" i="21"/>
  <c r="BO68" i="21"/>
  <c r="BO69" i="21"/>
  <c r="BO70" i="21"/>
  <c r="BO71" i="21"/>
  <c r="BO72" i="21"/>
  <c r="BO73" i="21"/>
  <c r="BO74" i="21"/>
  <c r="BO75" i="21"/>
  <c r="BO76" i="21"/>
  <c r="BO77" i="21"/>
  <c r="BO78" i="21"/>
  <c r="BN66" i="21"/>
  <c r="BN67" i="21"/>
  <c r="BN68" i="21"/>
  <c r="BN69" i="21"/>
  <c r="BN70" i="21"/>
  <c r="BN71" i="21"/>
  <c r="BN72" i="21"/>
  <c r="BN73" i="21"/>
  <c r="BN74" i="21"/>
  <c r="BN75" i="21"/>
  <c r="BN76" i="21"/>
  <c r="BN77" i="21"/>
  <c r="BM66" i="21"/>
  <c r="BM67" i="21"/>
  <c r="BM68" i="21"/>
  <c r="BM69" i="21"/>
  <c r="BM70" i="21"/>
  <c r="BM71" i="21"/>
  <c r="BM72" i="21"/>
  <c r="BM73" i="21"/>
  <c r="BM74" i="21"/>
  <c r="BM75" i="21"/>
  <c r="BM76" i="21"/>
  <c r="BL66" i="21"/>
  <c r="BL67" i="21"/>
  <c r="BL68" i="21"/>
  <c r="BL69" i="21"/>
  <c r="BL70" i="21"/>
  <c r="BL71" i="21"/>
  <c r="BL72" i="21"/>
  <c r="BL73" i="21"/>
  <c r="BL74" i="21"/>
  <c r="BL75" i="21"/>
  <c r="BK66" i="21"/>
  <c r="BK67" i="21"/>
  <c r="BK68" i="21"/>
  <c r="BK69" i="21"/>
  <c r="BK70" i="21"/>
  <c r="BK71" i="21"/>
  <c r="BK72" i="21"/>
  <c r="BK73" i="21"/>
  <c r="BK74" i="21"/>
  <c r="BJ66" i="21"/>
  <c r="BJ67" i="21"/>
  <c r="BJ68" i="21"/>
  <c r="BJ69" i="21"/>
  <c r="BJ70" i="21"/>
  <c r="BJ71" i="21"/>
  <c r="BJ72" i="21"/>
  <c r="BJ73" i="21"/>
  <c r="BI66" i="21"/>
  <c r="BI67" i="21"/>
  <c r="BI68" i="21"/>
  <c r="BI69" i="21"/>
  <c r="BI70" i="21"/>
  <c r="BI71" i="21"/>
  <c r="BI72" i="21"/>
  <c r="BH66" i="21"/>
  <c r="BH67" i="21"/>
  <c r="BH68" i="21"/>
  <c r="BH69" i="21"/>
  <c r="BH70" i="21"/>
  <c r="BH71" i="21"/>
  <c r="BG66" i="21"/>
  <c r="BG67" i="21"/>
  <c r="BG68" i="21"/>
  <c r="BG69" i="21"/>
  <c r="BG70" i="21"/>
  <c r="BF66" i="21"/>
  <c r="BF67" i="21"/>
  <c r="BF68" i="21"/>
  <c r="BF69" i="21"/>
  <c r="BE66" i="21"/>
  <c r="BE67" i="21"/>
  <c r="BE68" i="21"/>
  <c r="BD66" i="21"/>
  <c r="BD67" i="21"/>
  <c r="BC64" i="21"/>
  <c r="BX67" i="21" s="1"/>
  <c r="BV67" i="21" s="1"/>
  <c r="BB64" i="21"/>
  <c r="BX66" i="21" s="1"/>
  <c r="BV66" i="21" s="1"/>
  <c r="P1" i="21"/>
  <c r="J2" i="21" a="1"/>
  <c r="J2" i="21" s="1"/>
  <c r="E88" i="1"/>
  <c r="L88" i="1"/>
  <c r="M88" i="1" s="1"/>
  <c r="BU68" i="1"/>
  <c r="BU69" i="1"/>
  <c r="BU70" i="1"/>
  <c r="BU71" i="1"/>
  <c r="BU72" i="1"/>
  <c r="BU73" i="1"/>
  <c r="BU74" i="1"/>
  <c r="BU75" i="1"/>
  <c r="BU76" i="1"/>
  <c r="BU77" i="1"/>
  <c r="BU78" i="1"/>
  <c r="BU79" i="1"/>
  <c r="BU80" i="1"/>
  <c r="BU81" i="1"/>
  <c r="BU82" i="1"/>
  <c r="BU83" i="1"/>
  <c r="BU84" i="1"/>
  <c r="BU85" i="1"/>
  <c r="BU86" i="1"/>
  <c r="BT68" i="1"/>
  <c r="BT69" i="1"/>
  <c r="BT70" i="1"/>
  <c r="BT71" i="1"/>
  <c r="BT72" i="1"/>
  <c r="BT73" i="1"/>
  <c r="BT74" i="1"/>
  <c r="BT75" i="1"/>
  <c r="BT76" i="1"/>
  <c r="BT77" i="1"/>
  <c r="BT78" i="1"/>
  <c r="BT79" i="1"/>
  <c r="BT80" i="1"/>
  <c r="BT81" i="1"/>
  <c r="BT82" i="1"/>
  <c r="BT83" i="1"/>
  <c r="BT84" i="1"/>
  <c r="BT85" i="1"/>
  <c r="BS68" i="1"/>
  <c r="BS69" i="1"/>
  <c r="BS70" i="1"/>
  <c r="BS71" i="1"/>
  <c r="BS72" i="1"/>
  <c r="BS73" i="1"/>
  <c r="BS74" i="1"/>
  <c r="BS75" i="1"/>
  <c r="BS76" i="1"/>
  <c r="BS77" i="1"/>
  <c r="BS78" i="1"/>
  <c r="BS79" i="1"/>
  <c r="BS80" i="1"/>
  <c r="BS81" i="1"/>
  <c r="BS82" i="1"/>
  <c r="BS83" i="1"/>
  <c r="BS84" i="1"/>
  <c r="BR68" i="1"/>
  <c r="BR69" i="1"/>
  <c r="BR70" i="1"/>
  <c r="BR71" i="1"/>
  <c r="BR72" i="1"/>
  <c r="BR73" i="1"/>
  <c r="BR74" i="1"/>
  <c r="BR75" i="1"/>
  <c r="BR76" i="1"/>
  <c r="BR77" i="1"/>
  <c r="BR78" i="1"/>
  <c r="BR79" i="1"/>
  <c r="BR80" i="1"/>
  <c r="BR81" i="1"/>
  <c r="BR82" i="1"/>
  <c r="BR83" i="1"/>
  <c r="BQ68" i="1"/>
  <c r="BQ69" i="1"/>
  <c r="BQ70" i="1"/>
  <c r="BQ71" i="1"/>
  <c r="BQ72" i="1"/>
  <c r="BQ73" i="1"/>
  <c r="BQ74" i="1"/>
  <c r="BQ75" i="1"/>
  <c r="BQ76" i="1"/>
  <c r="BQ77" i="1"/>
  <c r="BQ78" i="1"/>
  <c r="BQ79" i="1"/>
  <c r="BQ80" i="1"/>
  <c r="BQ81" i="1"/>
  <c r="BQ82" i="1"/>
  <c r="BP68" i="1"/>
  <c r="BP69" i="1"/>
  <c r="BP70" i="1"/>
  <c r="BP71" i="1"/>
  <c r="BP72" i="1"/>
  <c r="BP73" i="1"/>
  <c r="BP74" i="1"/>
  <c r="BP75" i="1"/>
  <c r="BP76" i="1"/>
  <c r="BP77" i="1"/>
  <c r="BP78" i="1"/>
  <c r="BP79" i="1"/>
  <c r="BP80" i="1"/>
  <c r="BP81" i="1"/>
  <c r="BO68" i="1"/>
  <c r="BO69" i="1"/>
  <c r="BO70" i="1"/>
  <c r="BO71" i="1"/>
  <c r="BO72" i="1"/>
  <c r="BO73" i="1"/>
  <c r="BO74" i="1"/>
  <c r="BO75" i="1"/>
  <c r="BO76" i="1"/>
  <c r="BO77" i="1"/>
  <c r="BO78" i="1"/>
  <c r="BO79" i="1"/>
  <c r="BO80" i="1"/>
  <c r="BN68" i="1"/>
  <c r="BN69" i="1"/>
  <c r="BN70" i="1"/>
  <c r="BN71" i="1"/>
  <c r="BN72" i="1"/>
  <c r="BN73" i="1"/>
  <c r="BN74" i="1"/>
  <c r="BN75" i="1"/>
  <c r="BN76" i="1"/>
  <c r="BN77" i="1"/>
  <c r="BN78" i="1"/>
  <c r="BN79" i="1"/>
  <c r="BM68" i="1"/>
  <c r="BM69" i="1"/>
  <c r="BM70" i="1"/>
  <c r="BM71" i="1"/>
  <c r="BM72" i="1"/>
  <c r="BM73" i="1"/>
  <c r="BM74" i="1"/>
  <c r="BM75" i="1"/>
  <c r="BM76" i="1"/>
  <c r="BM77" i="1"/>
  <c r="BM78" i="1"/>
  <c r="BL68" i="1"/>
  <c r="BL69" i="1"/>
  <c r="BL70" i="1"/>
  <c r="BL71" i="1"/>
  <c r="BL72" i="1"/>
  <c r="BL73" i="1"/>
  <c r="BL74" i="1"/>
  <c r="BL75" i="1"/>
  <c r="BL76" i="1"/>
  <c r="BL77" i="1"/>
  <c r="BK68" i="1"/>
  <c r="BK69" i="1"/>
  <c r="BK70" i="1"/>
  <c r="BK71" i="1"/>
  <c r="BK72" i="1"/>
  <c r="BK73" i="1"/>
  <c r="BK74" i="1"/>
  <c r="BK75" i="1"/>
  <c r="BK76" i="1"/>
  <c r="BJ68" i="1"/>
  <c r="BJ69" i="1"/>
  <c r="BJ70" i="1"/>
  <c r="BJ71" i="1"/>
  <c r="BJ72" i="1"/>
  <c r="BJ73" i="1"/>
  <c r="BJ74" i="1"/>
  <c r="BJ75" i="1"/>
  <c r="BI68" i="1"/>
  <c r="BI69" i="1"/>
  <c r="BI70" i="1"/>
  <c r="BI71" i="1"/>
  <c r="BI72" i="1"/>
  <c r="BI73" i="1"/>
  <c r="BI74" i="1"/>
  <c r="BH68" i="1"/>
  <c r="BH69" i="1"/>
  <c r="BH70" i="1"/>
  <c r="BH71" i="1"/>
  <c r="BH72" i="1"/>
  <c r="BH73" i="1"/>
  <c r="BG68" i="1"/>
  <c r="BG69" i="1"/>
  <c r="BG70" i="1"/>
  <c r="BG71" i="1"/>
  <c r="BG72" i="1"/>
  <c r="BF68" i="1"/>
  <c r="BF69" i="1"/>
  <c r="BF70" i="1"/>
  <c r="BF71" i="1"/>
  <c r="BE68" i="1"/>
  <c r="BE69" i="1"/>
  <c r="BE70" i="1"/>
  <c r="E70" i="1"/>
  <c r="AQ70" i="1"/>
  <c r="AR70" i="1" s="1"/>
  <c r="L70" i="1" s="1"/>
  <c r="M70" i="1" s="1"/>
  <c r="AS70" i="1"/>
  <c r="AT70" i="1" s="1"/>
  <c r="BD68" i="1"/>
  <c r="BD69" i="1"/>
  <c r="E69" i="1"/>
  <c r="AQ69" i="1"/>
  <c r="AR69" i="1" s="1"/>
  <c r="L69" i="1" s="1"/>
  <c r="AS69" i="1"/>
  <c r="AT69" i="1" s="1"/>
  <c r="BC66" i="1"/>
  <c r="BX69" i="1" s="1"/>
  <c r="BV69" i="1" s="1"/>
  <c r="BB66" i="1"/>
  <c r="BX68" i="1" s="1"/>
  <c r="BV68" i="1" s="1"/>
  <c r="L42" i="1"/>
  <c r="L41" i="1"/>
  <c r="L40" i="1"/>
  <c r="L13" i="1"/>
  <c r="N13" i="1"/>
  <c r="L12" i="1"/>
  <c r="N12" i="1"/>
  <c r="P1" i="1"/>
  <c r="L11" i="1"/>
  <c r="N11" i="1"/>
  <c r="O36" i="1" l="1"/>
  <c r="F128" i="1"/>
  <c r="F139" i="1"/>
  <c r="M69" i="1"/>
  <c r="M89" i="1" s="1"/>
  <c r="L89" i="1"/>
  <c r="P4" i="1" s="1"/>
  <c r="G128" i="1"/>
  <c r="H128" i="1" s="1"/>
  <c r="BD66" i="1"/>
  <c r="BX70" i="1" s="1"/>
  <c r="BV70" i="1" s="1"/>
  <c r="BE66" i="1"/>
  <c r="BX71" i="1" s="1"/>
  <c r="BV71" i="1" s="1"/>
  <c r="BF66" i="1"/>
  <c r="BX72" i="1" s="1"/>
  <c r="BV72" i="1" s="1"/>
  <c r="BG66" i="1"/>
  <c r="BX73" i="1" s="1"/>
  <c r="BV73" i="1" s="1"/>
  <c r="BH66" i="1"/>
  <c r="BX74" i="1" s="1"/>
  <c r="BV74" i="1" s="1"/>
  <c r="BI66" i="1"/>
  <c r="BX75" i="1" s="1"/>
  <c r="BV75" i="1" s="1"/>
  <c r="BJ66" i="1"/>
  <c r="BX76" i="1" s="1"/>
  <c r="BV76" i="1" s="1"/>
  <c r="BK66" i="1"/>
  <c r="BX77" i="1" s="1"/>
  <c r="BV77" i="1" s="1"/>
  <c r="BL66" i="1"/>
  <c r="BX78" i="1" s="1"/>
  <c r="BV78" i="1" s="1"/>
  <c r="BM66" i="1"/>
  <c r="BX79" i="1" s="1"/>
  <c r="BV79" i="1" s="1"/>
  <c r="BN66" i="1"/>
  <c r="BX80" i="1" s="1"/>
  <c r="BV80" i="1" s="1"/>
  <c r="BO66" i="1"/>
  <c r="BX81" i="1" s="1"/>
  <c r="BV81" i="1" s="1"/>
  <c r="BP66" i="1"/>
  <c r="BX82" i="1" s="1"/>
  <c r="BV82" i="1" s="1"/>
  <c r="BQ66" i="1"/>
  <c r="BX83" i="1" s="1"/>
  <c r="BV83" i="1" s="1"/>
  <c r="BR66" i="1"/>
  <c r="BX84" i="1" s="1"/>
  <c r="BV84" i="1" s="1"/>
  <c r="BS66" i="1"/>
  <c r="BX85" i="1" s="1"/>
  <c r="BV85" i="1" s="1"/>
  <c r="BT66" i="1"/>
  <c r="BX86" i="1" s="1"/>
  <c r="BV86" i="1" s="1"/>
  <c r="BU66" i="1"/>
  <c r="BX87" i="1" s="1"/>
  <c r="BV87" i="1" s="1"/>
  <c r="P5" i="21"/>
  <c r="D20" i="11" s="1"/>
  <c r="E20" i="11" s="1" a="1"/>
  <c r="E20" i="11" s="1"/>
  <c r="D16" i="11"/>
  <c r="BD64" i="21"/>
  <c r="BX68" i="21" s="1"/>
  <c r="BV68" i="21" s="1"/>
  <c r="BE64" i="21"/>
  <c r="BX69" i="21" s="1"/>
  <c r="BV69" i="21" s="1"/>
  <c r="BF64" i="21"/>
  <c r="BX70" i="21" s="1"/>
  <c r="BV70" i="21" s="1"/>
  <c r="BG64" i="21"/>
  <c r="BX71" i="21" s="1"/>
  <c r="BV71" i="21" s="1"/>
  <c r="BH64" i="21"/>
  <c r="BX72" i="21" s="1"/>
  <c r="BV72" i="21" s="1"/>
  <c r="BI64" i="21"/>
  <c r="BX73" i="21" s="1"/>
  <c r="BV73" i="21" s="1"/>
  <c r="BJ64" i="21"/>
  <c r="BX74" i="21" s="1"/>
  <c r="BV74" i="21" s="1"/>
  <c r="BK64" i="21"/>
  <c r="BX75" i="21" s="1"/>
  <c r="BV75" i="21" s="1"/>
  <c r="BL64" i="21"/>
  <c r="BX76" i="21" s="1"/>
  <c r="BV76" i="21" s="1"/>
  <c r="BM64" i="21"/>
  <c r="BX77" i="21" s="1"/>
  <c r="BV77" i="21" s="1"/>
  <c r="BN64" i="21"/>
  <c r="BX78" i="21" s="1"/>
  <c r="BV78" i="21" s="1"/>
  <c r="BO64" i="21"/>
  <c r="BX79" i="21" s="1"/>
  <c r="BV79" i="21" s="1"/>
  <c r="BP64" i="21"/>
  <c r="BX80" i="21" s="1"/>
  <c r="BV80" i="21" s="1"/>
  <c r="BQ64" i="21"/>
  <c r="BX81" i="21" s="1"/>
  <c r="BV81" i="21" s="1"/>
  <c r="BR64" i="21"/>
  <c r="BX82" i="21" s="1"/>
  <c r="BV82" i="21" s="1"/>
  <c r="BS64" i="21"/>
  <c r="BX83" i="21" s="1"/>
  <c r="BV83" i="21" s="1"/>
  <c r="BT64" i="21"/>
  <c r="BX84" i="21" s="1"/>
  <c r="BV84" i="21" s="1"/>
  <c r="BU64" i="21"/>
  <c r="BX85" i="21" s="1"/>
  <c r="BV85" i="21" s="1"/>
  <c r="P5" i="22"/>
  <c r="D21" i="11" s="1"/>
  <c r="E21" i="11" s="1" a="1"/>
  <c r="E21" i="11" s="1"/>
  <c r="G103" i="22"/>
  <c r="G104" i="22"/>
  <c r="H104" i="22" s="1"/>
  <c r="G106" i="22"/>
  <c r="H106" i="22" s="1"/>
  <c r="D17" i="11"/>
  <c r="BD64" i="22"/>
  <c r="BX68" i="22" s="1"/>
  <c r="BV68" i="22" s="1"/>
  <c r="BE64" i="22"/>
  <c r="BX69" i="22" s="1"/>
  <c r="BV69" i="22" s="1"/>
  <c r="BF64" i="22"/>
  <c r="BX70" i="22" s="1"/>
  <c r="BV70" i="22" s="1"/>
  <c r="BG64" i="22"/>
  <c r="BX71" i="22" s="1"/>
  <c r="BV71" i="22" s="1"/>
  <c r="BH64" i="22"/>
  <c r="BX72" i="22" s="1"/>
  <c r="BV72" i="22" s="1"/>
  <c r="BI64" i="22"/>
  <c r="BX73" i="22" s="1"/>
  <c r="BV73" i="22" s="1"/>
  <c r="BJ64" i="22"/>
  <c r="BX74" i="22" s="1"/>
  <c r="BV74" i="22" s="1"/>
  <c r="BK64" i="22"/>
  <c r="BX75" i="22" s="1"/>
  <c r="BV75" i="22" s="1"/>
  <c r="BL64" i="22"/>
  <c r="BX76" i="22" s="1"/>
  <c r="BV76" i="22" s="1"/>
  <c r="BM64" i="22"/>
  <c r="BX77" i="22" s="1"/>
  <c r="BV77" i="22" s="1"/>
  <c r="BN64" i="22"/>
  <c r="BX78" i="22" s="1"/>
  <c r="BV78" i="22" s="1"/>
  <c r="BO64" i="22"/>
  <c r="BX79" i="22" s="1"/>
  <c r="BV79" i="22" s="1"/>
  <c r="BP64" i="22"/>
  <c r="BX80" i="22" s="1"/>
  <c r="BV80" i="22" s="1"/>
  <c r="BQ64" i="22"/>
  <c r="BX81" i="22" s="1"/>
  <c r="BV81" i="22" s="1"/>
  <c r="BR64" i="22"/>
  <c r="BX82" i="22" s="1"/>
  <c r="BV82" i="22" s="1"/>
  <c r="BS64" i="22"/>
  <c r="BX83" i="22" s="1"/>
  <c r="BV83" i="22" s="1"/>
  <c r="BT64" i="22"/>
  <c r="BX84" i="22" s="1"/>
  <c r="BV84" i="22" s="1"/>
  <c r="BU64" i="22"/>
  <c r="BX85" i="22" s="1"/>
  <c r="BV85" i="22" s="1"/>
  <c r="L60" i="1"/>
  <c r="I63" i="1"/>
  <c r="L31" i="1"/>
  <c r="M31" i="1"/>
  <c r="N31" i="1" l="1"/>
  <c r="N32" i="1" s="1"/>
  <c r="P2" i="1" s="1"/>
  <c r="AG31" i="1"/>
  <c r="F135" i="1"/>
  <c r="I135" i="1" s="1"/>
  <c r="J135" i="1" s="1"/>
  <c r="E108" i="1" s="1"/>
  <c r="J108" i="1" s="1"/>
  <c r="F138" i="1"/>
  <c r="L32" i="1"/>
  <c r="G135" i="1"/>
  <c r="H135" i="1" s="1"/>
  <c r="L61" i="1"/>
  <c r="D29" i="11"/>
  <c r="D38" i="11"/>
  <c r="H103" i="22"/>
  <c r="G105" i="22"/>
  <c r="D28" i="11"/>
  <c r="D37" i="11"/>
  <c r="I103" i="22" l="1"/>
  <c r="H105" i="22"/>
  <c r="P3" i="1"/>
  <c r="D15" i="11" s="1"/>
  <c r="D36" i="11" s="1"/>
  <c r="G138" i="1"/>
  <c r="G139" i="1"/>
  <c r="H139" i="1" s="1"/>
  <c r="P5" i="1"/>
  <c r="D19" i="11" s="1"/>
  <c r="D11" i="11"/>
  <c r="J2" i="1" a="1"/>
  <c r="J2" i="1" s="1"/>
  <c r="F11" i="11" l="1"/>
  <c r="F19" i="11" s="1"/>
  <c r="F15" i="11"/>
  <c r="D23" i="11"/>
  <c r="D27" i="11"/>
  <c r="D5" i="11" s="1"/>
  <c r="C36" i="11"/>
  <c r="E19" i="11" a="1"/>
  <c r="E19" i="11" s="1"/>
  <c r="H138" i="1"/>
  <c r="I138" i="1"/>
  <c r="J138" i="1" s="1"/>
  <c r="G107" i="22"/>
  <c r="I106" i="22" s="1"/>
  <c r="J106" i="22" s="1"/>
  <c r="G108" i="22"/>
  <c r="G109" i="22"/>
  <c r="E97" i="22" a="1"/>
  <c r="E97" i="22" s="1"/>
  <c r="J105" i="22"/>
  <c r="J97" i="22" l="1"/>
  <c r="J2" i="22" a="1"/>
  <c r="J2" i="22" s="1"/>
  <c r="F140" i="1"/>
  <c r="I140" i="1" s="1"/>
  <c r="J140" i="1" s="1"/>
  <c r="I142" i="1"/>
  <c r="I139" i="1" s="1"/>
  <c r="J139" i="1" s="1"/>
  <c r="E109" i="1" s="1"/>
  <c r="J109" i="1" s="1"/>
  <c r="D7" i="11" s="1"/>
  <c r="D9" i="11"/>
  <c r="E23" i="11" a="1"/>
  <c r="E23" i="11" s="1"/>
  <c r="F23"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<sst xmlns="http://schemas.openxmlformats.org/spreadsheetml/2006/main" count="3180" uniqueCount="1063">
  <si>
    <t>created by Sam Arthur @ FPCR</t>
  </si>
  <si>
    <t xml:space="preserve">Small Sites Metric 
(The Statutory Biodiversity Metric) 
</t>
  </si>
  <si>
    <t>Version 1.2.2 Release Date:</t>
  </si>
  <si>
    <t>July 2024</t>
  </si>
  <si>
    <t>Cell style conventions</t>
  </si>
  <si>
    <t>Enter data</t>
  </si>
  <si>
    <t>Automated equation</t>
  </si>
  <si>
    <t>Result</t>
  </si>
  <si>
    <t>Title cell</t>
  </si>
  <si>
    <t>Title cell alt colour</t>
  </si>
  <si>
    <t>▲</t>
  </si>
  <si>
    <t>Error</t>
  </si>
  <si>
    <t>⚠</t>
  </si>
  <si>
    <t>Attention required</t>
  </si>
  <si>
    <r>
      <rPr>
        <b/>
        <sz val="11"/>
        <color theme="1"/>
        <rFont val="Calibri"/>
        <family val="2"/>
        <scheme val="minor"/>
      </rPr>
      <t xml:space="preserve">Technical Requirements - Excel Versions: </t>
    </r>
    <r>
      <rPr>
        <sz val="11"/>
        <color theme="1"/>
        <rFont val="Calibri"/>
        <family val="2"/>
        <scheme val="minor"/>
      </rPr>
      <t>2010, 2013, 2016, 2019, Office 365, Excel for Android</t>
    </r>
  </si>
  <si>
    <t xml:space="preserve">Use of this cell is not required </t>
  </si>
  <si>
    <t>Sheet Name</t>
  </si>
  <si>
    <t>Site Details</t>
  </si>
  <si>
    <t>1. Planning authority:</t>
  </si>
  <si>
    <t>Barnsley</t>
  </si>
  <si>
    <t>2. Site name:</t>
  </si>
  <si>
    <t>8 cliffe lane</t>
  </si>
  <si>
    <t>3. Applicant:</t>
  </si>
  <si>
    <t>John Purdy</t>
  </si>
  <si>
    <t>4. Planning application type:</t>
  </si>
  <si>
    <t>Full planning consent</t>
  </si>
  <si>
    <t>5. Planning application reference:</t>
  </si>
  <si>
    <t xml:space="preserve">No </t>
  </si>
  <si>
    <t>6. Metric completed by (name &amp; job title):</t>
  </si>
  <si>
    <t>John Purdy (designer)</t>
  </si>
  <si>
    <t>7. Date of metric completion:</t>
  </si>
  <si>
    <t>15/12/2024</t>
  </si>
  <si>
    <t>8. Revision number:</t>
  </si>
  <si>
    <t>9. Masterplan document title / drawing number:</t>
  </si>
  <si>
    <t>Net Gain Targets</t>
  </si>
  <si>
    <t>10. Targeted % increase in Units</t>
  </si>
  <si>
    <t>10a. Habitat</t>
  </si>
  <si>
    <t>10b. Hedgerow</t>
  </si>
  <si>
    <t>10c. Watercourses</t>
  </si>
  <si>
    <t xml:space="preserve">11. Optional target increase in units if baseline value is zero </t>
  </si>
  <si>
    <t>11a. Habitat units</t>
  </si>
  <si>
    <t>11b. Hedgerow units</t>
  </si>
  <si>
    <t>11c. Watercourse units</t>
  </si>
  <si>
    <t>For planning authority use only</t>
  </si>
  <si>
    <t>12. Planning authority reviewer:</t>
  </si>
  <si>
    <t>13. Date of planning authority review:</t>
  </si>
  <si>
    <t>Site Name:</t>
  </si>
  <si>
    <t>Desktop Assessment</t>
  </si>
  <si>
    <t>Development</t>
  </si>
  <si>
    <t>14. Select the type of proposed development.
If Other provide details at Q.25 below</t>
  </si>
  <si>
    <t>Residential</t>
  </si>
  <si>
    <r>
      <rPr>
        <b/>
        <sz val="14"/>
        <color theme="0"/>
        <rFont val="Calibri"/>
        <family val="2"/>
      </rPr>
      <t>15. Site area (m</t>
    </r>
    <r>
      <rPr>
        <b/>
        <vertAlign val="superscript"/>
        <sz val="14"/>
        <color theme="0"/>
        <rFont val="Calibri"/>
        <family val="2"/>
        <scheme val="minor"/>
      </rPr>
      <t>2</t>
    </r>
    <r>
      <rPr>
        <b/>
        <sz val="14"/>
        <color theme="0"/>
        <rFont val="Calibri"/>
        <family val="2"/>
        <scheme val="minor"/>
      </rPr>
      <t>)</t>
    </r>
  </si>
  <si>
    <t>Between 1 - 9 dwellings</t>
  </si>
  <si>
    <t xml:space="preserve">Designated sites and priority habitats </t>
  </si>
  <si>
    <t>18. Any designated sites on or within 500m of the site?</t>
  </si>
  <si>
    <t>No</t>
  </si>
  <si>
    <t>19. Any priority habitats on or within 500m of the site?</t>
  </si>
  <si>
    <t>Within 500m of site boundary</t>
  </si>
  <si>
    <t>20. List the designated sites and/or priority habitats</t>
  </si>
  <si>
    <t xml:space="preserve">Priority Habitat Inventory - Deciduous Woodland (England) (NE UID: d75c1898-043a-442b-b1cf-0335550c5876) - Within 500m 
</t>
  </si>
  <si>
    <t>21. Information sources used for assessment of designated sites and priority habitats
(See guidance)</t>
  </si>
  <si>
    <t>The following authoritative government sources were consulted: Country Parks (England) (https://naturalengland-defra.opendata.arcgis.com/maps/a11befa8e6dc4227a7082d81bb1ddbdb), Local Nature Reserves (England) (https://naturalengland-defra.opendata.arcgis.com/maps/b1d690ac6dd54c15bdd2d341b686ecd7), Marine Conservation Zones (England) (https://naturalengland-defra.opendata.arcgis.com/maps/82bf811005484412a75c438738d51f82), National Nature Reserves (England) (https://naturalengland-defra.opendata.arcgis.com/maps/ab7bfd86f5b347df8d47fc9bfab80caf), Potential Special Protection Areas (England) (https://naturalengland-defra.opendata.arcgis.com/maps/6c8aa0f765904a1ca95779b534852fa2), Proposed Ramsar (England) (https://naturalengland-defra.opendata.arcgis.com/maps/d1591e5c791a4371b38b7653109e0c2c), Ramsar (England) (https://naturalengland-defra.opendata.arcgis.com/maps/13b5f06edc88471db479b49b4ac04a43), Special Areas of Conservation (England) (https://naturalengland-defra.opendata.arcgis.com/maps/e4142658906c498fa37f0a20d3fdfcff), Special Protection Areas (England) (https://naturalengland-defra.opendata.arcgis.com/maps/e6ee43be14554663b0a80bb42aa4e671), Sites of Special Scientific Interest (England) (https://naturalengland-defra.opendata.arcgis.com/maps/f10cbb4425154bfda349ccf493487a80), Sites of Special Scientific Interest Units (England) (https://naturalengland-defra.opendata.arcgis.com/maps/03fd7a2f8e4e4346bf41ce7879153949), Areas of Outstanding Natural Beauty (England) (https://naturalengland-defra.opendata.arcgis.com/maps/6f2ad07d91304ad79cdecd52489d5046), Limestone Pavement Orders (England) (https://naturalengland-defra.opendata.arcgis.com/maps/509f8e3a23684412b104d1f0660b3ae1), Biosphere Reserves (England) (https://naturalengland-defra.opendata.arcgis.com/maps/8c0a5ddba868486cb14ddc9c6a6df37e), Nitrate Sensitive Areas (England) (https://naturalengland-defra.opendata.arcgis.com/maps/e7211a83a6ab4a08975cf07923251063), Heritage Coasts (England) (https://naturalengland-defra.opendata.arcgis.com/maps/d9557885721d483dac138bdd0ab08c3e), National Parks (England) (https://naturalengland-defra.opendata.arcgis.com/maps/d333c7529754444894e2d7f5044d1bbf), Land Management Initiatives (England) (https://naturalengland-defra.opendata.arcgis.com/maps/00b5ddd1567a4a9caed971307d72c0b7), Priority Habitat Inventory (Central) (England) (https://naturalengland-defra.opendata.arcgis.com/maps/caa06b31220546ceaae6f088b1a6d099), Priority Habitat Inventory (South) (England) (https://naturalengland-defra.opendata.arcgis.com/maps/e8eac9a6297f4544896b667b204ed31a), Priority Habitat Inventory (North) (England) (https://naturalengland-defra.opendata.arcgis.com/maps/7ff2ea905ad343f98dfd09a723938784), Priority Habitat - Rivers (England) (https://naturalengland-defra.opendata.arcgis.com/maps/7e5dd3c72f424fd5bc6f013d18dd770c), Priority River Habitat - Headwater Areas (England) (https://naturalengland-defra.opendata.arcgis.com/maps/8e3f7118b7484c58a9d3f92700cfa39a), Surveyed Priority Ponds (England) (https://naturalengland-defra.opendata.arcgis.com/maps/c0396588c6e846ba808785ba8d36e51f).</t>
  </si>
  <si>
    <t>European protected species</t>
  </si>
  <si>
    <t>22. Any european protected species present on site</t>
  </si>
  <si>
    <t>Site walkover</t>
  </si>
  <si>
    <t>23. Site walkover completed?</t>
  </si>
  <si>
    <t>Walkover completed by competent person</t>
  </si>
  <si>
    <t>24. Date of site walkover - DD/MM/YY</t>
  </si>
  <si>
    <t>02/12/2024</t>
  </si>
  <si>
    <t>25. Who completed the walkover? 
(Name and job title)</t>
  </si>
  <si>
    <t>John Purdy (Desiner )</t>
  </si>
  <si>
    <t>Additional details</t>
  </si>
  <si>
    <t>26. Any additional information or notes</t>
  </si>
  <si>
    <t>Supporting Information</t>
  </si>
  <si>
    <t>Baseline Habitat Photos</t>
  </si>
  <si>
    <t>Insert photographs to support assumptions made in the metric</t>
  </si>
  <si>
    <t>Ref</t>
  </si>
  <si>
    <t>Habitat type</t>
  </si>
  <si>
    <t>Photo 1</t>
  </si>
  <si>
    <t>Photo 2</t>
  </si>
  <si>
    <t>Date taken</t>
  </si>
  <si>
    <t>Retained Units</t>
  </si>
  <si>
    <t>Data beyond this column is automated</t>
  </si>
  <si>
    <t>Site Name</t>
  </si>
  <si>
    <r>
      <rPr>
        <b/>
        <u/>
        <sz val="14"/>
        <color theme="1"/>
        <rFont val="Calibri"/>
        <family val="2"/>
        <scheme val="minor"/>
      </rPr>
      <t>Instructions:</t>
    </r>
    <r>
      <rPr>
        <sz val="11"/>
        <color theme="1"/>
        <rFont val="Calibri"/>
        <family val="2"/>
        <scheme val="minor"/>
      </rPr>
      <t xml:space="preserve">
1. Enter data into 1a. Baseline habitats table 
2. Enter data on habitats to be created into 1b. Habitats to be created
3. Enter data on habitats to be enhanced into 1c. Habitats to be enhanced 
4. Enter data on individual trees into 1d. Tree area calculator
</t>
    </r>
  </si>
  <si>
    <t>Lost Units</t>
  </si>
  <si>
    <t>5. Area Habitats</t>
  </si>
  <si>
    <t>Created Units</t>
  </si>
  <si>
    <t>Enhancement Units</t>
  </si>
  <si>
    <t>Net Change</t>
  </si>
  <si>
    <t>1a. Baseline habitats</t>
  </si>
  <si>
    <t>Habitat</t>
  </si>
  <si>
    <t>C. Strategic significance</t>
  </si>
  <si>
    <r>
      <rPr>
        <b/>
        <sz val="12"/>
        <color theme="0"/>
        <rFont val="Calibri"/>
        <family val="2"/>
      </rPr>
      <t>Areas (m</t>
    </r>
    <r>
      <rPr>
        <b/>
        <vertAlign val="superscript"/>
        <sz val="12"/>
        <color theme="0"/>
        <rFont val="Calibri"/>
        <family val="2"/>
        <scheme val="minor"/>
      </rPr>
      <t>2</t>
    </r>
    <r>
      <rPr>
        <b/>
        <sz val="12"/>
        <color theme="0"/>
        <rFont val="Calibri"/>
        <family val="2"/>
        <scheme val="minor"/>
      </rPr>
      <t>)</t>
    </r>
  </si>
  <si>
    <t>Baseline results</t>
  </si>
  <si>
    <t>Comments</t>
  </si>
  <si>
    <t>Habitat distinctiveness</t>
  </si>
  <si>
    <t>Habitat condition</t>
  </si>
  <si>
    <t>Strategic significance</t>
  </si>
  <si>
    <t>Ecological baseline</t>
  </si>
  <si>
    <t>Suggested action to address habitat losses</t>
  </si>
  <si>
    <t>Enhancement rules</t>
  </si>
  <si>
    <t>A. Broad Habitat</t>
  </si>
  <si>
    <t xml:space="preserve"> B. Habitat type</t>
  </si>
  <si>
    <t xml:space="preserve">D. Total Area </t>
  </si>
  <si>
    <t>E. Area retained</t>
  </si>
  <si>
    <t>F. Area enhanced</t>
  </si>
  <si>
    <t>Total habitat units onsite</t>
  </si>
  <si>
    <t>Area Lost</t>
  </si>
  <si>
    <t>Units lost</t>
  </si>
  <si>
    <t>User comments</t>
  </si>
  <si>
    <t>LPA comments</t>
  </si>
  <si>
    <t>Distinctiveness</t>
  </si>
  <si>
    <t>Score</t>
  </si>
  <si>
    <t xml:space="preserve">Condition </t>
  </si>
  <si>
    <t>Strategic significance multiplier</t>
  </si>
  <si>
    <t>Baseline units retained</t>
  </si>
  <si>
    <t>Baseline units to be enhanced</t>
  </si>
  <si>
    <t>Area lost</t>
  </si>
  <si>
    <t>Urban</t>
  </si>
  <si>
    <t>Developed land; sealed surface</t>
  </si>
  <si>
    <t>Area/compensation not in local strategy/ no local strategy</t>
  </si>
  <si>
    <t>Bare ground</t>
  </si>
  <si>
    <t>Trees</t>
  </si>
  <si>
    <t>Individual trees</t>
  </si>
  <si>
    <t>Urban/rural tree</t>
  </si>
  <si>
    <t>Formally identified in local strategy</t>
  </si>
  <si>
    <t>Totals (areas excl trees, green walls and intertidal hard structures)</t>
  </si>
  <si>
    <t>Error Check 1</t>
  </si>
  <si>
    <t>Error Check 2</t>
  </si>
  <si>
    <t>Error Check 3</t>
  </si>
  <si>
    <t>1b. Habitats to be created</t>
  </si>
  <si>
    <t>Condition Assessment</t>
  </si>
  <si>
    <t>D. Strategic significance</t>
  </si>
  <si>
    <r>
      <rPr>
        <b/>
        <sz val="12"/>
        <color theme="0"/>
        <rFont val="Calibri"/>
        <family val="2"/>
      </rPr>
      <t>E. Total Area  (m</t>
    </r>
    <r>
      <rPr>
        <b/>
        <vertAlign val="superscript"/>
        <sz val="12"/>
        <color theme="0"/>
        <rFont val="Calibri"/>
        <family val="2"/>
        <scheme val="minor"/>
      </rPr>
      <t>2</t>
    </r>
    <r>
      <rPr>
        <b/>
        <sz val="12"/>
        <color theme="0"/>
        <rFont val="Calibri"/>
        <family val="2"/>
        <scheme val="minor"/>
      </rPr>
      <t>)</t>
    </r>
  </si>
  <si>
    <t>Habitat units created onsite</t>
  </si>
  <si>
    <t>Temporal multiplier</t>
  </si>
  <si>
    <t>Difficulty multipliers</t>
  </si>
  <si>
    <t>B. Habitat type</t>
  </si>
  <si>
    <t>Acceptable condition options</t>
  </si>
  <si>
    <t>C. Targeted condition</t>
  </si>
  <si>
    <t>Time to target condition/years</t>
  </si>
  <si>
    <t>Time to target multiplier</t>
  </si>
  <si>
    <t>Difficulty of creation category</t>
  </si>
  <si>
    <t>Difficulty of creation multiplier</t>
  </si>
  <si>
    <t>N/A - Other</t>
  </si>
  <si>
    <t>Artificial unvegetated, unsealed surface</t>
  </si>
  <si>
    <t>Moderate</t>
  </si>
  <si>
    <t>Error Check 4</t>
  </si>
  <si>
    <t>Divider</t>
  </si>
  <si>
    <t>1c. Habitats to be enhanced</t>
  </si>
  <si>
    <t>,</t>
  </si>
  <si>
    <t>Baseline ref</t>
  </si>
  <si>
    <t>Existing Habitat Type</t>
  </si>
  <si>
    <t>Enhanced Habitat type</t>
  </si>
  <si>
    <t>B. Strategic significance</t>
  </si>
  <si>
    <t>Area Enhanced</t>
  </si>
  <si>
    <t>Enhanced Condition</t>
  </si>
  <si>
    <t>Total Units</t>
  </si>
  <si>
    <t>Net Improvement</t>
  </si>
  <si>
    <t>Baseline Values</t>
  </si>
  <si>
    <t xml:space="preserve"> Distinctiveness change acceptable?</t>
  </si>
  <si>
    <t>Enhanced multipliers</t>
  </si>
  <si>
    <t>Condition enhancement - Time to target condition/years</t>
  </si>
  <si>
    <t>Number of options</t>
  </si>
  <si>
    <t>Broad habitat type</t>
  </si>
  <si>
    <t>Existing habitat type</t>
  </si>
  <si>
    <t>Enhancement Type</t>
  </si>
  <si>
    <t>A. Enhanced habitat type</t>
  </si>
  <si>
    <t>Area enhanced</t>
  </si>
  <si>
    <t>Baseline distinctiveness band</t>
  </si>
  <si>
    <t>Baseline distinctiveness score</t>
  </si>
  <si>
    <t>Baseline condition category</t>
  </si>
  <si>
    <t>Baseline condition score</t>
  </si>
  <si>
    <t>Baseline strategic significance category</t>
  </si>
  <si>
    <t>Baseline strategic significance score</t>
  </si>
  <si>
    <t>Baseline value of area enhanced</t>
  </si>
  <si>
    <t>Condition enhancement - Time to target multiplier</t>
  </si>
  <si>
    <t>Distinctiveness enhancement - Time to target condition/years</t>
  </si>
  <si>
    <t>Distinctiveness enhancement - Time to target multiplier</t>
  </si>
  <si>
    <t>Difficulty of enhancement category</t>
  </si>
  <si>
    <t>Difficulty of enhancement multiplier</t>
  </si>
  <si>
    <t>Acceptable habitat types</t>
  </si>
  <si>
    <t>Enhancement type</t>
  </si>
  <si>
    <t>Enhancement broad habitat type</t>
  </si>
  <si>
    <t>Option number</t>
  </si>
  <si>
    <t>List range</t>
  </si>
  <si>
    <t>Column ref</t>
  </si>
  <si>
    <t>list  length</t>
  </si>
  <si>
    <t>BB</t>
  </si>
  <si>
    <t>BC</t>
  </si>
  <si>
    <t>BD</t>
  </si>
  <si>
    <t>BE</t>
  </si>
  <si>
    <t>BF</t>
  </si>
  <si>
    <t>BG</t>
  </si>
  <si>
    <t>BH</t>
  </si>
  <si>
    <t>BI</t>
  </si>
  <si>
    <t>BJ</t>
  </si>
  <si>
    <t>BK</t>
  </si>
  <si>
    <t>BL</t>
  </si>
  <si>
    <t>BM</t>
  </si>
  <si>
    <t>BN</t>
  </si>
  <si>
    <t>BO</t>
  </si>
  <si>
    <t>BP</t>
  </si>
  <si>
    <t>BQ</t>
  </si>
  <si>
    <t>BR</t>
  </si>
  <si>
    <t>BS</t>
  </si>
  <si>
    <t>BT</t>
  </si>
  <si>
    <t>BU</t>
  </si>
  <si>
    <t>1d.  - Tree area calculator</t>
  </si>
  <si>
    <t>Tree size
(Diameter at breast height)</t>
  </si>
  <si>
    <t>A. Total number of trees pre development</t>
  </si>
  <si>
    <t>B. Number of trees retained (but not enhanced)</t>
  </si>
  <si>
    <t>C. Number of new trees planted post development</t>
  </si>
  <si>
    <t>Areas</t>
  </si>
  <si>
    <t>Area pre development</t>
  </si>
  <si>
    <t>Area retained</t>
  </si>
  <si>
    <t>Area of new trees planted post development</t>
  </si>
  <si>
    <t>Small -DBH ≤ 30cm</t>
  </si>
  <si>
    <t>Medium - DBH &gt; 30 to ≤ 60cm</t>
  </si>
  <si>
    <t>Large - DBH &gt; 60 to ≤ 90cm</t>
  </si>
  <si>
    <t>Very Large - DBH &gt; 90cm</t>
  </si>
  <si>
    <t>Total</t>
  </si>
  <si>
    <t>Data beyond this row is automated</t>
  </si>
  <si>
    <t>1e . Trading Summary</t>
  </si>
  <si>
    <t>Broad Habitat Type - Medium Distinctiveness Habitats</t>
  </si>
  <si>
    <t xml:space="preserve">Medium and Low Distinctiveness Band </t>
  </si>
  <si>
    <t>1f . Habitat trading assessment</t>
  </si>
  <si>
    <t>Broad habitat types</t>
  </si>
  <si>
    <t>Distinctiveness band</t>
  </si>
  <si>
    <t>Baseline units</t>
  </si>
  <si>
    <t>Onsite provision</t>
  </si>
  <si>
    <t>Net change</t>
  </si>
  <si>
    <t>Trading satisfied?</t>
  </si>
  <si>
    <t>Cropland</t>
  </si>
  <si>
    <t>Low</t>
  </si>
  <si>
    <t>-</t>
  </si>
  <si>
    <t>Medium</t>
  </si>
  <si>
    <t>Grassland</t>
  </si>
  <si>
    <t>Heathland and shrub</t>
  </si>
  <si>
    <t>Intertidal hard structures</t>
  </si>
  <si>
    <t>Intertidal sediment</t>
  </si>
  <si>
    <t>Lakes</t>
  </si>
  <si>
    <t>Sparsely vegetated land</t>
  </si>
  <si>
    <t>Woodland and forest</t>
  </si>
  <si>
    <t>Coastal saltmarsh</t>
  </si>
  <si>
    <t>Medium distinctiveness</t>
  </si>
  <si>
    <t>Low distinctiveness</t>
  </si>
  <si>
    <t>Surplus area habitat biodiversity units after offsetting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</si>
  <si>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</si>
  <si>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6. Hedges &amp; Lines of Trees</t>
  </si>
  <si>
    <t>Length (m)</t>
  </si>
  <si>
    <t>D. Total Length</t>
  </si>
  <si>
    <t>E. Length retained</t>
  </si>
  <si>
    <t>F. Length enhanced</t>
  </si>
  <si>
    <t>Total  units onsite</t>
  </si>
  <si>
    <t>Length Lost</t>
  </si>
  <si>
    <t>Hedgerows and Lines of trees</t>
  </si>
  <si>
    <t>Totals</t>
  </si>
  <si>
    <t>E. Total Length created (m)</t>
  </si>
  <si>
    <t>Units created on-site</t>
  </si>
  <si>
    <t>Length Enhanced (m)</t>
  </si>
  <si>
    <t>option number</t>
  </si>
  <si>
    <t>Distinctiveness and Habitat Type</t>
  </si>
  <si>
    <t>Species-rich native hedgerow</t>
  </si>
  <si>
    <t>Native hedgerow - associated with bank or ditch</t>
  </si>
  <si>
    <t>Native hedgerow with trees</t>
  </si>
  <si>
    <t>Ecologically valuable line of trees</t>
  </si>
  <si>
    <t>Ecologically valuable line of trees - associated with bank or ditch</t>
  </si>
  <si>
    <t>Sum</t>
  </si>
  <si>
    <t>Native hedgerow</t>
  </si>
  <si>
    <t>Line of trees</t>
  </si>
  <si>
    <t>Line of trees - associated with bank or ditch</t>
  </si>
  <si>
    <t>Very low</t>
  </si>
  <si>
    <t>Non-native and ornamental hedgerow</t>
  </si>
  <si>
    <t>Surplus medium distinctiveness units to offset low and very low distinctiveness units</t>
  </si>
  <si>
    <t>Cumulative surplus of units after offsetting low distinctiveness units</t>
  </si>
  <si>
    <t>Cumulative surplus of units after offsetting very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</si>
  <si>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</si>
  <si>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7. Watercourses</t>
  </si>
  <si>
    <t>Length M</t>
  </si>
  <si>
    <t>Baseline watercourse and riparian encroachment</t>
  </si>
  <si>
    <t>Baseline units pre-encroachment</t>
  </si>
  <si>
    <t>Watercourses</t>
  </si>
  <si>
    <t>Units created onsite</t>
  </si>
  <si>
    <t>Watercourse and riparian encroachment</t>
  </si>
  <si>
    <t xml:space="preserve"> Enhanced Habitat type</t>
  </si>
  <si>
    <t>Length Enhanced</t>
  </si>
  <si>
    <t>Enhanced watercourse and riparian encroachment</t>
  </si>
  <si>
    <t>Habitat Type</t>
  </si>
  <si>
    <t>Canals</t>
  </si>
  <si>
    <t>Ditches</t>
  </si>
  <si>
    <t>Culvert</t>
  </si>
  <si>
    <t>Surplus medium distinctiveness units to offset low distinctiveness units</t>
  </si>
  <si>
    <t>Surplus watercourse biodiversity units</t>
  </si>
  <si>
    <t>Headline Results</t>
  </si>
  <si>
    <t>Headline</t>
  </si>
  <si>
    <t>Trading Rules</t>
  </si>
  <si>
    <t>Next steps</t>
  </si>
  <si>
    <t>% unit change required</t>
  </si>
  <si>
    <t>Baseline Units</t>
  </si>
  <si>
    <t>Habitat units</t>
  </si>
  <si>
    <t>Hedgerow units</t>
  </si>
  <si>
    <t>Watercourse units</t>
  </si>
  <si>
    <t>Target units required (baseline plus extra units needed)</t>
  </si>
  <si>
    <t>Post-development Units</t>
  </si>
  <si>
    <t>Total net unit change</t>
  </si>
  <si>
    <t>Total net % change</t>
  </si>
  <si>
    <t>Habitats units required to meet target</t>
  </si>
  <si>
    <t>Hedgerow units required to meet target</t>
  </si>
  <si>
    <t>Watercourse units required to meet target</t>
  </si>
  <si>
    <t>Chart 1 - Unit change by habitat group</t>
  </si>
  <si>
    <t>Baseline</t>
  </si>
  <si>
    <t>Provision</t>
  </si>
  <si>
    <t>River units</t>
  </si>
  <si>
    <t>* based on government cost per unit of:</t>
  </si>
  <si>
    <t>9. All Habitats + Multipliers - (general technical information for reference purposes only)</t>
  </si>
  <si>
    <t>Risk Multipliers</t>
  </si>
  <si>
    <t>Location Multipliers</t>
  </si>
  <si>
    <t>Broad Habitat Group</t>
  </si>
  <si>
    <t>Nearest Ukhab Habitat</t>
  </si>
  <si>
    <t>Definitive Ukhab /  Unis Code</t>
  </si>
  <si>
    <t xml:space="preserve">Distinctiveness Category </t>
  </si>
  <si>
    <t>Trading Notes</t>
  </si>
  <si>
    <t>Technical Difficulty Creation</t>
  </si>
  <si>
    <t>Technical Difficulty Enhancement</t>
  </si>
  <si>
    <t>Connectivity</t>
  </si>
  <si>
    <t>Arable field margins cultivated annually</t>
  </si>
  <si>
    <t>Same broad habitat or a higher distinctiveness habitat required</t>
  </si>
  <si>
    <t>Arable field margins game bird mix</t>
  </si>
  <si>
    <t>Arable field margins pollen and nectar</t>
  </si>
  <si>
    <t>Arable field margins tussocky</t>
  </si>
  <si>
    <t>Cereal crops</t>
  </si>
  <si>
    <t>Same distinctiveness or better habitat required</t>
  </si>
  <si>
    <t>Winter stubble</t>
  </si>
  <si>
    <t>Horticulture</t>
  </si>
  <si>
    <t>Intensive orchards</t>
  </si>
  <si>
    <t>Non-cereal crops</t>
  </si>
  <si>
    <t>Temporary grass and clover leys</t>
  </si>
  <si>
    <t>Bracken</t>
  </si>
  <si>
    <t>Modified grassland</t>
  </si>
  <si>
    <t>Other lowland acid grassland</t>
  </si>
  <si>
    <t>Other neutral grassland</t>
  </si>
  <si>
    <t>Upland acid grassland</t>
  </si>
  <si>
    <t>Blackthorn scrub</t>
  </si>
  <si>
    <t>Bramble scrub</t>
  </si>
  <si>
    <t>Gorse scrub</t>
  </si>
  <si>
    <t>Hawthorn scrub</t>
  </si>
  <si>
    <t>Hazel scrub</t>
  </si>
  <si>
    <t>Mixed scrub</t>
  </si>
  <si>
    <t>Rhododendron scrub</t>
  </si>
  <si>
    <t>Other sea buckthorn scrub</t>
  </si>
  <si>
    <t>Willow scrub</t>
  </si>
  <si>
    <t>Ornamental lake or pond</t>
  </si>
  <si>
    <t>High</t>
  </si>
  <si>
    <t>Ponds (non-priority habitat)</t>
  </si>
  <si>
    <t>Reservoirs</t>
  </si>
  <si>
    <t>Ruderal/Ephemeral</t>
  </si>
  <si>
    <t>Other inland rock and scree</t>
  </si>
  <si>
    <t>Tall forbs</t>
  </si>
  <si>
    <t>Allotments</t>
  </si>
  <si>
    <t>V.Low</t>
  </si>
  <si>
    <t>Compensation Not Required</t>
  </si>
  <si>
    <t>Bioswale</t>
  </si>
  <si>
    <t>Biodiverse green roof</t>
  </si>
  <si>
    <t>Built linear features</t>
  </si>
  <si>
    <t>Cemeteries and churchyards</t>
  </si>
  <si>
    <t>Intensive green roof</t>
  </si>
  <si>
    <t>Facade-bound green wall</t>
  </si>
  <si>
    <t>Ground based green wall</t>
  </si>
  <si>
    <t>Ground level planters</t>
  </si>
  <si>
    <t>Other green roof</t>
  </si>
  <si>
    <t>Introduced shrub</t>
  </si>
  <si>
    <t>Rain garden</t>
  </si>
  <si>
    <t>Actively worked sand pit quarry or open cast mine</t>
  </si>
  <si>
    <t>Sustainable drainage system</t>
  </si>
  <si>
    <t>Unvegetated garden</t>
  </si>
  <si>
    <t>Vacant or derelict land</t>
  </si>
  <si>
    <t>Vegetated garden</t>
  </si>
  <si>
    <t>Other coniferous woodland</t>
  </si>
  <si>
    <t>Other Scot's pine woodland</t>
  </si>
  <si>
    <t>Other woodland; broadleaved</t>
  </si>
  <si>
    <t>Other woodland; mixed</t>
  </si>
  <si>
    <t>Littoral coarse sediment</t>
  </si>
  <si>
    <t>Artificial saltmarshes and saline reedbeds</t>
  </si>
  <si>
    <t>Artificial littoral coarse sediment</t>
  </si>
  <si>
    <t>Artificial littoral mud</t>
  </si>
  <si>
    <t>Artificial littoral sand</t>
  </si>
  <si>
    <t>Artificial littoral muddy sand</t>
  </si>
  <si>
    <t>Artificial littoral mixed sediments</t>
  </si>
  <si>
    <t>Artificial littoral seagrass</t>
  </si>
  <si>
    <t>Artificial littoral biogenic reefs</t>
  </si>
  <si>
    <t>Littoral sand</t>
  </si>
  <si>
    <t>Artificial hard structures</t>
  </si>
  <si>
    <t>Artificial features of hard structures</t>
  </si>
  <si>
    <t>Artificial hard structures with integrated greening of grey infrastructure (IGGI)</t>
  </si>
  <si>
    <t>Rivers</t>
  </si>
  <si>
    <t>Same habitat required</t>
  </si>
  <si>
    <t>Better distinctiveness habitat required</t>
  </si>
  <si>
    <t>N/A</t>
  </si>
  <si>
    <t>10. Condition and Temporal - general technical information for refence purposes only)</t>
  </si>
  <si>
    <t>Condition</t>
  </si>
  <si>
    <t>Temporal Multipliers</t>
  </si>
  <si>
    <t>Enhancement Rules</t>
  </si>
  <si>
    <t>Baseline Default Condition</t>
  </si>
  <si>
    <t>Creation Condition Options</t>
  </si>
  <si>
    <t>Enhancement Habitat options</t>
  </si>
  <si>
    <t>EnhancementDefault Condition</t>
  </si>
  <si>
    <t>Years To Target Condition Creation - Moderate</t>
  </si>
  <si>
    <t>Years To Target Condition Creation - Good</t>
  </si>
  <si>
    <t>Years To Target Condition Creation - Poor</t>
  </si>
  <si>
    <t>Years To Target Condition Creation - Condition assessment N/A</t>
  </si>
  <si>
    <t>Years To Target Condition Creation - N/A Other</t>
  </si>
  <si>
    <t>Time To Target Condition Enhancement - Moderate to Good</t>
  </si>
  <si>
    <t>Time To Target Distinctiveness Enhancement - Low to Default Condition</t>
  </si>
  <si>
    <t>Good</t>
  </si>
  <si>
    <t>Poor</t>
  </si>
  <si>
    <t>Condition Assessment N/A</t>
  </si>
  <si>
    <t>Enhancement not possible</t>
  </si>
  <si>
    <t>Not Possible</t>
  </si>
  <si>
    <t>Arable field margins cultivated annually, Arable field margins game bird mix, Arable field margins pollen and nectar, Arable field margins tussocky</t>
  </si>
  <si>
    <t>Condition enhancement not possible, enhancement to any medium distinctiveness cropland habitat only</t>
  </si>
  <si>
    <t>Other lowland acid grassland, Other neutral grassland, Upland acid grassland</t>
  </si>
  <si>
    <t>Condition enhancement not possible, enhancement to any medium distinctiveness grassland habitat only</t>
  </si>
  <si>
    <t>Moderate, Good</t>
  </si>
  <si>
    <t>Modified grassland, Other lowland acid grassland, Other neutral grassland, Upland acid grassland</t>
  </si>
  <si>
    <t>Condition enhancement or enhancement to any medium distinctiveness grassland habitat</t>
  </si>
  <si>
    <t>Condition enhancement only</t>
  </si>
  <si>
    <t>Blackthorn scrub, Gorse scrub, Hawthorn scrub, Hazel scrub, Mixed scrub, Willow scrub</t>
  </si>
  <si>
    <t>Condition enhancement not possible, enhancement to any medium distinctiveness habitat in heathland or shrub habitat only</t>
  </si>
  <si>
    <t>Ornamental lake or pond, Ponds (non-priority habitat)</t>
  </si>
  <si>
    <t>Condition enhancement or enhancement to non-priority pond only</t>
  </si>
  <si>
    <t>Enhancement to Biodiverse green roof.</t>
  </si>
  <si>
    <t>Intensive green roof, Biodiverse green roof</t>
  </si>
  <si>
    <t>Condition enhancement possible, enhancement to Intensive green roof and Biodiverse green roof</t>
  </si>
  <si>
    <t>Condition enhancement not possible, enhancement to Sparsely vegetated land - other inland rock and scree only</t>
  </si>
  <si>
    <t>30+</t>
  </si>
  <si>
    <t>Other Scot's pine woodland, Other woodland; broadleaved, Other woodland; mixed</t>
  </si>
  <si>
    <t>Condition enhancement or enhancement to any medium distinctiveness woodland</t>
  </si>
  <si>
    <t>Artificial hard structures, Artificial hard structures with integrated greening of grey infrastructure (IGGI)</t>
  </si>
  <si>
    <t>Condition enhancement within same distinctiveness or enhancement to medium distinctiveness habitat</t>
  </si>
  <si>
    <t>Artificial features of hard structures, Artificial hard structures with integrated greening of grey infrastructure (IGGI)</t>
  </si>
  <si>
    <t>Native hedgerow, Species-rich native hedgerow, Native hedgerow - associated with bank or ditch, Native hedgerow with trees</t>
  </si>
  <si>
    <t>Condition enhancement or enhancement to any medium distinctiveness hedgerow</t>
  </si>
  <si>
    <t xml:space="preserve"> Native hedgerow with trees, Line of trees, Line of trees - associated with bank or ditch</t>
  </si>
  <si>
    <t>Not possible</t>
  </si>
  <si>
    <t>Condition enhancement or enhancement to an ecologically valuable line of trees or any medium distinctiveness hedgerow - i.e. should retain trees</t>
  </si>
  <si>
    <t xml:space="preserve">Ecologically valuable line of trees, Ecologically valuable line of trees - associated with bank or ditch, </t>
  </si>
  <si>
    <t>Condition enhancement or enhance to an Ecologically valuable line of trees - associated with bank or ditch</t>
  </si>
  <si>
    <t xml:space="preserve"> Line of trees - associated with bank or ditch</t>
  </si>
  <si>
    <t>Ecologically valuable line of trees - associated with bank or ditch,</t>
  </si>
  <si>
    <t>Canals, Ditches</t>
  </si>
  <si>
    <t>Enhancement to Canal or Ditch</t>
  </si>
  <si>
    <t>Broadhabitattype</t>
  </si>
  <si>
    <t>Heathlandandshrub</t>
  </si>
  <si>
    <t>Intertidalhardstructures</t>
  </si>
  <si>
    <t>Intertidalsediment</t>
  </si>
  <si>
    <t>Sparselyvegetatedland</t>
  </si>
  <si>
    <t>Woodlandandforest</t>
  </si>
  <si>
    <t>HedgerowsandLinesoftrees</t>
  </si>
  <si>
    <t>Lineoftrees</t>
  </si>
  <si>
    <t>Coastalsaltmarsh</t>
  </si>
  <si>
    <t>Individualtrees</t>
  </si>
  <si>
    <t>Linear features</t>
  </si>
  <si>
    <t>difficulty</t>
  </si>
  <si>
    <t>Strategic Significance</t>
  </si>
  <si>
    <t>category</t>
  </si>
  <si>
    <t>value</t>
  </si>
  <si>
    <t>Spatial  risk</t>
  </si>
  <si>
    <t>Street trees</t>
  </si>
  <si>
    <t>Description</t>
  </si>
  <si>
    <t>score</t>
  </si>
  <si>
    <t>strategic significance</t>
  </si>
  <si>
    <t>Multiplier</t>
  </si>
  <si>
    <t>Category</t>
  </si>
  <si>
    <t>Tree size</t>
  </si>
  <si>
    <t>Diameter M</t>
  </si>
  <si>
    <t>RPA Radius M</t>
  </si>
  <si>
    <t>RPA ha</t>
  </si>
  <si>
    <t>Local Authority List</t>
  </si>
  <si>
    <t>Application type</t>
  </si>
  <si>
    <t>Highly connected habitat</t>
  </si>
  <si>
    <t xml:space="preserve">High strategic significance </t>
  </si>
  <si>
    <t>Compensation inside LPA or NCA, or deemed to be sufficiently local, to site of biodiversity loss</t>
  </si>
  <si>
    <t>Small</t>
  </si>
  <si>
    <t>Adur and Worthing Borough Council</t>
  </si>
  <si>
    <t>Householder planning consent</t>
  </si>
  <si>
    <t>Moderately connected habitat</t>
  </si>
  <si>
    <t>Low Strategic Significance</t>
  </si>
  <si>
    <r>
      <rPr>
        <sz val="11"/>
        <color rgb="FF000000"/>
        <rFont val="Calibri"/>
        <family val="2"/>
      </rPr>
      <t xml:space="preserve">Compensation </t>
    </r>
    <r>
      <rPr>
        <u/>
        <sz val="11"/>
        <color rgb="FF000000"/>
        <rFont val="Calibri"/>
        <family val="2"/>
      </rPr>
      <t>outside</t>
    </r>
    <r>
      <rPr>
        <sz val="11"/>
        <color rgb="FF000000"/>
        <rFont val="Calibri"/>
        <family val="2"/>
      </rPr>
      <t xml:space="preserve"> LPA or NCA of impact site but in neighbouring LPA or NCA</t>
    </r>
  </si>
  <si>
    <t>Adur District Council</t>
  </si>
  <si>
    <t>Unconnected habitat</t>
  </si>
  <si>
    <t>Very High</t>
  </si>
  <si>
    <r>
      <rPr>
        <sz val="11"/>
        <color rgb="FF000000"/>
        <rFont val="Calibri"/>
        <family val="2"/>
      </rPr>
      <t xml:space="preserve">Compensation </t>
    </r>
    <r>
      <rPr>
        <u/>
        <sz val="11"/>
        <color rgb="FF000000"/>
        <rFont val="Calibri"/>
        <family val="2"/>
      </rPr>
      <t>outside</t>
    </r>
    <r>
      <rPr>
        <sz val="11"/>
        <color rgb="FF000000"/>
        <rFont val="Calibri"/>
        <family val="2"/>
      </rPr>
      <t xml:space="preserve"> LPA or NCA of impact site and beyond neighbouring LPA or NCA </t>
    </r>
  </si>
  <si>
    <t>Large</t>
  </si>
  <si>
    <t>Allerdale Borough Council</t>
  </si>
  <si>
    <t>Hybrid planning consent</t>
  </si>
  <si>
    <t>Assessment not appropriate</t>
  </si>
  <si>
    <t>Amber Valley Borough Council</t>
  </si>
  <si>
    <t>Outline planning consent</t>
  </si>
  <si>
    <t>Arun District Council</t>
  </si>
  <si>
    <t>Reserved Matters</t>
  </si>
  <si>
    <t>Ashfield District Council</t>
  </si>
  <si>
    <t>Application for non-material amendments</t>
  </si>
  <si>
    <t>Ashford Borough Council</t>
  </si>
  <si>
    <t>Aylesbury Vale District Council</t>
  </si>
  <si>
    <t>Babergh District Council</t>
  </si>
  <si>
    <t>Distinctiveness categories</t>
  </si>
  <si>
    <t>Condition categories</t>
  </si>
  <si>
    <t>Temporal multipliers</t>
  </si>
  <si>
    <t>Hedges Distinctiveness categories</t>
  </si>
  <si>
    <t>Barnsley Metropolitan Borough Council</t>
  </si>
  <si>
    <t>Distinctiveness Category</t>
  </si>
  <si>
    <t>Distinctiveness Score</t>
  </si>
  <si>
    <t>Suggested Action</t>
  </si>
  <si>
    <t>Condition Multiplier</t>
  </si>
  <si>
    <t>Condition Assessment Score</t>
  </si>
  <si>
    <t>Year</t>
  </si>
  <si>
    <t>% of original unit</t>
  </si>
  <si>
    <t>Time to target Multiplier</t>
  </si>
  <si>
    <t>RPA m2</t>
  </si>
  <si>
    <t>Barrow-in-Furness Borough Council</t>
  </si>
  <si>
    <t>Basildon Borough Council</t>
  </si>
  <si>
    <t>Basingstoke and Deane Borough Council</t>
  </si>
  <si>
    <t>Bassetlaw District Council</t>
  </si>
  <si>
    <t>Very Large</t>
  </si>
  <si>
    <t>Bath and North East Somerset Council</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</si>
  <si>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</si>
  <si>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</si>
  <si>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</si>
  <si>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</si>
  <si>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</si>
  <si>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</si>
  <si>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</si>
  <si>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</si>
  <si>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</si>
  <si>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</si>
  <si>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</si>
  <si>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</si>
  <si>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</si>
  <si>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</si>
  <si>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</si>
  <si>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</si>
  <si>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</si>
  <si>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</si>
  <si>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</si>
  <si>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</si>
  <si>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</si>
  <si>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</si>
  <si>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</si>
  <si>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</si>
  <si>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</si>
  <si>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</si>
  <si>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</si>
  <si>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</si>
  <si>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</si>
  <si>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</si>
  <si>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</si>
  <si>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</si>
  <si>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</si>
  <si>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</si>
  <si>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</si>
  <si>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</si>
  <si>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</si>
  <si>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</si>
  <si>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</si>
  <si>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</si>
  <si>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</si>
  <si>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</si>
  <si>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</si>
  <si>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</si>
  <si>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</si>
  <si>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</si>
  <si>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</si>
  <si>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</si>
  <si>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</si>
  <si>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</si>
  <si>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</si>
  <si>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</si>
  <si>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</si>
  <si>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</si>
  <si>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</si>
  <si>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</si>
  <si>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</si>
  <si>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</si>
  <si>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</si>
  <si>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</si>
  <si>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</si>
  <si>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</si>
  <si>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</si>
  <si>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</si>
  <si>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</si>
  <si>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</si>
  <si>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</si>
  <si>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</si>
  <si>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</si>
  <si>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</si>
  <si>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</si>
  <si>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</si>
  <si>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</si>
  <si>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</si>
  <si>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</si>
  <si>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</si>
  <si>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</si>
  <si>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</si>
  <si>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</si>
  <si>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</si>
  <si>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</si>
  <si>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</si>
  <si>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</si>
  <si>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</si>
  <si>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</si>
  <si>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</si>
  <si>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</si>
  <si>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</si>
  <si>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</si>
  <si>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</si>
  <si>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</si>
  <si>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</si>
  <si>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</si>
  <si>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</si>
  <si>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</si>
  <si>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</si>
  <si>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</si>
  <si>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</si>
  <si>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</si>
  <si>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</si>
  <si>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</si>
  <si>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</si>
  <si>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</si>
  <si>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</si>
  <si>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</si>
  <si>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</si>
  <si>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</si>
  <si>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</si>
  <si>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</si>
  <si>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</si>
  <si>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</si>
  <si>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</si>
  <si>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</si>
  <si>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</si>
  <si>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</si>
  <si>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</si>
  <si>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</si>
  <si>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</si>
  <si>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</si>
  <si>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</si>
  <si>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</si>
  <si>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</si>
  <si>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</si>
  <si>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</si>
  <si>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</si>
  <si>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</si>
  <si>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</si>
  <si>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</si>
  <si>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</si>
  <si>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</si>
  <si>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</si>
  <si>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</si>
  <si>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</si>
  <si>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</si>
  <si>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</si>
  <si>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</si>
  <si>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</si>
  <si>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</si>
  <si>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</si>
  <si>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</si>
  <si>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</si>
  <si>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</si>
  <si>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</si>
  <si>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</si>
  <si>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</si>
  <si>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</si>
  <si>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</si>
  <si>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</si>
  <si>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</si>
  <si>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</si>
  <si>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</si>
  <si>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</si>
  <si>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</si>
  <si>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</si>
  <si>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</si>
  <si>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</si>
  <si>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</si>
  <si>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</si>
  <si>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</si>
  <si>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</si>
  <si>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</si>
  <si>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</si>
  <si>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</si>
  <si>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</si>
  <si>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</si>
  <si>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</si>
  <si>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</si>
  <si>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</si>
  <si>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</si>
  <si>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</si>
  <si>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</si>
  <si>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</si>
  <si>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</si>
  <si>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</si>
  <si>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</si>
  <si>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</si>
  <si>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</si>
  <si>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</si>
  <si>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</si>
  <si>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</si>
  <si>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</si>
  <si>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</si>
  <si>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</si>
  <si>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</si>
  <si>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</si>
  <si>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</si>
  <si>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</si>
  <si>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</si>
  <si>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</si>
  <si>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</si>
  <si>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</si>
  <si>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</si>
  <si>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</si>
  <si>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</si>
  <si>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</si>
  <si>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</si>
  <si>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</si>
  <si>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</si>
  <si>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</si>
  <si>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</si>
  <si>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</si>
  <si>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</si>
  <si>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</si>
  <si>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</si>
  <si>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</si>
  <si>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</si>
  <si>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</si>
  <si>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</si>
  <si>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</si>
  <si>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</si>
  <si>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</si>
  <si>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</si>
  <si>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</si>
  <si>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</si>
  <si>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</si>
  <si>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</si>
  <si>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</si>
  <si>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</si>
  <si>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</si>
  <si>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</si>
  <si>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</si>
  <si>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</si>
  <si>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</si>
  <si>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</si>
  <si>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</si>
  <si>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</si>
  <si>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</si>
  <si>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</si>
  <si>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</si>
  <si>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</si>
  <si>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</si>
  <si>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</si>
  <si>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</si>
  <si>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</si>
  <si>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</si>
  <si>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</si>
  <si>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</si>
  <si>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</si>
  <si>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</si>
  <si>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</si>
  <si>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</si>
  <si>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</si>
  <si>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</si>
  <si>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</si>
  <si>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</si>
  <si>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</si>
  <si>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</si>
  <si>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</si>
  <si>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</si>
  <si>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</si>
  <si>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</si>
  <si>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</si>
  <si>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</si>
  <si>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</si>
  <si>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</si>
  <si>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</si>
  <si>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</si>
  <si>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</si>
  <si>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</si>
  <si>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</si>
  <si>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</si>
  <si>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</si>
  <si>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</si>
  <si>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</si>
  <si>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</si>
  <si>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</si>
  <si>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</si>
  <si>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</si>
  <si>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</si>
  <si>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</si>
  <si>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</si>
  <si>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</si>
  <si>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</si>
  <si>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</si>
  <si>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</si>
  <si>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</si>
  <si>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</si>
  <si>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</si>
  <si>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</si>
  <si>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</si>
  <si>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</si>
  <si>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</si>
  <si>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</si>
  <si>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</si>
  <si>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</si>
  <si>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</si>
  <si>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</si>
  <si>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</si>
  <si>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</si>
  <si>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</si>
  <si>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</si>
  <si>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</si>
  <si>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</si>
  <si>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</si>
  <si>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</si>
  <si>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</si>
  <si>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</si>
  <si>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</si>
  <si>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</si>
  <si>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</si>
  <si>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</si>
  <si>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</si>
  <si>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</si>
  <si>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</si>
  <si>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</si>
  <si>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</si>
  <si>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</si>
  <si>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</si>
  <si>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</si>
  <si>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</si>
  <si>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</si>
  <si>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</si>
  <si>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</si>
  <si>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</si>
  <si>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</si>
  <si>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</si>
  <si>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</si>
  <si>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</si>
  <si>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</si>
  <si>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</si>
  <si>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</si>
  <si>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</si>
  <si>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</si>
  <si>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</si>
  <si>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</si>
  <si>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</si>
  <si>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</si>
  <si>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</si>
  <si>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</si>
  <si>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</si>
  <si>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</si>
  <si>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</si>
  <si>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</si>
  <si>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</si>
  <si>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</si>
  <si>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</si>
  <si>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</si>
  <si>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</si>
  <si>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</si>
  <si>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</si>
  <si>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</si>
  <si>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</si>
  <si>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</si>
  <si>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</si>
  <si>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</si>
  <si>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</si>
  <si>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</si>
  <si>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</si>
  <si>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</si>
  <si>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</si>
  <si>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</si>
  <si>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</si>
  <si>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</si>
  <si>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</si>
  <si>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</si>
  <si>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</si>
  <si>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</si>
  <si>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</si>
  <si>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</si>
  <si>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</si>
  <si>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</si>
  <si>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</si>
  <si>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Small sites metric version history</t>
  </si>
  <si>
    <t>Version</t>
  </si>
  <si>
    <t>Changes made</t>
  </si>
  <si>
    <t>Date released</t>
  </si>
  <si>
    <t>Version 1.0.0</t>
  </si>
  <si>
    <t>Initial statutory version</t>
  </si>
  <si>
    <t>29th November 2023</t>
  </si>
  <si>
    <t>Version 1.0.1</t>
  </si>
  <si>
    <t>Updated to correct some labelling errors, minor forumla errors and expand column widths</t>
  </si>
  <si>
    <t>12th February 2024</t>
  </si>
  <si>
    <t>Version 1.2.0</t>
  </si>
  <si>
    <t>Fixed some discrepancies in difficulty of creation and enhancement for 3 habitat types</t>
  </si>
  <si>
    <t>5th March 2024</t>
  </si>
  <si>
    <t>Version 1.2.1</t>
  </si>
  <si>
    <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t>
  </si>
  <si>
    <t>23rd July 2024</t>
  </si>
  <si>
    <t>Version 1.2.2</t>
  </si>
  <si>
    <t>Fix made to error specific to Version 1.2.1 relating to area checker on Area Habitats tab.</t>
  </si>
  <si>
    <t>24th July 2024</t>
  </si>
  <si>
    <t>BNG Group</t>
  </si>
  <si>
    <t>Landsacpe Term</t>
  </si>
  <si>
    <t>Unique Landscape Term (inc. BNG Code)</t>
  </si>
  <si>
    <t>BNG Habitat</t>
  </si>
  <si>
    <t xml:space="preserve">Coastal saltmarsh </t>
  </si>
  <si>
    <t>Saltmarsh</t>
  </si>
  <si>
    <t>Saltmarsh - A2.5</t>
  </si>
  <si>
    <t>Saltmarshes and saline reedbeds</t>
  </si>
  <si>
    <t>Arable - c1c</t>
  </si>
  <si>
    <t>Arable - c1c7</t>
  </si>
  <si>
    <t>Cereal crops other</t>
  </si>
  <si>
    <t>Arable - c1d</t>
  </si>
  <si>
    <t>Arable - c1b</t>
  </si>
  <si>
    <t>Cropland margins</t>
  </si>
  <si>
    <t>Arable - c1a7</t>
  </si>
  <si>
    <t>Arable - c1a8</t>
  </si>
  <si>
    <t>Arable - c1a6</t>
  </si>
  <si>
    <t>Arable field margins pollen &amp; nectar</t>
  </si>
  <si>
    <t>Arable - c1a</t>
  </si>
  <si>
    <t>Arable - c1c5</t>
  </si>
  <si>
    <t>Cereal crops winter stubble</t>
  </si>
  <si>
    <t>Horticulture - c1f</t>
  </si>
  <si>
    <t>Orchard</t>
  </si>
  <si>
    <t>Orchard - c1e</t>
  </si>
  <si>
    <t>grassland</t>
  </si>
  <si>
    <t>Amenity Grassland</t>
  </si>
  <si>
    <t>Amenity Grassland - g4</t>
  </si>
  <si>
    <t>Bracken - g1c</t>
  </si>
  <si>
    <t>Meadow Grassland</t>
  </si>
  <si>
    <t>Meadow Grassland - g1d</t>
  </si>
  <si>
    <t>Meadow Grassland - g3c</t>
  </si>
  <si>
    <t>Meadow Grassland - g1b</t>
  </si>
  <si>
    <t>Invasive Scrub</t>
  </si>
  <si>
    <t>Invasive Scrub - h3g</t>
  </si>
  <si>
    <t>Native Scrub</t>
  </si>
  <si>
    <t>Native Scrub - h3a</t>
  </si>
  <si>
    <t>Native Scrub - h3d</t>
  </si>
  <si>
    <t>Native Scrub - h3e</t>
  </si>
  <si>
    <t>Native Scrub - h3f</t>
  </si>
  <si>
    <t>Native Scrub - h3b</t>
  </si>
  <si>
    <t>Native Scrub - h3h</t>
  </si>
  <si>
    <t>Native Scrub - h3cNE2</t>
  </si>
  <si>
    <t>Sea buckthorn scrub (other)</t>
  </si>
  <si>
    <t>Hedgerow</t>
  </si>
  <si>
    <t>Native Hedge</t>
  </si>
  <si>
    <t>Native Hedge - h2NE5</t>
  </si>
  <si>
    <t>Native Hedgerow</t>
  </si>
  <si>
    <t>Native Hedge - h2NE2</t>
  </si>
  <si>
    <t>Native Species Rich Hedgerow</t>
  </si>
  <si>
    <t>Native Hedge - h2NE9</t>
  </si>
  <si>
    <t>Native Hedgerow - Associated with bank or ditch</t>
  </si>
  <si>
    <t>Native Hedge with Standard Trees</t>
  </si>
  <si>
    <t>Native Hedge with Standard Trees - h2NE4</t>
  </si>
  <si>
    <t>Native Hedgerow with trees</t>
  </si>
  <si>
    <t>Native Hedge with Standard Trees - h2NE1</t>
  </si>
  <si>
    <t>Native Species Rich Hedgerow with trees</t>
  </si>
  <si>
    <t>Native Hedge with Standard Trees - h2NE8</t>
  </si>
  <si>
    <t>Native Hedgerow with trees - Associated with bank or ditch</t>
  </si>
  <si>
    <t>Ornamental Hedge</t>
  </si>
  <si>
    <t>Ornamental Hedge - h2NE3</t>
  </si>
  <si>
    <t>Hedge Ornamental Non Native</t>
  </si>
  <si>
    <t>Standard Trees</t>
  </si>
  <si>
    <t>Standard Trees - w1g6NE4</t>
  </si>
  <si>
    <t>Line of Trees - Associated with bank or ditch</t>
  </si>
  <si>
    <t>Standard Trees - w1g6NE2</t>
  </si>
  <si>
    <t>Line of Trees</t>
  </si>
  <si>
    <t>Standard Trees - w1g6NE1</t>
  </si>
  <si>
    <t>Line of Trees (Ecologically Valuable) - with Bank or Ditch</t>
  </si>
  <si>
    <t>Standard Trees - w1g6NE3</t>
  </si>
  <si>
    <t>Line of Trees (Ecologically Valuable)</t>
  </si>
  <si>
    <t>Intertidal Hard Structures</t>
  </si>
  <si>
    <t>INTERTIDAL TBC</t>
  </si>
  <si>
    <t>INTERTIDAL TBC - ART_A1.4</t>
  </si>
  <si>
    <t>low</t>
  </si>
  <si>
    <t>INTERTIDAL TBC - ART_A1</t>
  </si>
  <si>
    <t>INTERTIDAL TBC - ART_A1_IGGI</t>
  </si>
  <si>
    <t>Artificial hard structures with Integrated Greening of Grey Infrastructure (IGGI)</t>
  </si>
  <si>
    <t>INTERTIDAL TBC - ART_A2.7</t>
  </si>
  <si>
    <t>INTERTIDAL TBC - ART_A2.1</t>
  </si>
  <si>
    <t>INTERTIDAL TBC - ART_A2.4</t>
  </si>
  <si>
    <t>INTERTIDAL TBC - ART_A2.3</t>
  </si>
  <si>
    <t>INTERTIDAL TBC - ART_A2.24</t>
  </si>
  <si>
    <t>INTERTIDAL TBC - ART_A2.21</t>
  </si>
  <si>
    <t>INTERTIDAL TBC - ART_A2.6</t>
  </si>
  <si>
    <t>INTERTIDAL TBC - A2.4</t>
  </si>
  <si>
    <t>Littoral mixed sediments</t>
  </si>
  <si>
    <t>INTERTIDAL TBC - A2.24</t>
  </si>
  <si>
    <t>Littoral muddy sand</t>
  </si>
  <si>
    <t>INTERTIDAL TBC - A2.21</t>
  </si>
  <si>
    <t>Reservoirs - 108</t>
  </si>
  <si>
    <t>Wildlfe Pond</t>
  </si>
  <si>
    <t>Wildlfe Pond - r1b</t>
  </si>
  <si>
    <t>Ponds (Non- Priority Habitat)</t>
  </si>
  <si>
    <t>Rivers &amp; Streams</t>
  </si>
  <si>
    <t>Canal</t>
  </si>
  <si>
    <t>Canal - r1eNE1</t>
  </si>
  <si>
    <t>Culvert - rNE1</t>
  </si>
  <si>
    <t>Ditch</t>
  </si>
  <si>
    <t>Ditch - r1eNE2</t>
  </si>
  <si>
    <t>Ruderals</t>
  </si>
  <si>
    <t>Ruderals - 17</t>
  </si>
  <si>
    <t>Scree</t>
  </si>
  <si>
    <t>Scree - s1d</t>
  </si>
  <si>
    <t>Allotments - 910</t>
  </si>
  <si>
    <t>Bareground</t>
  </si>
  <si>
    <t>Bareground - 350</t>
  </si>
  <si>
    <t>Vacant/derelict land/ bareground</t>
  </si>
  <si>
    <t>Biodiverse Roof</t>
  </si>
  <si>
    <t>Biodiverse Roof - 1113</t>
  </si>
  <si>
    <t>Brown roof</t>
  </si>
  <si>
    <t>Bioswale - 1191</t>
  </si>
  <si>
    <t>Cemetery</t>
  </si>
  <si>
    <t>Cemetery - 800</t>
  </si>
  <si>
    <t>Garden</t>
  </si>
  <si>
    <t>Garden - 231</t>
  </si>
  <si>
    <t>Garden - 232</t>
  </si>
  <si>
    <t>Un-vegetated garden</t>
  </si>
  <si>
    <t>Green Roof</t>
  </si>
  <si>
    <t>Green Roof - 1111</t>
  </si>
  <si>
    <t>Extensive green roof</t>
  </si>
  <si>
    <t>Green Roof - Sedum</t>
  </si>
  <si>
    <t>Green Roof - Sedum - 1112</t>
  </si>
  <si>
    <t>Green Wall</t>
  </si>
  <si>
    <t>Green Wall - 1122</t>
  </si>
  <si>
    <t>Green Wall - 1121</t>
  </si>
  <si>
    <t>Impermeable Hardscape</t>
  </si>
  <si>
    <t>Impermeable Hardscape - u1b</t>
  </si>
  <si>
    <t>Ornamental Pond</t>
  </si>
  <si>
    <t>Ornamental Pond - 362</t>
  </si>
  <si>
    <t>Ornamental Shrub Planting</t>
  </si>
  <si>
    <t>Ornamental Shrub Planting - 1160</t>
  </si>
  <si>
    <t>Permeable Hardscape</t>
  </si>
  <si>
    <t>Permeable Hardscape - u1c</t>
  </si>
  <si>
    <t>Planters</t>
  </si>
  <si>
    <t>Planters - 1140</t>
  </si>
  <si>
    <t>Quarry</t>
  </si>
  <si>
    <t>Quarry - 1030</t>
  </si>
  <si>
    <t>Sand pit quarry or open cast mine</t>
  </si>
  <si>
    <t>Standard Tree</t>
  </si>
  <si>
    <t>Standard Tree - 1170</t>
  </si>
  <si>
    <t>Urban Tree</t>
  </si>
  <si>
    <t>SUDS</t>
  </si>
  <si>
    <t>SUDS - 1192</t>
  </si>
  <si>
    <t>SUDS - 1119</t>
  </si>
  <si>
    <t>Sustainable urban drainage feature</t>
  </si>
  <si>
    <t>Wall</t>
  </si>
  <si>
    <t>Wall - u1e</t>
  </si>
  <si>
    <t>Conifer Woodland</t>
  </si>
  <si>
    <t>Conifer Woodland - w2c</t>
  </si>
  <si>
    <t>Conifer Woodland - w2b</t>
  </si>
  <si>
    <t>Other Scot's Pine woodland</t>
  </si>
  <si>
    <t>Native Broadleaved Woodland</t>
  </si>
  <si>
    <t>Native Broadleaved Woodland - w1g</t>
  </si>
  <si>
    <t>Native Mixed Woodland</t>
  </si>
  <si>
    <t>Native Mixed Woodland - w1h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</si>
</sst>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_-&quot;£&quot;* #,##0_-;\-&quot;£&quot;* #,##0_-;_-&quot;£&quot;* &quot;-&quot;??_-;_-@_-"/>
    <numFmt numFmtId="167" formatCode="[$-F800]dddd\,\ mmmm\ dd\,\ yyyy"/>
  </numFmts>
  <fonts count="57">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0"/>
      <name val="Arial"/>
      <family val="2"/>
    </font>
    <font>
      <b/>
      <sz val="24"/>
      <color theme="1"/>
      <name val="Calibri"/>
      <family val="2"/>
      <scheme val="minor"/>
    </font>
    <font>
      <i/>
      <sz val="14"/>
      <color rgb="FFFFFFFF"/>
      <name val="Calibri"/>
      <family val="2"/>
      <scheme val="minor"/>
    </font>
    <font>
      <b/>
      <sz val="22"/>
      <color theme="1"/>
      <name val="Calibri"/>
      <family val="2"/>
      <scheme val="minor"/>
    </font>
    <font>
      <b/>
      <sz val="12"/>
      <name val="Calibri"/>
      <family val="2"/>
      <scheme val="minor"/>
    </font>
    <font>
      <b/>
      <sz val="12"/>
      <color theme="0"/>
      <name val="Calibri"/>
      <family val="2"/>
      <scheme val="minor"/>
    </font>
    <font>
      <sz val="11"/>
      <color theme="1"/>
      <name val="Calibri"/>
      <family val="2"/>
      <scheme val="minor"/>
    </font>
    <font>
      <b/>
      <sz val="11"/>
      <color theme="0"/>
      <name val="Calibri"/>
      <family val="2"/>
      <scheme val="minor"/>
    </font>
    <font>
      <b/>
      <sz val="14"/>
      <color rgb="FFFFFFFF"/>
      <name val="Calibri"/>
      <family val="2"/>
      <scheme val="minor"/>
    </font>
    <font>
      <sz val="12"/>
      <color theme="1"/>
      <name val="Calibri"/>
      <family val="2"/>
      <scheme val="minor"/>
    </font>
    <font>
      <sz val="14"/>
      <color theme="1"/>
      <name val="Calibri"/>
      <family val="2"/>
      <scheme val="minor"/>
    </font>
    <font>
      <sz val="12"/>
      <color theme="1"/>
      <name val="Arial"/>
      <family val="2"/>
    </font>
    <font>
      <sz val="8"/>
      <name val="Calibri"/>
      <family val="2"/>
      <scheme val="minor"/>
    </font>
    <font>
      <b/>
      <sz val="14"/>
      <color theme="0"/>
      <name val="Calibri"/>
      <family val="2"/>
      <scheme val="minor"/>
    </font>
    <font>
      <b/>
      <i/>
      <sz val="14"/>
      <color rgb="FFFFFFFF"/>
      <name val="Calibri"/>
      <family val="2"/>
      <scheme val="minor"/>
    </font>
    <font>
      <b/>
      <sz val="14"/>
      <name val="Calibri"/>
      <family val="2"/>
      <scheme val="minor"/>
    </font>
    <font>
      <sz val="12"/>
      <name val="Calibri"/>
      <family val="2"/>
      <scheme val="minor"/>
    </font>
    <font>
      <b/>
      <sz val="28"/>
      <color theme="1"/>
      <name val="Calibri"/>
      <family val="2"/>
      <scheme val="minor"/>
    </font>
    <font>
      <sz val="12"/>
      <color theme="0"/>
      <name val="Calibri"/>
      <family val="2"/>
      <scheme val="minor"/>
    </font>
    <font>
      <b/>
      <sz val="20"/>
      <color theme="1"/>
      <name val="Calibri"/>
      <family val="2"/>
      <scheme val="minor"/>
    </font>
    <font>
      <sz val="11"/>
      <color rgb="FF9C5700"/>
      <name val="Calibri"/>
      <family val="2"/>
      <scheme val="minor"/>
    </font>
    <font>
      <sz val="11"/>
      <color theme="0"/>
      <name val="Calibri"/>
      <family val="2"/>
      <scheme val="minor"/>
    </font>
    <font>
      <b/>
      <vertAlign val="superscript"/>
      <sz val="14"/>
      <color theme="0"/>
      <name val="Calibri"/>
      <family val="2"/>
      <scheme val="minor"/>
    </font>
    <font>
      <sz val="14"/>
      <color rgb="FF9C5700"/>
      <name val="Calibri"/>
      <family val="2"/>
      <scheme val="minor"/>
    </font>
    <font>
      <b/>
      <sz val="22"/>
      <color theme="0"/>
      <name val="Calibri"/>
      <family val="2"/>
      <scheme val="minor"/>
    </font>
    <font>
      <sz val="12"/>
      <color rgb="FFFF0000"/>
      <name val="Calibri"/>
      <family val="2"/>
      <scheme val="minor"/>
    </font>
    <font>
      <b/>
      <sz val="12"/>
      <color theme="1"/>
      <name val="Calibri"/>
      <family val="2"/>
      <scheme val="minor"/>
    </font>
    <font>
      <b/>
      <u/>
      <sz val="16"/>
      <color theme="1"/>
      <name val="Calibri"/>
      <family val="2"/>
      <scheme val="minor"/>
    </font>
    <font>
      <u/>
      <sz val="11"/>
      <color theme="1"/>
      <name val="Calibri"/>
      <family val="2"/>
      <scheme val="minor"/>
    </font>
    <font>
      <sz val="11"/>
      <color theme="4" tint="0.39997558519241921"/>
      <name val="Calibri"/>
      <family val="2"/>
      <scheme val="minor"/>
    </font>
    <font>
      <sz val="10"/>
      <color theme="1"/>
      <name val="Arial"/>
      <family val="2"/>
    </font>
    <font>
      <sz val="11"/>
      <color rgb="FFF2F0D9"/>
      <name val="Calibri"/>
      <family val="2"/>
      <scheme val="minor"/>
    </font>
    <font>
      <b/>
      <u/>
      <sz val="14"/>
      <color theme="1"/>
      <name val="Calibri"/>
      <family val="2"/>
      <scheme val="minor"/>
    </font>
    <font>
      <b/>
      <sz val="11"/>
      <color rgb="FFF2F0D9"/>
      <name val="Calibri"/>
      <family val="2"/>
      <scheme val="minor"/>
    </font>
    <font>
      <b/>
      <sz val="10"/>
      <color theme="0"/>
      <name val="Arial"/>
      <family val="2"/>
    </font>
    <font>
      <b/>
      <sz val="11"/>
      <color rgb="FFFF0000"/>
      <name val="Calibri"/>
      <family val="2"/>
      <scheme val="minor"/>
    </font>
    <font>
      <sz val="11"/>
      <color theme="1"/>
      <name val="Abadi Extra Light"/>
      <family val="2"/>
      <charset val="1"/>
    </font>
    <font>
      <b/>
      <vertAlign val="superscript"/>
      <sz val="12"/>
      <color theme="0"/>
      <name val="Calibri"/>
      <family val="2"/>
      <scheme val="minor"/>
    </font>
    <font>
      <sz val="11"/>
      <color rgb="FFFFCCFF"/>
      <name val="Calibri"/>
      <family val="2"/>
      <scheme val="minor"/>
    </font>
    <font>
      <sz val="11"/>
      <color rgb="FFF2EAD9"/>
      <name val="Calibri"/>
      <family val="2"/>
      <scheme val="minor"/>
    </font>
    <font>
      <sz val="12"/>
      <color rgb="FFF2F0D9"/>
      <name val="Calibri"/>
      <family val="2"/>
      <scheme val="minor"/>
    </font>
    <font>
      <sz val="12"/>
      <name val="Segoe UI Symbol"/>
      <family val="2"/>
    </font>
    <font>
      <b/>
      <sz val="14"/>
      <color theme="9" tint="0.39997558519241921"/>
      <name val="Calibri"/>
      <family val="2"/>
      <scheme val="minor"/>
    </font>
    <font>
      <b/>
      <sz val="14"/>
      <color theme="0" tint="-0.249977111117893"/>
      <name val="Calibri"/>
      <family val="2"/>
      <scheme val="minor"/>
    </font>
    <font>
      <b/>
      <sz val="10"/>
      <color theme="0"/>
      <name val="Calibri"/>
      <family val="2"/>
      <scheme val="minor"/>
    </font>
    <font>
      <b/>
      <u/>
      <sz val="16"/>
      <name val="Calibri"/>
      <family val="2"/>
      <scheme val="minor"/>
    </font>
    <font>
      <b/>
      <sz val="14"/>
      <color theme="0"/>
      <name val="Calibri"/>
      <family val="2"/>
    </font>
    <font>
      <b/>
      <sz val="12"/>
      <color theme="0"/>
      <name val="Calibri"/>
      <family val="2"/>
    </font>
    <font>
      <sz val="11"/>
      <color rgb="FF000000"/>
      <name val="Calibri"/>
      <family val="2"/>
    </font>
    <font>
      <u/>
      <sz val="11"/>
      <color rgb="FF000000"/>
      <name val="Calibri"/>
      <family val="2"/>
    </font>
  </fonts>
  <fills count="3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2F0D9"/>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5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5E5C"/>
        <bgColor indexed="64"/>
      </patternFill>
    </fill>
    <fill>
      <patternFill patternType="solid">
        <fgColor rgb="FFFFDDFF"/>
        <bgColor indexed="64"/>
      </patternFill>
    </fill>
    <fill>
      <patternFill patternType="solid">
        <fgColor rgb="FFFFFF99"/>
        <bgColor indexed="64"/>
      </patternFill>
    </fill>
    <fill>
      <patternFill patternType="solid">
        <fgColor rgb="FFE2C4A6"/>
        <bgColor indexed="64"/>
      </patternFill>
    </fill>
    <fill>
      <patternFill patternType="solid">
        <fgColor rgb="FFC00000"/>
        <bgColor indexed="64"/>
      </patternFill>
    </fill>
    <fill>
      <patternFill patternType="solid">
        <fgColor rgb="FF305496"/>
        <bgColor indexed="64"/>
      </patternFill>
    </fill>
    <fill>
      <patternFill patternType="solid">
        <fgColor rgb="FFFFC000"/>
        <bgColor indexed="64"/>
      </patternFill>
    </fill>
    <fill>
      <patternFill patternType="solid">
        <fgColor rgb="FFF2F2F2"/>
        <bgColor indexed="64"/>
      </patternFill>
    </fill>
    <fill>
      <patternFill patternType="solid">
        <fgColor rgb="FF7B7B7B"/>
        <bgColor indexed="64"/>
      </patternFill>
    </fill>
    <fill>
      <patternFill patternType="solid">
        <fgColor rgb="FFBDD7EE"/>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249977111117893"/>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32">
    <xf numFmtId="0" fontId="0"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3" fillId="0" borderId="0"/>
    <xf numFmtId="0" fontId="7" fillId="0" borderId="0"/>
    <xf numFmtId="0" fontId="7" fillId="0" borderId="0"/>
    <xf numFmtId="0" fontId="1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3" fillId="0" borderId="0" applyFont="0" applyFill="0" applyBorder="0" applyAlignment="0" applyProtection="0"/>
  </cellStyleXfs>
  <cellXfs count="1062">
    <xf numFmtId="0" fontId="0" fillId="0" borderId="0" xfId="0"/>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center" vertical="center"/>
    </xf>
    <xf numFmtId="0" fontId="14" fillId="5" borderId="3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0" fillId="12" borderId="0" xfId="0" applyFill="1" applyAlignment="1">
      <alignment horizontal="center" wrapText="1"/>
    </xf>
    <xf numFmtId="0" fontId="20" fillId="5" borderId="11" xfId="0" applyFont="1" applyFill="1" applyBorder="1" applyAlignment="1">
      <alignment horizontal="center" vertical="center"/>
    </xf>
    <xf numFmtId="0" fontId="20" fillId="5" borderId="39" xfId="0" applyFont="1" applyFill="1" applyBorder="1" applyAlignment="1">
      <alignment horizontal="center" vertical="center"/>
    </xf>
    <xf numFmtId="0" fontId="20" fillId="5" borderId="25" xfId="0" applyFont="1" applyFill="1" applyBorder="1" applyAlignment="1">
      <alignment horizontal="center" vertical="center"/>
    </xf>
    <xf numFmtId="0" fontId="14" fillId="5" borderId="76" xfId="0" applyFont="1" applyFill="1" applyBorder="1" applyAlignment="1">
      <alignment horizontal="center" vertical="center" wrapText="1"/>
    </xf>
    <xf numFmtId="0" fontId="14" fillId="5" borderId="58" xfId="0" applyFont="1" applyFill="1" applyBorder="1" applyAlignment="1">
      <alignment horizontal="center" vertical="center" wrapText="1"/>
    </xf>
    <xf numFmtId="165" fontId="0" fillId="24" borderId="14" xfId="0" applyNumberFormat="1" applyFill="1" applyBorder="1" applyAlignment="1">
      <alignment horizontal="center" vertical="center" wrapText="1"/>
    </xf>
    <xf numFmtId="165" fontId="0" fillId="24" borderId="13" xfId="0" applyNumberFormat="1" applyFill="1" applyBorder="1" applyAlignment="1">
      <alignment horizontal="center" vertical="center" wrapText="1"/>
    </xf>
    <xf numFmtId="165" fontId="0" fillId="24" borderId="11" xfId="0" applyNumberFormat="1" applyFill="1" applyBorder="1" applyAlignment="1">
      <alignment horizontal="center" vertical="center" wrapText="1"/>
    </xf>
    <xf numFmtId="0" fontId="0" fillId="2" borderId="39" xfId="0" applyFill="1" applyBorder="1" applyAlignment="1">
      <alignment horizontal="center" vertical="center" wrapText="1"/>
    </xf>
    <xf numFmtId="0" fontId="0" fillId="2" borderId="25" xfId="0" applyFill="1" applyBorder="1" applyAlignment="1">
      <alignment horizontal="center" vertical="center" wrapText="1"/>
    </xf>
    <xf numFmtId="165" fontId="0" fillId="24" borderId="29" xfId="0" applyNumberFormat="1" applyFill="1" applyBorder="1" applyAlignment="1">
      <alignment horizontal="center" vertical="center" wrapText="1"/>
    </xf>
    <xf numFmtId="165" fontId="0" fillId="24" borderId="18" xfId="0" applyNumberFormat="1" applyFill="1" applyBorder="1" applyAlignment="1">
      <alignment horizontal="center" vertical="center" wrapText="1"/>
    </xf>
    <xf numFmtId="165" fontId="0" fillId="24" borderId="28" xfId="0" applyNumberForma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7"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 fillId="12" borderId="0" xfId="0" applyFont="1" applyFill="1" applyAlignment="1">
      <alignment horizontal="center" wrapText="1"/>
    </xf>
    <xf numFmtId="165" fontId="0" fillId="24" borderId="34" xfId="0" applyNumberFormat="1" applyFill="1" applyBorder="1" applyAlignment="1">
      <alignment horizontal="center" vertical="center" wrapText="1"/>
    </xf>
    <xf numFmtId="165" fontId="0" fillId="24" borderId="26" xfId="0" applyNumberFormat="1" applyFill="1" applyBorder="1" applyAlignment="1">
      <alignment horizontal="center" vertical="center" wrapText="1"/>
    </xf>
    <xf numFmtId="165" fontId="0" fillId="24" borderId="25" xfId="0" applyNumberForma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0" fillId="0" borderId="41"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12" fillId="5" borderId="14"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4" fillId="7" borderId="9" xfId="0" applyFont="1" applyFill="1" applyBorder="1" applyAlignment="1">
      <alignment horizontal="center" vertical="center"/>
    </xf>
    <xf numFmtId="165" fontId="0" fillId="24" borderId="19" xfId="0" applyNumberFormat="1" applyFill="1" applyBorder="1" applyAlignment="1">
      <alignment horizontal="center" vertical="center" wrapText="1"/>
    </xf>
    <xf numFmtId="0" fontId="14" fillId="5" borderId="57"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2" fillId="5" borderId="10" xfId="0" applyFont="1" applyFill="1" applyBorder="1" applyAlignment="1">
      <alignment horizontal="center" vertical="center" wrapText="1"/>
    </xf>
    <xf numFmtId="165" fontId="0" fillId="24" borderId="1" xfId="0" applyNumberFormat="1" applyFill="1" applyBorder="1" applyAlignment="1">
      <alignment horizontal="center" vertical="center" wrapText="1"/>
    </xf>
    <xf numFmtId="165" fontId="0" fillId="24" borderId="24" xfId="0" applyNumberForma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1" xfId="0" applyFill="1" applyBorder="1" applyAlignment="1">
      <alignment horizontal="center" vertical="center" wrapText="1"/>
    </xf>
    <xf numFmtId="0" fontId="0" fillId="7" borderId="2" xfId="0" applyFill="1" applyBorder="1" applyAlignment="1" applyProtection="1">
      <alignment horizontal="center" vertical="center" wrapText="1"/>
      <protection locked="0"/>
    </xf>
    <xf numFmtId="0" fontId="4" fillId="7" borderId="3" xfId="0" applyFont="1" applyFill="1" applyBorder="1" applyAlignment="1">
      <alignment horizontal="center" vertical="center"/>
    </xf>
    <xf numFmtId="0" fontId="0" fillId="2" borderId="18"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17" xfId="0"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14" fillId="5" borderId="18"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5" borderId="26"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20" fillId="22" borderId="14" xfId="0" applyFont="1" applyFill="1" applyBorder="1" applyAlignment="1">
      <alignment horizontal="center"/>
    </xf>
    <xf numFmtId="0" fontId="20" fillId="22" borderId="26" xfId="0" applyFont="1" applyFill="1" applyBorder="1" applyAlignment="1">
      <alignment horizontal="center"/>
    </xf>
    <xf numFmtId="0" fontId="10" fillId="3" borderId="0" xfId="0" applyFont="1" applyFill="1" applyAlignment="1">
      <alignment horizontal="center" vertical="center" textRotation="90"/>
    </xf>
    <xf numFmtId="0" fontId="17" fillId="0" borderId="55" xfId="0" applyFont="1" applyBorder="1" applyAlignment="1" applyProtection="1">
      <alignment horizontal="center" vertical="center" wrapText="1"/>
      <protection locked="0"/>
    </xf>
    <xf numFmtId="0" fontId="17" fillId="0" borderId="61" xfId="0" applyFont="1" applyBorder="1" applyAlignment="1" applyProtection="1">
      <alignment horizontal="center" vertical="center" wrapText="1"/>
      <protection locked="0"/>
    </xf>
    <xf numFmtId="0" fontId="5" fillId="12" borderId="0" xfId="0" applyFont="1" applyFill="1" applyAlignment="1">
      <alignment horizontal="center" vertical="center" wrapText="1"/>
    </xf>
    <xf numFmtId="0" fontId="5" fillId="12" borderId="0" xfId="0" applyFont="1" applyFill="1" applyAlignment="1">
      <alignment horizontal="center" vertical="center"/>
    </xf>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0" borderId="16" xfId="0" applyBorder="1" applyAlignment="1" applyProtection="1">
      <alignment horizontal="center" vertical="center" wrapText="1"/>
      <protection locked="0"/>
    </xf>
    <xf numFmtId="0" fontId="0" fillId="4" borderId="16" xfId="0" applyFill="1" applyBorder="1" applyAlignment="1" applyProtection="1">
      <alignment horizontal="left" vertical="top" wrapText="1"/>
      <protection locked="0"/>
    </xf>
    <xf numFmtId="0" fontId="0" fillId="0" borderId="18" xfId="0" applyBorder="1" applyAlignment="1">
      <alignment horizontal="center" vertical="center" wrapText="1"/>
    </xf>
    <xf numFmtId="165" fontId="0" fillId="0" borderId="18" xfId="0" applyNumberFormat="1" applyBorder="1" applyAlignment="1">
      <alignment horizontal="center" vertical="center"/>
    </xf>
    <xf numFmtId="0" fontId="0" fillId="3" borderId="0" xfId="0" applyFill="1"/>
    <xf numFmtId="0" fontId="0" fillId="0" borderId="29"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17" fontId="0" fillId="0" borderId="18" xfId="0" applyNumberFormat="1" applyBorder="1" applyAlignment="1">
      <alignment horizontal="center" vertical="center" wrapText="1"/>
    </xf>
    <xf numFmtId="0" fontId="0" fillId="0" borderId="18" xfId="0" applyBorder="1"/>
    <xf numFmtId="0" fontId="0" fillId="0" borderId="0" xfId="0" applyAlignment="1">
      <alignment horizontal="center" vertical="center"/>
    </xf>
    <xf numFmtId="0" fontId="0" fillId="0" borderId="18" xfId="0" applyBorder="1" applyAlignment="1">
      <alignment wrapText="1"/>
    </xf>
    <xf numFmtId="0" fontId="0" fillId="0" borderId="0" xfId="0" applyAlignment="1">
      <alignment horizontal="center" vertical="center" wrapText="1"/>
    </xf>
    <xf numFmtId="0" fontId="0" fillId="0" borderId="18" xfId="0" applyBorder="1" applyAlignment="1">
      <alignment horizontal="center" vertical="top" wrapText="1"/>
    </xf>
    <xf numFmtId="0" fontId="0" fillId="0" borderId="15" xfId="0" applyBorder="1" applyAlignment="1" applyProtection="1">
      <alignment horizontal="center" vertical="center" wrapText="1"/>
      <protection locked="0"/>
    </xf>
    <xf numFmtId="0" fontId="4" fillId="0" borderId="18" xfId="0" applyFont="1" applyBorder="1" applyAlignment="1">
      <alignment horizontal="center" vertical="center"/>
    </xf>
    <xf numFmtId="164" fontId="4" fillId="0" borderId="18" xfId="0" applyNumberFormat="1" applyFont="1" applyBorder="1" applyAlignment="1">
      <alignment horizontal="center" vertical="center"/>
    </xf>
    <xf numFmtId="0" fontId="0" fillId="12" borderId="0" xfId="0" applyFill="1"/>
    <xf numFmtId="0" fontId="1" fillId="12" borderId="0" xfId="0" applyFont="1" applyFill="1"/>
    <xf numFmtId="0" fontId="17" fillId="12" borderId="0" xfId="0" applyFont="1" applyFill="1"/>
    <xf numFmtId="2" fontId="0" fillId="12" borderId="0" xfId="0" applyNumberFormat="1" applyFill="1" applyAlignment="1">
      <alignment vertical="center"/>
    </xf>
    <xf numFmtId="0" fontId="0" fillId="12" borderId="0" xfId="0" applyFill="1" applyAlignment="1">
      <alignment vertical="center"/>
    </xf>
    <xf numFmtId="0" fontId="0" fillId="12" borderId="0" xfId="0" applyFill="1" applyAlignment="1">
      <alignment wrapText="1"/>
    </xf>
    <xf numFmtId="0" fontId="20" fillId="5" borderId="11"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12" borderId="0" xfId="0" applyFont="1" applyFill="1" applyAlignment="1">
      <alignment vertical="center"/>
    </xf>
    <xf numFmtId="0" fontId="20" fillId="5" borderId="28" xfId="0" applyFont="1" applyFill="1" applyBorder="1" applyAlignment="1">
      <alignment horizontal="center" vertical="center" wrapText="1"/>
    </xf>
    <xf numFmtId="0" fontId="5" fillId="12" borderId="0" xfId="0" applyFont="1" applyFill="1" applyAlignment="1">
      <alignment horizontal="left" vertical="center"/>
    </xf>
    <xf numFmtId="0" fontId="0" fillId="12" borderId="0" xfId="0" applyFill="1" applyAlignment="1">
      <alignment horizontal="center" vertical="center"/>
    </xf>
    <xf numFmtId="0" fontId="0" fillId="12" borderId="0" xfId="0" applyFill="1" applyAlignment="1">
      <alignment horizontal="center" vertical="center" wrapText="1"/>
    </xf>
    <xf numFmtId="0" fontId="14" fillId="5" borderId="18" xfId="0" applyFont="1" applyFill="1" applyBorder="1" applyAlignment="1">
      <alignment horizontal="center" vertical="center"/>
    </xf>
    <xf numFmtId="2" fontId="11" fillId="7" borderId="39" xfId="0" applyNumberFormat="1" applyFont="1" applyFill="1" applyBorder="1" applyAlignment="1">
      <alignment vertical="center" wrapText="1"/>
    </xf>
    <xf numFmtId="0" fontId="24" fillId="12" borderId="0" xfId="0" applyFont="1" applyFill="1" applyAlignment="1">
      <alignment vertical="center" wrapText="1"/>
    </xf>
    <xf numFmtId="0" fontId="24" fillId="12" borderId="0" xfId="0" applyFont="1" applyFill="1" applyAlignment="1">
      <alignment vertical="center"/>
    </xf>
    <xf numFmtId="0" fontId="6" fillId="12" borderId="0" xfId="0" applyFont="1" applyFill="1" applyAlignment="1">
      <alignment vertical="center"/>
    </xf>
    <xf numFmtId="0" fontId="0" fillId="0" borderId="0" xfId="0" applyAlignment="1">
      <alignment vertical="center"/>
    </xf>
    <xf numFmtId="0" fontId="34" fillId="12" borderId="0" xfId="0" applyFont="1" applyFill="1" applyAlignment="1">
      <alignment vertical="center"/>
    </xf>
    <xf numFmtId="0" fontId="34" fillId="12" borderId="0" xfId="0" applyFont="1" applyFill="1"/>
    <xf numFmtId="0" fontId="0" fillId="15" borderId="0" xfId="0" applyFill="1"/>
    <xf numFmtId="0" fontId="35" fillId="12" borderId="0" xfId="0" applyFont="1" applyFill="1"/>
    <xf numFmtId="0" fontId="36" fillId="12" borderId="0" xfId="0" applyFont="1" applyFill="1"/>
    <xf numFmtId="0" fontId="0" fillId="0" borderId="28" xfId="0" applyBorder="1" applyAlignment="1" applyProtection="1">
      <alignment horizontal="center" vertical="center" wrapText="1"/>
      <protection locked="0"/>
    </xf>
    <xf numFmtId="0" fontId="2" fillId="9" borderId="18"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0" fillId="0" borderId="41" xfId="0" applyBorder="1"/>
    <xf numFmtId="0" fontId="14" fillId="5" borderId="17" xfId="0" applyFont="1" applyFill="1" applyBorder="1" applyAlignment="1">
      <alignment horizontal="center" vertical="center"/>
    </xf>
    <xf numFmtId="0" fontId="0" fillId="0" borderId="64" xfId="0" applyBorder="1"/>
    <xf numFmtId="0" fontId="0" fillId="4" borderId="23"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0" borderId="3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20" fillId="5" borderId="5" xfId="0" applyFont="1" applyFill="1" applyBorder="1" applyAlignment="1">
      <alignment horizontal="center"/>
    </xf>
    <xf numFmtId="0" fontId="32" fillId="12" borderId="0" xfId="0" applyFont="1" applyFill="1" applyAlignment="1">
      <alignment vertical="center" wrapText="1"/>
    </xf>
    <xf numFmtId="0" fontId="20" fillId="5" borderId="47" xfId="0" applyFont="1" applyFill="1" applyBorder="1" applyAlignment="1">
      <alignment horizontal="center"/>
    </xf>
    <xf numFmtId="0" fontId="12" fillId="5" borderId="28" xfId="0" applyFont="1" applyFill="1" applyBorder="1" applyAlignment="1">
      <alignment horizontal="center" vertical="center" wrapText="1"/>
    </xf>
    <xf numFmtId="0" fontId="32" fillId="12" borderId="0" xfId="0" applyFont="1" applyFill="1" applyAlignment="1">
      <alignment horizontal="center" vertical="center" wrapText="1"/>
    </xf>
    <xf numFmtId="0" fontId="12" fillId="5" borderId="11" xfId="0" applyFont="1" applyFill="1" applyBorder="1" applyAlignment="1">
      <alignment horizontal="center" vertical="center" wrapText="1"/>
    </xf>
    <xf numFmtId="0" fontId="26" fillId="12" borderId="0" xfId="0" applyFont="1" applyFill="1" applyAlignment="1">
      <alignment horizontal="center" vertical="center" wrapText="1"/>
    </xf>
    <xf numFmtId="0" fontId="2" fillId="12" borderId="0" xfId="0" applyFont="1" applyFill="1"/>
    <xf numFmtId="0" fontId="1" fillId="12" borderId="0" xfId="0" applyFont="1" applyFill="1" applyAlignment="1">
      <alignment wrapText="1"/>
    </xf>
    <xf numFmtId="0" fontId="0" fillId="2" borderId="29" xfId="0" applyFill="1" applyBorder="1" applyAlignment="1">
      <alignment horizontal="center" vertical="center" wrapText="1"/>
    </xf>
    <xf numFmtId="2" fontId="0" fillId="2" borderId="29" xfId="0" applyNumberFormat="1" applyFill="1" applyBorder="1" applyAlignment="1">
      <alignment horizontal="center" vertical="center" wrapText="1"/>
    </xf>
    <xf numFmtId="0" fontId="0" fillId="7" borderId="8" xfId="0" applyFill="1" applyBorder="1" applyAlignment="1">
      <alignment horizontal="center" vertical="center" wrapText="1"/>
    </xf>
    <xf numFmtId="0" fontId="0" fillId="2" borderId="14" xfId="0" applyFill="1" applyBorder="1" applyAlignment="1">
      <alignment horizontal="center" vertical="center" wrapText="1"/>
    </xf>
    <xf numFmtId="2" fontId="0" fillId="2" borderId="13" xfId="0" applyNumberFormat="1" applyFill="1" applyBorder="1" applyAlignment="1">
      <alignment horizontal="center" vertical="center" wrapText="1"/>
    </xf>
    <xf numFmtId="2" fontId="0" fillId="2" borderId="14" xfId="0" applyNumberFormat="1" applyFill="1" applyBorder="1" applyAlignment="1">
      <alignment horizontal="center" vertical="center" wrapText="1"/>
    </xf>
    <xf numFmtId="0" fontId="4" fillId="18" borderId="46" xfId="0" applyFont="1" applyFill="1" applyBorder="1" applyAlignment="1">
      <alignment horizontal="center" vertical="center"/>
    </xf>
    <xf numFmtId="1" fontId="0" fillId="12" borderId="0" xfId="0" applyNumberFormat="1" applyFill="1"/>
    <xf numFmtId="164" fontId="0" fillId="2" borderId="29" xfId="0" applyNumberFormat="1" applyFill="1" applyBorder="1" applyAlignment="1">
      <alignment horizontal="center" vertical="center" wrapText="1"/>
    </xf>
    <xf numFmtId="164" fontId="0" fillId="2" borderId="14" xfId="0" applyNumberFormat="1" applyFill="1" applyBorder="1" applyAlignment="1">
      <alignment horizontal="center"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164" fontId="0" fillId="2" borderId="19" xfId="0" applyNumberFormat="1" applyFill="1" applyBorder="1" applyAlignment="1">
      <alignment horizontal="center" vertical="center" wrapText="1"/>
    </xf>
    <xf numFmtId="0" fontId="0" fillId="7" borderId="28" xfId="0" applyFill="1" applyBorder="1" applyAlignment="1">
      <alignment horizontal="center" vertical="center" wrapText="1"/>
    </xf>
    <xf numFmtId="0" fontId="20" fillId="5" borderId="26" xfId="0" applyFont="1" applyFill="1" applyBorder="1" applyAlignment="1">
      <alignment horizontal="center" vertical="center" wrapText="1"/>
    </xf>
    <xf numFmtId="0" fontId="23" fillId="7" borderId="18" xfId="0" applyFont="1" applyFill="1" applyBorder="1" applyAlignment="1">
      <alignment horizontal="center" vertical="center" wrapText="1"/>
    </xf>
    <xf numFmtId="165" fontId="23" fillId="7" borderId="18" xfId="0" applyNumberFormat="1" applyFont="1" applyFill="1" applyBorder="1" applyAlignment="1">
      <alignment horizontal="center" vertical="center" wrapText="1"/>
    </xf>
    <xf numFmtId="165" fontId="23" fillId="7" borderId="29" xfId="0" applyNumberFormat="1" applyFont="1" applyFill="1" applyBorder="1" applyAlignment="1">
      <alignment horizontal="center" vertical="center" wrapText="1"/>
    </xf>
    <xf numFmtId="0" fontId="23" fillId="7" borderId="18" xfId="0" applyFont="1" applyFill="1" applyBorder="1" applyAlignment="1">
      <alignment horizontal="center" vertical="center"/>
    </xf>
    <xf numFmtId="165" fontId="23" fillId="7" borderId="29" xfId="0" applyNumberFormat="1" applyFont="1" applyFill="1" applyBorder="1" applyAlignment="1">
      <alignment horizontal="center" wrapText="1"/>
    </xf>
    <xf numFmtId="0" fontId="20" fillId="5" borderId="51" xfId="0" applyFont="1" applyFill="1" applyBorder="1" applyAlignment="1">
      <alignment horizontal="center" vertical="center" wrapText="1"/>
    </xf>
    <xf numFmtId="0" fontId="20" fillId="5" borderId="52" xfId="0" applyFont="1" applyFill="1" applyBorder="1" applyAlignment="1">
      <alignment horizontal="center" vertical="center" wrapText="1"/>
    </xf>
    <xf numFmtId="0" fontId="17" fillId="12" borderId="0" xfId="0" applyFont="1" applyFill="1" applyAlignment="1">
      <alignment vertical="center" wrapText="1"/>
    </xf>
    <xf numFmtId="0" fontId="5" fillId="11" borderId="18" xfId="0" applyFont="1" applyFill="1" applyBorder="1" applyAlignment="1">
      <alignment horizontal="center"/>
    </xf>
    <xf numFmtId="0" fontId="2" fillId="11" borderId="18" xfId="0" applyFont="1" applyFill="1" applyBorder="1" applyAlignment="1">
      <alignment horizontal="center" vertical="center" wrapText="1"/>
    </xf>
    <xf numFmtId="0" fontId="37" fillId="0" borderId="64" xfId="0" applyFont="1" applyBorder="1" applyAlignment="1">
      <alignment wrapText="1"/>
    </xf>
    <xf numFmtId="0" fontId="1" fillId="12" borderId="0" xfId="0" applyFont="1" applyFill="1" applyAlignment="1">
      <alignment vertical="center" wrapText="1"/>
    </xf>
    <xf numFmtId="164" fontId="0" fillId="2" borderId="17" xfId="0" applyNumberFormat="1" applyFill="1" applyBorder="1" applyAlignment="1">
      <alignment horizontal="center" vertical="center" wrapText="1"/>
    </xf>
    <xf numFmtId="0" fontId="4" fillId="0" borderId="77" xfId="0" applyFont="1" applyBorder="1" applyAlignment="1" applyProtection="1">
      <alignment horizontal="center" vertical="center" wrapText="1"/>
      <protection locked="0"/>
    </xf>
    <xf numFmtId="0" fontId="4" fillId="18" borderId="36"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7" borderId="11" xfId="0" applyFill="1" applyBorder="1" applyAlignment="1">
      <alignment horizontal="center" vertical="center" wrapText="1"/>
    </xf>
    <xf numFmtId="0" fontId="4" fillId="18" borderId="6" xfId="0" applyFont="1" applyFill="1" applyBorder="1" applyAlignment="1">
      <alignment horizontal="center" vertical="center"/>
    </xf>
    <xf numFmtId="0" fontId="0" fillId="0" borderId="26" xfId="0" applyBorder="1" applyAlignment="1" applyProtection="1">
      <alignment horizontal="center" vertical="center" wrapText="1"/>
      <protection locked="0"/>
    </xf>
    <xf numFmtId="0" fontId="0" fillId="4" borderId="67"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8" fillId="12" borderId="0" xfId="0" applyFont="1" applyFill="1" applyAlignment="1">
      <alignment horizontal="left"/>
    </xf>
    <xf numFmtId="0" fontId="0" fillId="12" borderId="0" xfId="0" applyFill="1" applyAlignment="1">
      <alignment horizontal="center"/>
    </xf>
    <xf numFmtId="0" fontId="21" fillId="5" borderId="5" xfId="0" applyFont="1" applyFill="1" applyBorder="1" applyAlignment="1">
      <alignment horizontal="center" vertical="center" wrapText="1"/>
    </xf>
    <xf numFmtId="0" fontId="21" fillId="5" borderId="45" xfId="0" applyFont="1" applyFill="1" applyBorder="1" applyAlignment="1">
      <alignment horizontal="center" vertical="center" wrapText="1"/>
    </xf>
    <xf numFmtId="0" fontId="21" fillId="5" borderId="47" xfId="0" applyFont="1" applyFill="1" applyBorder="1" applyAlignment="1">
      <alignment horizontal="center" vertical="center" wrapText="1"/>
    </xf>
    <xf numFmtId="0" fontId="17" fillId="0" borderId="39"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1" fontId="0" fillId="0" borderId="20" xfId="0" applyNumberFormat="1" applyBorder="1" applyAlignment="1" applyProtection="1">
      <alignment horizontal="center" vertical="center" wrapText="1"/>
      <protection locked="0"/>
    </xf>
    <xf numFmtId="164" fontId="23" fillId="7" borderId="18" xfId="0" applyNumberFormat="1" applyFont="1" applyFill="1" applyBorder="1" applyAlignment="1">
      <alignment horizontal="center" vertical="center" wrapText="1"/>
    </xf>
    <xf numFmtId="0" fontId="38" fillId="12" borderId="0" xfId="0" applyFont="1" applyFill="1"/>
    <xf numFmtId="166" fontId="38" fillId="12" borderId="0" xfId="0" applyNumberFormat="1" applyFont="1" applyFill="1"/>
    <xf numFmtId="0" fontId="1" fillId="12" borderId="0" xfId="0" applyFont="1" applyFill="1" applyAlignment="1">
      <alignment vertical="center"/>
    </xf>
    <xf numFmtId="0" fontId="20" fillId="5" borderId="8" xfId="0" applyFont="1" applyFill="1" applyBorder="1" applyAlignment="1">
      <alignment horizontal="center" vertical="center" wrapText="1"/>
    </xf>
    <xf numFmtId="14" fontId="17" fillId="0" borderId="18" xfId="0" applyNumberFormat="1" applyFont="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5" fillId="12" borderId="0" xfId="0" applyFont="1" applyFill="1"/>
    <xf numFmtId="0" fontId="0" fillId="18" borderId="28" xfId="0" applyFill="1" applyBorder="1" applyAlignment="1">
      <alignment horizontal="center" vertical="center" wrapText="1"/>
    </xf>
    <xf numFmtId="0" fontId="0" fillId="18" borderId="11" xfId="0" applyFill="1" applyBorder="1" applyAlignment="1">
      <alignment horizontal="center" vertical="center" wrapText="1"/>
    </xf>
    <xf numFmtId="0" fontId="12" fillId="5" borderId="1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40" xfId="0" applyFill="1" applyBorder="1" applyAlignment="1">
      <alignment horizontal="center" vertical="center" wrapText="1"/>
    </xf>
    <xf numFmtId="164" fontId="0" fillId="2" borderId="9" xfId="0" applyNumberFormat="1" applyFill="1" applyBorder="1" applyAlignment="1">
      <alignment horizontal="center" vertical="center" wrapText="1"/>
    </xf>
    <xf numFmtId="0" fontId="14" fillId="5" borderId="7"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0" fillId="7" borderId="13" xfId="0" applyFill="1" applyBorder="1" applyAlignment="1">
      <alignment horizontal="center" vertical="center" wrapText="1"/>
    </xf>
    <xf numFmtId="0" fontId="20" fillId="5" borderId="78" xfId="0" applyFont="1" applyFill="1" applyBorder="1" applyAlignment="1">
      <alignment vertical="center"/>
    </xf>
    <xf numFmtId="0" fontId="20" fillId="5" borderId="51" xfId="0" applyFont="1" applyFill="1" applyBorder="1" applyAlignment="1">
      <alignment horizontal="center" vertical="center"/>
    </xf>
    <xf numFmtId="0" fontId="20" fillId="5" borderId="52" xfId="0" applyFont="1" applyFill="1" applyBorder="1" applyAlignment="1">
      <alignment horizontal="center" vertical="center"/>
    </xf>
    <xf numFmtId="0" fontId="0" fillId="7" borderId="54"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12" borderId="0" xfId="0" applyFill="1" applyAlignment="1">
      <alignment horizontal="left"/>
    </xf>
    <xf numFmtId="0" fontId="0" fillId="7" borderId="20" xfId="0" applyFill="1" applyBorder="1" applyAlignment="1">
      <alignment horizontal="center" vertical="center" wrapText="1"/>
    </xf>
    <xf numFmtId="0" fontId="0" fillId="7" borderId="19" xfId="0" applyFill="1" applyBorder="1" applyAlignment="1">
      <alignment horizontal="center" vertical="center" wrapText="1"/>
    </xf>
    <xf numFmtId="0" fontId="0" fillId="18" borderId="20" xfId="0" applyFill="1" applyBorder="1" applyAlignment="1">
      <alignment horizontal="center" vertical="center" wrapText="1"/>
    </xf>
    <xf numFmtId="0" fontId="0" fillId="0" borderId="23" xfId="0" applyBorder="1" applyAlignment="1" applyProtection="1">
      <alignment horizontal="center" vertical="center" wrapText="1"/>
      <protection locked="0"/>
    </xf>
    <xf numFmtId="0" fontId="14" fillId="5" borderId="34" xfId="0" applyFont="1" applyFill="1" applyBorder="1" applyAlignment="1">
      <alignment horizontal="center" vertical="center"/>
    </xf>
    <xf numFmtId="0" fontId="20" fillId="5" borderId="39" xfId="0" applyFont="1" applyFill="1" applyBorder="1" applyAlignment="1">
      <alignment horizontal="center" vertical="center" wrapText="1"/>
    </xf>
    <xf numFmtId="1" fontId="0" fillId="0" borderId="28" xfId="0" applyNumberFormat="1" applyBorder="1" applyAlignment="1" applyProtection="1">
      <alignment horizontal="center" vertical="center" wrapText="1"/>
      <protection locked="0"/>
    </xf>
    <xf numFmtId="0" fontId="23" fillId="7" borderId="13" xfId="0" applyFont="1" applyFill="1" applyBorder="1" applyAlignment="1">
      <alignment horizontal="center" vertical="center"/>
    </xf>
    <xf numFmtId="165" fontId="23" fillId="7" borderId="13" xfId="0" applyNumberFormat="1" applyFont="1" applyFill="1" applyBorder="1" applyAlignment="1">
      <alignment horizontal="center" vertical="center" wrapText="1"/>
    </xf>
    <xf numFmtId="0" fontId="0" fillId="19" borderId="2" xfId="0" applyFill="1" applyBorder="1"/>
    <xf numFmtId="0" fontId="0" fillId="0" borderId="67" xfId="0" applyBorder="1" applyAlignment="1" applyProtection="1">
      <alignment horizontal="center" vertical="center" wrapText="1"/>
      <protection locked="0"/>
    </xf>
    <xf numFmtId="0" fontId="0" fillId="19" borderId="2" xfId="0" applyFill="1" applyBorder="1" applyAlignment="1">
      <alignment vertical="center" wrapText="1"/>
    </xf>
    <xf numFmtId="0" fontId="40" fillId="12" borderId="0" xfId="0" applyFont="1" applyFill="1" applyAlignment="1">
      <alignment horizontal="center" vertical="center"/>
    </xf>
    <xf numFmtId="0" fontId="0" fillId="0" borderId="24" xfId="0" applyBorder="1" applyAlignment="1">
      <alignment horizontal="center" vertical="center"/>
    </xf>
    <xf numFmtId="0" fontId="2" fillId="10" borderId="11"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9"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49" xfId="0" applyBorder="1" applyAlignment="1">
      <alignment horizontal="center" vertical="center" wrapText="1"/>
    </xf>
    <xf numFmtId="0" fontId="41" fillId="5" borderId="18" xfId="0" applyFont="1" applyFill="1" applyBorder="1" applyAlignment="1">
      <alignment horizontal="center" vertical="center" wrapText="1"/>
    </xf>
    <xf numFmtId="0" fontId="28" fillId="5" borderId="18" xfId="0" applyFont="1" applyFill="1" applyBorder="1" applyAlignment="1">
      <alignment horizontal="center"/>
    </xf>
    <xf numFmtId="0" fontId="0" fillId="0" borderId="56" xfId="0" applyBorder="1" applyAlignment="1">
      <alignment horizontal="center" vertical="center"/>
    </xf>
    <xf numFmtId="0" fontId="0" fillId="0" borderId="39" xfId="0" applyBorder="1" applyAlignment="1">
      <alignment horizontal="center" vertical="center" wrapText="1"/>
    </xf>
    <xf numFmtId="0" fontId="0" fillId="17" borderId="26" xfId="0" applyFill="1" applyBorder="1" applyAlignment="1">
      <alignment horizontal="center" vertical="center"/>
    </xf>
    <xf numFmtId="0" fontId="0" fillId="17" borderId="29" xfId="0" applyFill="1" applyBorder="1" applyAlignment="1">
      <alignment horizontal="center" vertical="center"/>
    </xf>
    <xf numFmtId="0" fontId="0" fillId="0" borderId="13" xfId="0" applyBorder="1" applyAlignment="1">
      <alignment horizontal="center" vertical="center" wrapText="1"/>
    </xf>
    <xf numFmtId="0" fontId="0" fillId="17" borderId="14" xfId="0" applyFill="1" applyBorder="1" applyAlignment="1">
      <alignment horizontal="center" vertical="center"/>
    </xf>
    <xf numFmtId="0" fontId="0" fillId="11" borderId="26" xfId="0" applyFill="1" applyBorder="1" applyAlignment="1">
      <alignment horizontal="center" vertical="center"/>
    </xf>
    <xf numFmtId="0" fontId="0" fillId="11" borderId="29" xfId="0" applyFill="1" applyBorder="1" applyAlignment="1">
      <alignment horizontal="center" vertical="center"/>
    </xf>
    <xf numFmtId="0" fontId="0" fillId="11" borderId="14" xfId="0" applyFill="1" applyBorder="1" applyAlignment="1">
      <alignment horizontal="center" vertical="center"/>
    </xf>
    <xf numFmtId="0" fontId="0" fillId="3" borderId="29" xfId="0" applyFill="1"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wrapText="1"/>
    </xf>
    <xf numFmtId="0" fontId="0" fillId="11" borderId="9" xfId="0" applyFill="1" applyBorder="1" applyAlignment="1">
      <alignment horizontal="center" vertical="center"/>
    </xf>
    <xf numFmtId="0" fontId="0" fillId="3" borderId="14" xfId="0" applyFill="1" applyBorder="1" applyAlignment="1">
      <alignment horizontal="center" vertical="center"/>
    </xf>
    <xf numFmtId="0" fontId="2" fillId="2" borderId="7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xf>
    <xf numFmtId="0" fontId="0" fillId="0" borderId="53" xfId="0" applyBorder="1" applyAlignment="1">
      <alignment horizontal="center" vertical="center"/>
    </xf>
    <xf numFmtId="0" fontId="0" fillId="4" borderId="2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0" fillId="22" borderId="9" xfId="0" applyFont="1" applyFill="1" applyBorder="1" applyAlignment="1">
      <alignment horizontal="center" vertical="center"/>
    </xf>
    <xf numFmtId="0" fontId="12" fillId="22" borderId="21" xfId="0" applyFont="1" applyFill="1" applyBorder="1" applyAlignment="1">
      <alignment horizontal="center" vertical="center" wrapText="1"/>
    </xf>
    <xf numFmtId="0" fontId="12" fillId="22" borderId="45" xfId="0" applyFont="1" applyFill="1" applyBorder="1" applyAlignment="1">
      <alignment horizontal="center" vertical="center" wrapText="1"/>
    </xf>
    <xf numFmtId="0" fontId="12" fillId="22" borderId="47" xfId="0" applyFont="1" applyFill="1" applyBorder="1" applyAlignment="1">
      <alignment horizontal="center" vertical="center" wrapText="1"/>
    </xf>
    <xf numFmtId="0" fontId="12" fillId="22" borderId="59" xfId="0" applyFont="1" applyFill="1" applyBorder="1" applyAlignment="1">
      <alignment horizontal="center" vertical="center" wrapText="1"/>
    </xf>
    <xf numFmtId="0" fontId="12" fillId="22" borderId="1" xfId="0" applyFont="1" applyFill="1" applyBorder="1" applyAlignment="1">
      <alignment horizontal="center" vertical="center" wrapText="1"/>
    </xf>
    <xf numFmtId="0" fontId="14" fillId="22" borderId="10" xfId="0" applyFont="1" applyFill="1" applyBorder="1" applyAlignment="1">
      <alignment horizontal="center" vertical="center" wrapText="1"/>
    </xf>
    <xf numFmtId="0" fontId="14" fillId="22" borderId="7" xfId="0" applyFont="1" applyFill="1" applyBorder="1" applyAlignment="1">
      <alignment horizontal="center" vertical="center" wrapText="1"/>
    </xf>
    <xf numFmtId="0" fontId="12" fillId="22" borderId="5" xfId="0" applyFont="1" applyFill="1" applyBorder="1" applyAlignment="1">
      <alignment horizontal="center" vertical="center" wrapText="1"/>
    </xf>
    <xf numFmtId="0" fontId="14" fillId="22" borderId="4" xfId="0" applyFont="1" applyFill="1" applyBorder="1" applyAlignment="1">
      <alignment horizontal="center" vertical="center" wrapText="1"/>
    </xf>
    <xf numFmtId="0" fontId="14" fillId="22" borderId="11" xfId="0" applyFont="1" applyFill="1" applyBorder="1" applyAlignment="1">
      <alignment horizontal="center" vertical="center" wrapText="1"/>
    </xf>
    <xf numFmtId="0" fontId="21" fillId="22" borderId="39" xfId="0" applyFont="1" applyFill="1" applyBorder="1" applyAlignment="1">
      <alignment horizontal="center" vertical="center" wrapText="1"/>
    </xf>
    <xf numFmtId="0" fontId="21" fillId="22" borderId="18" xfId="0" applyFont="1" applyFill="1" applyBorder="1" applyAlignment="1">
      <alignment horizontal="center" vertical="center" wrapText="1"/>
    </xf>
    <xf numFmtId="0" fontId="21" fillId="22" borderId="13" xfId="0" applyFont="1" applyFill="1" applyBorder="1" applyAlignment="1">
      <alignment horizontal="center" vertical="center" wrapText="1"/>
    </xf>
    <xf numFmtId="0" fontId="2" fillId="23" borderId="18" xfId="0" applyFont="1" applyFill="1" applyBorder="1" applyAlignment="1">
      <alignment horizontal="center" vertical="center" wrapText="1"/>
    </xf>
    <xf numFmtId="165" fontId="11" fillId="24" borderId="29" xfId="0" applyNumberFormat="1" applyFont="1" applyFill="1" applyBorder="1" applyAlignment="1">
      <alignment horizontal="center" vertical="center" wrapText="1"/>
    </xf>
    <xf numFmtId="165" fontId="11" fillId="24" borderId="14" xfId="0" applyNumberFormat="1" applyFont="1" applyFill="1" applyBorder="1" applyAlignment="1">
      <alignment horizontal="center" vertical="center" wrapText="1"/>
    </xf>
    <xf numFmtId="165" fontId="0" fillId="24" borderId="72" xfId="0" applyNumberFormat="1" applyFill="1" applyBorder="1" applyAlignment="1">
      <alignment horizontal="center" vertical="center" wrapText="1"/>
    </xf>
    <xf numFmtId="165" fontId="0" fillId="24" borderId="71" xfId="0" applyNumberFormat="1" applyFill="1" applyBorder="1" applyAlignment="1">
      <alignment horizontal="center" vertical="center" wrapText="1"/>
    </xf>
    <xf numFmtId="0" fontId="14" fillId="22" borderId="25" xfId="0" applyFont="1" applyFill="1" applyBorder="1" applyAlignment="1">
      <alignment horizontal="center" vertical="center" wrapText="1"/>
    </xf>
    <xf numFmtId="0" fontId="14" fillId="22" borderId="28" xfId="0" applyFont="1" applyFill="1" applyBorder="1" applyAlignment="1">
      <alignment horizontal="center" vertical="center" wrapText="1"/>
    </xf>
    <xf numFmtId="165" fontId="0" fillId="24" borderId="20" xfId="0" applyNumberFormat="1" applyFill="1" applyBorder="1" applyAlignment="1">
      <alignment horizontal="center" vertical="center" wrapText="1"/>
    </xf>
    <xf numFmtId="1" fontId="2" fillId="24" borderId="11" xfId="0" applyNumberFormat="1" applyFont="1" applyFill="1" applyBorder="1" applyAlignment="1">
      <alignment horizontal="center" vertical="center" wrapText="1"/>
    </xf>
    <xf numFmtId="0" fontId="43" fillId="4" borderId="38" xfId="0" applyFont="1" applyFill="1" applyBorder="1" applyAlignment="1" applyProtection="1">
      <alignment horizontal="left" vertical="top" wrapText="1"/>
      <protection locked="0"/>
    </xf>
    <xf numFmtId="167" fontId="5" fillId="0" borderId="43" xfId="0" applyNumberFormat="1" applyFont="1" applyBorder="1" applyAlignment="1" applyProtection="1">
      <alignment horizontal="center" vertical="center"/>
      <protection locked="0"/>
    </xf>
    <xf numFmtId="167" fontId="5" fillId="0" borderId="36" xfId="0" applyNumberFormat="1" applyFont="1" applyBorder="1" applyAlignment="1" applyProtection="1">
      <alignment horizontal="center" vertical="center"/>
      <protection locked="0"/>
    </xf>
    <xf numFmtId="0" fontId="14" fillId="22" borderId="15" xfId="0" applyFont="1" applyFill="1" applyBorder="1" applyAlignment="1">
      <alignment horizontal="center" vertical="center" wrapText="1"/>
    </xf>
    <xf numFmtId="0" fontId="0" fillId="0" borderId="54" xfId="0" applyBorder="1"/>
    <xf numFmtId="165" fontId="0" fillId="2" borderId="28" xfId="0" applyNumberFormat="1" applyFill="1" applyBorder="1" applyAlignment="1">
      <alignment horizontal="center" vertical="center" wrapText="1"/>
    </xf>
    <xf numFmtId="165" fontId="0" fillId="2" borderId="18" xfId="0" applyNumberFormat="1" applyFill="1" applyBorder="1" applyAlignment="1">
      <alignment horizontal="center" vertical="center" wrapText="1"/>
    </xf>
    <xf numFmtId="165" fontId="0" fillId="2" borderId="29" xfId="0" applyNumberFormat="1" applyFill="1" applyBorder="1" applyAlignment="1">
      <alignment horizontal="center" vertical="center" wrapText="1"/>
    </xf>
    <xf numFmtId="2" fontId="0" fillId="24" borderId="18" xfId="0" applyNumberFormat="1" applyFill="1" applyBorder="1" applyAlignment="1">
      <alignment horizontal="center" vertical="center" wrapText="1"/>
    </xf>
    <xf numFmtId="2" fontId="0" fillId="0" borderId="25"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62"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2" fontId="0" fillId="0" borderId="18" xfId="0" applyNumberFormat="1" applyBorder="1" applyAlignment="1" applyProtection="1">
      <alignment horizontal="center" vertical="center" wrapText="1"/>
      <protection locked="0"/>
    </xf>
    <xf numFmtId="2" fontId="0" fillId="0" borderId="68" xfId="0" applyNumberFormat="1" applyBorder="1" applyAlignment="1" applyProtection="1">
      <alignment horizontal="center" vertical="center" wrapText="1"/>
      <protection locked="0"/>
    </xf>
    <xf numFmtId="2" fontId="0" fillId="0" borderId="76"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2" fontId="0" fillId="24" borderId="78" xfId="0" applyNumberFormat="1" applyFill="1" applyBorder="1" applyAlignment="1">
      <alignment horizontal="center" vertical="center" wrapText="1"/>
    </xf>
    <xf numFmtId="2" fontId="0" fillId="24" borderId="51" xfId="0" applyNumberFormat="1" applyFill="1" applyBorder="1" applyAlignment="1">
      <alignment horizontal="center" vertical="center" wrapText="1"/>
    </xf>
    <xf numFmtId="2" fontId="0" fillId="24" borderId="52" xfId="0" applyNumberFormat="1" applyFill="1" applyBorder="1" applyAlignment="1">
      <alignment horizontal="center" vertical="center" wrapText="1"/>
    </xf>
    <xf numFmtId="2" fontId="0" fillId="24" borderId="39" xfId="0" applyNumberFormat="1" applyFill="1" applyBorder="1" applyAlignment="1">
      <alignment horizontal="center" vertical="center" wrapText="1"/>
    </xf>
    <xf numFmtId="2" fontId="0" fillId="24" borderId="13" xfId="0" applyNumberFormat="1" applyFill="1" applyBorder="1" applyAlignment="1">
      <alignment horizontal="center" vertical="center" wrapText="1"/>
    </xf>
    <xf numFmtId="2" fontId="0" fillId="24" borderId="68" xfId="0" applyNumberFormat="1" applyFill="1" applyBorder="1" applyAlignment="1">
      <alignment horizontal="center" vertical="center" wrapText="1"/>
    </xf>
    <xf numFmtId="2" fontId="4" fillId="7" borderId="21" xfId="0" applyNumberFormat="1" applyFont="1" applyFill="1" applyBorder="1" applyAlignment="1">
      <alignment horizontal="center" vertical="center"/>
    </xf>
    <xf numFmtId="2" fontId="0" fillId="24" borderId="7" xfId="0" applyNumberFormat="1" applyFill="1" applyBorder="1" applyAlignment="1">
      <alignment horizontal="center" vertical="center" wrapText="1"/>
    </xf>
    <xf numFmtId="2" fontId="0" fillId="24" borderId="73" xfId="0" applyNumberFormat="1" applyFill="1" applyBorder="1" applyAlignment="1">
      <alignment horizontal="center" vertical="center" wrapText="1"/>
    </xf>
    <xf numFmtId="2" fontId="4" fillId="7" borderId="22" xfId="0" applyNumberFormat="1" applyFont="1" applyFill="1" applyBorder="1" applyAlignment="1">
      <alignment horizontal="center" vertical="center"/>
    </xf>
    <xf numFmtId="2" fontId="4" fillId="7" borderId="49" xfId="0" applyNumberFormat="1" applyFont="1" applyFill="1" applyBorder="1" applyAlignment="1">
      <alignment horizontal="center" vertical="center"/>
    </xf>
    <xf numFmtId="2" fontId="0" fillId="24" borderId="10" xfId="0" applyNumberFormat="1" applyFill="1" applyBorder="1" applyAlignment="1">
      <alignment horizontal="center" vertical="center" wrapText="1"/>
    </xf>
    <xf numFmtId="2" fontId="0" fillId="0" borderId="24" xfId="0" applyNumberFormat="1" applyBorder="1" applyAlignment="1" applyProtection="1">
      <alignment horizontal="center" vertical="center" wrapText="1"/>
      <protection locked="0"/>
    </xf>
    <xf numFmtId="2" fontId="0" fillId="7" borderId="8" xfId="0" applyNumberFormat="1" applyFill="1" applyBorder="1" applyAlignment="1">
      <alignment horizontal="center" vertical="center" wrapText="1"/>
    </xf>
    <xf numFmtId="2" fontId="0" fillId="7" borderId="53" xfId="0" applyNumberFormat="1" applyFill="1" applyBorder="1" applyAlignment="1">
      <alignment horizontal="center" vertical="center" wrapText="1"/>
    </xf>
    <xf numFmtId="2" fontId="0" fillId="24" borderId="72" xfId="0" applyNumberFormat="1" applyFill="1" applyBorder="1" applyAlignment="1">
      <alignment horizontal="center" vertical="center" wrapText="1"/>
    </xf>
    <xf numFmtId="2" fontId="0" fillId="24" borderId="70" xfId="0" applyNumberFormat="1" applyFill="1" applyBorder="1" applyAlignment="1">
      <alignment horizontal="center" vertical="center" wrapText="1"/>
    </xf>
    <xf numFmtId="2" fontId="0" fillId="24" borderId="71" xfId="0" applyNumberFormat="1" applyFill="1" applyBorder="1" applyAlignment="1">
      <alignment horizontal="center" vertical="center" wrapText="1"/>
    </xf>
    <xf numFmtId="165" fontId="11" fillId="7" borderId="29" xfId="0" applyNumberFormat="1" applyFont="1" applyFill="1" applyBorder="1" applyAlignment="1">
      <alignment horizontal="center" vertical="center" wrapText="1"/>
    </xf>
    <xf numFmtId="165" fontId="11" fillId="7" borderId="14" xfId="0" applyNumberFormat="1" applyFont="1" applyFill="1" applyBorder="1" applyAlignment="1">
      <alignment horizontal="center" vertical="center" wrapText="1"/>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wrapText="1"/>
    </xf>
    <xf numFmtId="0" fontId="4" fillId="18" borderId="46" xfId="0" applyFont="1" applyFill="1" applyBorder="1" applyAlignment="1">
      <alignment horizontal="center" vertical="center" wrapText="1"/>
    </xf>
    <xf numFmtId="0" fontId="0" fillId="12" borderId="1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12" xfId="0" applyFill="1" applyBorder="1" applyAlignment="1">
      <alignment horizontal="center" vertical="center" wrapText="1"/>
    </xf>
    <xf numFmtId="0" fontId="0" fillId="12" borderId="54" xfId="0" applyFill="1" applyBorder="1" applyAlignment="1">
      <alignment horizontal="center" vertical="center" wrapText="1"/>
    </xf>
    <xf numFmtId="0" fontId="0" fillId="12" borderId="53" xfId="0" applyFill="1" applyBorder="1" applyAlignment="1">
      <alignment horizontal="center" vertical="center" wrapText="1"/>
    </xf>
    <xf numFmtId="0" fontId="0" fillId="2" borderId="44" xfId="0"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69"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12" borderId="24" xfId="0" applyFont="1" applyFill="1" applyBorder="1" applyAlignment="1">
      <alignment horizontal="center" vertical="center" wrapText="1"/>
    </xf>
    <xf numFmtId="164" fontId="0" fillId="24" borderId="18" xfId="0" applyNumberFormat="1" applyFill="1" applyBorder="1" applyAlignment="1">
      <alignment horizontal="center" vertical="center" wrapText="1"/>
    </xf>
    <xf numFmtId="0" fontId="14" fillId="5" borderId="73"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0" fillId="12" borderId="39" xfId="0" applyFill="1" applyBorder="1" applyAlignment="1">
      <alignment horizontal="center" vertical="center" wrapText="1"/>
    </xf>
    <xf numFmtId="0" fontId="0" fillId="2" borderId="26" xfId="0" applyFill="1" applyBorder="1" applyAlignment="1">
      <alignment horizontal="center" vertical="center" wrapText="1"/>
    </xf>
    <xf numFmtId="0" fontId="0" fillId="12" borderId="13" xfId="0"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19" xfId="0" applyFont="1" applyFill="1" applyBorder="1" applyAlignment="1">
      <alignment horizontal="center" vertical="center" wrapText="1"/>
    </xf>
    <xf numFmtId="2" fontId="0" fillId="12" borderId="18" xfId="0" applyNumberFormat="1" applyFill="1" applyBorder="1" applyAlignment="1">
      <alignment horizontal="center" vertical="center" wrapText="1"/>
    </xf>
    <xf numFmtId="0" fontId="14" fillId="12" borderId="38" xfId="0" applyFont="1" applyFill="1" applyBorder="1" applyAlignment="1">
      <alignment horizontal="center" vertical="center" wrapText="1"/>
    </xf>
    <xf numFmtId="0" fontId="0" fillId="12" borderId="38" xfId="0" applyFill="1" applyBorder="1" applyAlignment="1">
      <alignment horizontal="center" vertical="center" wrapText="1"/>
    </xf>
    <xf numFmtId="0" fontId="14" fillId="5" borderId="20" xfId="0" applyFont="1" applyFill="1" applyBorder="1" applyAlignment="1">
      <alignment horizontal="center" vertical="center" wrapText="1"/>
    </xf>
    <xf numFmtId="0" fontId="23" fillId="7" borderId="54" xfId="0" applyFont="1" applyFill="1" applyBorder="1" applyAlignment="1">
      <alignment horizontal="center" vertical="center"/>
    </xf>
    <xf numFmtId="165" fontId="23" fillId="7" borderId="54" xfId="0" applyNumberFormat="1" applyFont="1" applyFill="1" applyBorder="1" applyAlignment="1">
      <alignment horizontal="center" vertical="center" wrapText="1"/>
    </xf>
    <xf numFmtId="165" fontId="23" fillId="7" borderId="16" xfId="0" applyNumberFormat="1" applyFont="1" applyFill="1" applyBorder="1" applyAlignment="1">
      <alignment horizontal="center" wrapText="1"/>
    </xf>
    <xf numFmtId="0" fontId="0" fillId="0" borderId="49" xfId="0" applyBorder="1" applyAlignment="1">
      <alignment horizontal="left" vertical="center"/>
    </xf>
    <xf numFmtId="165" fontId="5" fillId="0" borderId="63" xfId="0" applyNumberFormat="1" applyFont="1" applyBorder="1" applyAlignment="1">
      <alignment vertical="center"/>
    </xf>
    <xf numFmtId="165" fontId="5" fillId="0" borderId="41" xfId="0" applyNumberFormat="1" applyFont="1" applyBorder="1" applyAlignment="1">
      <alignment vertical="center"/>
    </xf>
    <xf numFmtId="165" fontId="5" fillId="0" borderId="42" xfId="0" applyNumberFormat="1" applyFont="1" applyBorder="1" applyAlignment="1">
      <alignment vertical="center"/>
    </xf>
    <xf numFmtId="0" fontId="9" fillId="13" borderId="33" xfId="0" applyFont="1" applyFill="1" applyBorder="1" applyAlignment="1">
      <alignment vertical="center" wrapText="1"/>
    </xf>
    <xf numFmtId="0" fontId="26" fillId="6" borderId="53" xfId="0" applyFont="1" applyFill="1" applyBorder="1" applyAlignment="1">
      <alignment vertical="center"/>
    </xf>
    <xf numFmtId="0" fontId="26" fillId="6" borderId="44" xfId="0" applyFont="1" applyFill="1" applyBorder="1" applyAlignment="1">
      <alignment vertical="center"/>
    </xf>
    <xf numFmtId="0" fontId="26" fillId="6" borderId="9" xfId="0" applyFont="1" applyFill="1" applyBorder="1" applyAlignment="1">
      <alignment vertical="center"/>
    </xf>
    <xf numFmtId="0" fontId="0" fillId="0" borderId="24" xfId="0" applyBorder="1" applyAlignment="1">
      <alignment horizontal="center" vertical="center" wrapText="1"/>
    </xf>
    <xf numFmtId="0" fontId="0" fillId="27" borderId="45" xfId="0" applyFill="1" applyBorder="1" applyAlignment="1">
      <alignment horizontal="center"/>
    </xf>
    <xf numFmtId="0" fontId="0" fillId="27" borderId="38" xfId="0" applyFill="1" applyBorder="1" applyAlignment="1">
      <alignment horizontal="center"/>
    </xf>
    <xf numFmtId="0" fontId="0" fillId="22" borderId="45" xfId="0" applyFill="1" applyBorder="1" applyAlignment="1">
      <alignment horizontal="center"/>
    </xf>
    <xf numFmtId="0" fontId="0" fillId="22" borderId="38" xfId="0" applyFill="1" applyBorder="1" applyAlignment="1">
      <alignment horizontal="center"/>
    </xf>
    <xf numFmtId="0" fontId="12" fillId="5" borderId="60" xfId="0" applyFont="1" applyFill="1" applyBorder="1" applyAlignment="1">
      <alignment horizontal="center" vertical="center" wrapText="1"/>
    </xf>
    <xf numFmtId="0" fontId="22" fillId="31" borderId="28" xfId="0" applyFont="1" applyFill="1" applyBorder="1" applyAlignment="1">
      <alignment horizontal="center" vertical="center" wrapText="1"/>
    </xf>
    <xf numFmtId="0" fontId="22" fillId="31" borderId="11" xfId="0" applyFont="1" applyFill="1" applyBorder="1" applyAlignment="1">
      <alignment horizontal="center" vertical="center" wrapText="1"/>
    </xf>
    <xf numFmtId="167" fontId="5" fillId="0" borderId="39" xfId="0" applyNumberFormat="1" applyFont="1" applyBorder="1" applyAlignment="1" applyProtection="1">
      <alignment horizontal="center" vertical="center"/>
      <protection locked="0"/>
    </xf>
    <xf numFmtId="167" fontId="5" fillId="0" borderId="26" xfId="0" applyNumberFormat="1" applyFont="1" applyBorder="1" applyAlignment="1" applyProtection="1">
      <alignment horizontal="center" vertical="center"/>
      <protection locked="0"/>
    </xf>
    <xf numFmtId="167" fontId="0" fillId="0" borderId="24" xfId="0" applyNumberFormat="1" applyBorder="1" applyAlignment="1" applyProtection="1">
      <alignment horizontal="center" vertical="center"/>
      <protection locked="0"/>
    </xf>
    <xf numFmtId="167" fontId="0" fillId="0" borderId="19" xfId="0" applyNumberFormat="1" applyBorder="1" applyAlignment="1" applyProtection="1">
      <alignment horizontal="center" vertical="center"/>
      <protection locked="0"/>
    </xf>
    <xf numFmtId="0" fontId="0" fillId="7" borderId="44" xfId="0" applyFill="1" applyBorder="1" applyAlignment="1">
      <alignment horizontal="center" vertical="center" wrapText="1"/>
    </xf>
    <xf numFmtId="0" fontId="0" fillId="7" borderId="7" xfId="0" applyFill="1" applyBorder="1" applyAlignment="1" applyProtection="1">
      <alignment horizontal="center" vertical="center" wrapText="1"/>
      <protection locked="0"/>
    </xf>
    <xf numFmtId="2" fontId="4" fillId="7" borderId="7" xfId="0" applyNumberFormat="1" applyFont="1" applyFill="1" applyBorder="1" applyAlignment="1">
      <alignment horizontal="center" vertical="center"/>
    </xf>
    <xf numFmtId="165" fontId="0" fillId="24" borderId="8" xfId="0" applyNumberFormat="1" applyFill="1" applyBorder="1" applyAlignment="1">
      <alignment horizontal="center" vertical="center" wrapText="1"/>
    </xf>
    <xf numFmtId="0" fontId="0" fillId="0" borderId="40" xfId="0" applyBorder="1" applyAlignment="1" applyProtection="1">
      <alignment horizontal="center" vertical="center" wrapText="1"/>
      <protection locked="0"/>
    </xf>
    <xf numFmtId="2" fontId="0" fillId="24" borderId="24" xfId="0" applyNumberFormat="1" applyFill="1" applyBorder="1" applyAlignment="1">
      <alignment horizontal="center" vertical="center" wrapText="1"/>
    </xf>
    <xf numFmtId="164" fontId="0" fillId="24" borderId="24" xfId="0" applyNumberFormat="1" applyFill="1" applyBorder="1" applyAlignment="1">
      <alignment horizontal="center" vertical="center" wrapText="1"/>
    </xf>
    <xf numFmtId="2" fontId="0" fillId="24" borderId="54" xfId="0" applyNumberFormat="1" applyFill="1" applyBorder="1" applyAlignment="1">
      <alignment horizontal="center" vertical="center" wrapText="1"/>
    </xf>
    <xf numFmtId="164" fontId="0" fillId="24" borderId="54" xfId="0" applyNumberFormat="1" applyFill="1" applyBorder="1" applyAlignment="1">
      <alignment horizontal="center" vertical="center" wrapText="1"/>
    </xf>
    <xf numFmtId="2" fontId="0" fillId="24" borderId="53" xfId="0" applyNumberFormat="1" applyFill="1" applyBorder="1" applyAlignment="1">
      <alignment horizontal="center" vertical="center" wrapText="1"/>
    </xf>
    <xf numFmtId="165" fontId="0" fillId="24" borderId="9" xfId="0" applyNumberFormat="1" applyFill="1" applyBorder="1" applyAlignment="1">
      <alignment horizontal="center" vertical="center" wrapText="1"/>
    </xf>
    <xf numFmtId="0" fontId="0" fillId="12" borderId="0" xfId="0" applyFill="1" applyAlignment="1">
      <alignment vertical="center" wrapText="1"/>
    </xf>
    <xf numFmtId="0" fontId="0" fillId="7" borderId="25" xfId="0" applyFill="1" applyBorder="1" applyAlignment="1">
      <alignment horizontal="center" vertical="center" wrapText="1"/>
    </xf>
    <xf numFmtId="0" fontId="0" fillId="7" borderId="26" xfId="0" applyFill="1" applyBorder="1" applyAlignment="1">
      <alignment horizontal="center" vertical="center" wrapText="1"/>
    </xf>
    <xf numFmtId="0" fontId="0" fillId="18" borderId="25" xfId="0" applyFill="1" applyBorder="1" applyAlignment="1">
      <alignment horizontal="center" vertical="center" wrapText="1"/>
    </xf>
    <xf numFmtId="0" fontId="0" fillId="7" borderId="48" xfId="0" applyFill="1" applyBorder="1" applyAlignment="1">
      <alignment horizontal="center" vertical="center" wrapText="1"/>
    </xf>
    <xf numFmtId="2" fontId="4" fillId="7" borderId="48" xfId="0" applyNumberFormat="1" applyFont="1" applyFill="1" applyBorder="1" applyAlignment="1">
      <alignment horizontal="center" vertical="center"/>
    </xf>
    <xf numFmtId="0" fontId="0" fillId="7" borderId="77" xfId="0" applyFill="1" applyBorder="1" applyAlignment="1">
      <alignment horizontal="center" vertical="center" wrapText="1"/>
    </xf>
    <xf numFmtId="2" fontId="4" fillId="7" borderId="10" xfId="0" applyNumberFormat="1" applyFont="1" applyFill="1" applyBorder="1" applyAlignment="1">
      <alignment horizontal="center" vertical="center"/>
    </xf>
    <xf numFmtId="165" fontId="0" fillId="24" borderId="76" xfId="0" applyNumberFormat="1" applyFill="1" applyBorder="1" applyAlignment="1">
      <alignment horizontal="center" vertical="center" wrapText="1"/>
    </xf>
    <xf numFmtId="2" fontId="4" fillId="7" borderId="5" xfId="0" applyNumberFormat="1" applyFont="1" applyFill="1" applyBorder="1" applyAlignment="1">
      <alignment horizontal="center" vertical="center"/>
    </xf>
    <xf numFmtId="2" fontId="4" fillId="7" borderId="34" xfId="0" applyNumberFormat="1" applyFont="1" applyFill="1" applyBorder="1" applyAlignment="1">
      <alignment horizontal="center" vertical="center"/>
    </xf>
    <xf numFmtId="0" fontId="14" fillId="5" borderId="33" xfId="0" applyFont="1" applyFill="1" applyBorder="1" applyAlignment="1">
      <alignment horizontal="center" vertical="center"/>
    </xf>
    <xf numFmtId="2" fontId="0" fillId="30" borderId="44" xfId="0" applyNumberFormat="1" applyFill="1" applyBorder="1" applyAlignment="1">
      <alignment horizontal="center" vertical="center" wrapText="1"/>
    </xf>
    <xf numFmtId="2" fontId="4" fillId="7" borderId="50" xfId="0" applyNumberFormat="1" applyFont="1" applyFill="1" applyBorder="1" applyAlignment="1">
      <alignment horizontal="center" vertical="center"/>
    </xf>
    <xf numFmtId="0" fontId="16" fillId="7" borderId="18" xfId="0" applyFont="1" applyFill="1" applyBorder="1" applyAlignment="1">
      <alignment horizontal="center" vertical="center"/>
    </xf>
    <xf numFmtId="165" fontId="16" fillId="7" borderId="18" xfId="0" applyNumberFormat="1" applyFont="1" applyFill="1" applyBorder="1" applyAlignment="1">
      <alignment horizontal="center" vertical="center"/>
    </xf>
    <xf numFmtId="0" fontId="45" fillId="12" borderId="0" xfId="0" applyFont="1" applyFill="1"/>
    <xf numFmtId="0" fontId="4" fillId="12" borderId="0" xfId="0" applyFont="1" applyFill="1"/>
    <xf numFmtId="0" fontId="16" fillId="32" borderId="18" xfId="0" applyFont="1" applyFill="1" applyBorder="1" applyAlignment="1">
      <alignment horizontal="center" vertical="center" wrapText="1"/>
    </xf>
    <xf numFmtId="165" fontId="16" fillId="32" borderId="18" xfId="0" applyNumberFormat="1" applyFont="1" applyFill="1" applyBorder="1" applyAlignment="1">
      <alignment horizontal="center" vertical="center"/>
    </xf>
    <xf numFmtId="0" fontId="46" fillId="12" borderId="0" xfId="0" applyFont="1" applyFill="1"/>
    <xf numFmtId="10" fontId="0" fillId="12" borderId="0" xfId="0" applyNumberFormat="1" applyFill="1"/>
    <xf numFmtId="2" fontId="46" fillId="12" borderId="0" xfId="0" applyNumberFormat="1" applyFont="1" applyFill="1"/>
    <xf numFmtId="165" fontId="11" fillId="31" borderId="26" xfId="0" applyNumberFormat="1" applyFont="1" applyFill="1" applyBorder="1" applyAlignment="1">
      <alignment horizontal="center" vertical="center"/>
    </xf>
    <xf numFmtId="165" fontId="33" fillId="31" borderId="14" xfId="0" applyNumberFormat="1" applyFont="1" applyFill="1" applyBorder="1" applyAlignment="1">
      <alignment horizontal="center" vertical="center"/>
    </xf>
    <xf numFmtId="165" fontId="33" fillId="31" borderId="29" xfId="0" applyNumberFormat="1" applyFont="1" applyFill="1" applyBorder="1" applyAlignment="1">
      <alignment horizontal="center" vertical="center"/>
    </xf>
    <xf numFmtId="0" fontId="20" fillId="27" borderId="51" xfId="0" applyFont="1" applyFill="1" applyBorder="1" applyAlignment="1">
      <alignment horizontal="center" vertical="center"/>
    </xf>
    <xf numFmtId="0" fontId="20" fillId="27" borderId="52" xfId="0" applyFont="1" applyFill="1" applyBorder="1" applyAlignment="1">
      <alignment horizontal="center" vertical="center" wrapText="1"/>
    </xf>
    <xf numFmtId="0" fontId="16" fillId="7" borderId="39" xfId="0" applyFont="1" applyFill="1" applyBorder="1" applyAlignment="1">
      <alignment horizontal="center" vertical="center"/>
    </xf>
    <xf numFmtId="165" fontId="16" fillId="7" borderId="39" xfId="0" applyNumberFormat="1" applyFont="1" applyFill="1" applyBorder="1" applyAlignment="1">
      <alignment horizontal="center" vertical="center"/>
    </xf>
    <xf numFmtId="0" fontId="33" fillId="31" borderId="13" xfId="0" applyFont="1" applyFill="1" applyBorder="1" applyAlignment="1">
      <alignment horizontal="center" vertical="center"/>
    </xf>
    <xf numFmtId="165" fontId="33" fillId="31" borderId="13" xfId="0" applyNumberFormat="1" applyFont="1" applyFill="1" applyBorder="1" applyAlignment="1">
      <alignment horizontal="center" vertical="center"/>
    </xf>
    <xf numFmtId="0" fontId="20" fillId="22" borderId="8" xfId="0" applyFont="1" applyFill="1" applyBorder="1" applyAlignment="1">
      <alignment horizontal="center" vertical="center"/>
    </xf>
    <xf numFmtId="0" fontId="16" fillId="7" borderId="53" xfId="0" applyFont="1" applyFill="1" applyBorder="1" applyAlignment="1">
      <alignment horizontal="center" vertical="center"/>
    </xf>
    <xf numFmtId="165" fontId="16" fillId="7" borderId="53" xfId="0" applyNumberFormat="1" applyFont="1" applyFill="1" applyBorder="1" applyAlignment="1">
      <alignment horizontal="center" vertical="center"/>
    </xf>
    <xf numFmtId="0" fontId="33" fillId="12" borderId="9" xfId="0" applyFont="1" applyFill="1" applyBorder="1" applyAlignment="1">
      <alignment horizontal="center" vertical="center"/>
    </xf>
    <xf numFmtId="0" fontId="20" fillId="27" borderId="78" xfId="0" applyFont="1" applyFill="1" applyBorder="1" applyAlignment="1">
      <alignment horizontal="center" vertical="center"/>
    </xf>
    <xf numFmtId="0" fontId="20" fillId="27" borderId="51" xfId="0" applyFont="1" applyFill="1" applyBorder="1" applyAlignment="1">
      <alignment horizontal="center" vertical="center" wrapText="1"/>
    </xf>
    <xf numFmtId="0" fontId="16" fillId="32" borderId="39" xfId="0" applyFont="1" applyFill="1" applyBorder="1" applyAlignment="1">
      <alignment horizontal="center" vertical="center" wrapText="1"/>
    </xf>
    <xf numFmtId="165" fontId="16" fillId="32" borderId="39" xfId="0" applyNumberFormat="1" applyFont="1" applyFill="1" applyBorder="1" applyAlignment="1">
      <alignment horizontal="center" vertical="center"/>
    </xf>
    <xf numFmtId="0" fontId="16" fillId="32" borderId="53" xfId="0" applyFont="1" applyFill="1" applyBorder="1" applyAlignment="1">
      <alignment horizontal="center" vertical="center" wrapText="1"/>
    </xf>
    <xf numFmtId="165" fontId="16" fillId="32" borderId="53" xfId="0" applyNumberFormat="1" applyFont="1" applyFill="1" applyBorder="1" applyAlignment="1">
      <alignment horizontal="center" vertical="center"/>
    </xf>
    <xf numFmtId="0" fontId="20" fillId="27" borderId="78" xfId="0" applyFont="1" applyFill="1" applyBorder="1" applyAlignment="1">
      <alignment horizontal="center" vertical="center" wrapText="1"/>
    </xf>
    <xf numFmtId="165" fontId="38" fillId="12" borderId="0" xfId="0" applyNumberFormat="1" applyFont="1" applyFill="1"/>
    <xf numFmtId="0" fontId="0" fillId="2" borderId="68" xfId="0" applyFill="1" applyBorder="1" applyAlignment="1">
      <alignment horizontal="center" vertical="center" wrapText="1"/>
    </xf>
    <xf numFmtId="0" fontId="0" fillId="27" borderId="48" xfId="0" applyFill="1" applyBorder="1"/>
    <xf numFmtId="0" fontId="12" fillId="27" borderId="50"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9"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40" fillId="5" borderId="24" xfId="0" applyFont="1" applyFill="1" applyBorder="1" applyAlignment="1">
      <alignment horizontal="center" vertical="center" wrapText="1"/>
    </xf>
    <xf numFmtId="0" fontId="40" fillId="12" borderId="24" xfId="0" applyFont="1" applyFill="1" applyBorder="1" applyAlignment="1">
      <alignment horizontal="center" vertical="center" wrapText="1"/>
    </xf>
    <xf numFmtId="0" fontId="38" fillId="0" borderId="0" xfId="0" applyFont="1"/>
    <xf numFmtId="2" fontId="0" fillId="0" borderId="67" xfId="0" applyNumberFormat="1" applyBorder="1" applyAlignment="1" applyProtection="1">
      <alignment horizontal="center" vertical="center" wrapText="1"/>
      <protection locked="0"/>
    </xf>
    <xf numFmtId="2" fontId="0" fillId="0" borderId="23" xfId="0" applyNumberFormat="1" applyBorder="1" applyAlignment="1" applyProtection="1">
      <alignment horizontal="center" vertical="center" wrapText="1"/>
      <protection locked="0"/>
    </xf>
    <xf numFmtId="2" fontId="0" fillId="0" borderId="57" xfId="0" applyNumberFormat="1" applyBorder="1" applyAlignment="1" applyProtection="1">
      <alignment horizontal="center" vertical="center" wrapText="1"/>
      <protection locked="0"/>
    </xf>
    <xf numFmtId="0" fontId="14" fillId="22" borderId="58" xfId="0" applyFont="1" applyFill="1" applyBorder="1" applyAlignment="1">
      <alignment horizontal="center" vertical="center" wrapText="1"/>
    </xf>
    <xf numFmtId="0" fontId="4" fillId="2" borderId="18" xfId="0" applyFont="1" applyFill="1" applyBorder="1" applyAlignment="1">
      <alignment horizontal="center" vertical="center"/>
    </xf>
    <xf numFmtId="0" fontId="0" fillId="2" borderId="61" xfId="0" applyFill="1" applyBorder="1" applyAlignment="1">
      <alignment horizontal="center" vertical="center" wrapText="1"/>
    </xf>
    <xf numFmtId="0" fontId="4" fillId="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5" fillId="12" borderId="0" xfId="0" applyFont="1" applyFill="1" applyAlignment="1">
      <alignment horizontal="left"/>
    </xf>
    <xf numFmtId="0" fontId="12" fillId="5" borderId="44" xfId="0" applyFont="1" applyFill="1" applyBorder="1" applyAlignment="1">
      <alignment horizontal="center" vertical="center" wrapText="1"/>
    </xf>
    <xf numFmtId="0" fontId="28" fillId="27" borderId="4"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50" xfId="0" applyFill="1" applyBorder="1" applyAlignment="1">
      <alignment horizontal="center" vertical="center"/>
    </xf>
    <xf numFmtId="165" fontId="5" fillId="3" borderId="5" xfId="0" applyNumberFormat="1" applyFont="1" applyFill="1" applyBorder="1" applyAlignment="1">
      <alignment horizontal="center" vertical="center"/>
    </xf>
    <xf numFmtId="165" fontId="5" fillId="3" borderId="6" xfId="0" applyNumberFormat="1" applyFont="1" applyFill="1" applyBorder="1" applyAlignment="1">
      <alignment vertical="center"/>
    </xf>
    <xf numFmtId="165" fontId="5" fillId="3" borderId="45" xfId="0" applyNumberFormat="1" applyFont="1" applyFill="1" applyBorder="1" applyAlignment="1">
      <alignment horizontal="center" vertical="center"/>
    </xf>
    <xf numFmtId="165" fontId="5" fillId="3" borderId="56" xfId="0" applyNumberFormat="1" applyFont="1" applyFill="1" applyBorder="1" applyAlignment="1">
      <alignment vertical="center"/>
    </xf>
    <xf numFmtId="165" fontId="5" fillId="3" borderId="34" xfId="0" applyNumberFormat="1" applyFont="1" applyFill="1" applyBorder="1" applyAlignment="1">
      <alignment horizontal="center" vertical="center"/>
    </xf>
    <xf numFmtId="165" fontId="5" fillId="3" borderId="36" xfId="0" applyNumberFormat="1" applyFont="1" applyFill="1" applyBorder="1" applyAlignment="1">
      <alignment vertical="center"/>
    </xf>
    <xf numFmtId="0" fontId="47" fillId="12" borderId="0" xfId="0" applyFont="1" applyFill="1"/>
    <xf numFmtId="0" fontId="47" fillId="12" borderId="0" xfId="0" applyFont="1" applyFill="1" applyAlignment="1">
      <alignment vertical="center" wrapText="1"/>
    </xf>
    <xf numFmtId="165" fontId="47" fillId="12" borderId="0" xfId="0" applyNumberFormat="1" applyFont="1" applyFill="1" applyAlignment="1">
      <alignment vertical="center" wrapText="1"/>
    </xf>
    <xf numFmtId="10" fontId="47" fillId="12" borderId="0" xfId="0" applyNumberFormat="1" applyFont="1" applyFill="1" applyAlignment="1">
      <alignment horizontal="center"/>
    </xf>
    <xf numFmtId="0" fontId="47" fillId="12" borderId="0" xfId="0" applyFont="1" applyFill="1" applyAlignment="1">
      <alignment vertical="center"/>
    </xf>
    <xf numFmtId="0" fontId="47" fillId="0" borderId="0" xfId="0" applyFont="1"/>
    <xf numFmtId="0" fontId="48" fillId="12" borderId="0" xfId="0" applyFont="1" applyFill="1"/>
    <xf numFmtId="0" fontId="23" fillId="12" borderId="0" xfId="0" applyFont="1" applyFill="1"/>
    <xf numFmtId="0" fontId="23" fillId="12" borderId="0" xfId="0" applyFont="1" applyFill="1" applyAlignment="1">
      <alignment vertical="center" wrapText="1"/>
    </xf>
    <xf numFmtId="2" fontId="5" fillId="12" borderId="0" xfId="0" applyNumberFormat="1" applyFont="1" applyFill="1" applyAlignment="1">
      <alignment horizontal="center" vertical="center"/>
    </xf>
    <xf numFmtId="165" fontId="23" fillId="7" borderId="14" xfId="0" applyNumberFormat="1" applyFont="1" applyFill="1" applyBorder="1" applyAlignment="1">
      <alignment horizontal="center" vertical="center" wrapText="1"/>
    </xf>
    <xf numFmtId="0" fontId="0" fillId="2" borderId="76" xfId="0" applyFill="1" applyBorder="1" applyAlignment="1">
      <alignment horizontal="center" vertical="center" wrapText="1"/>
    </xf>
    <xf numFmtId="0" fontId="0" fillId="12" borderId="60" xfId="0"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0" fillId="12" borderId="27" xfId="0" applyFill="1" applyBorder="1" applyAlignment="1">
      <alignment horizontal="center" vertical="center" wrapText="1"/>
    </xf>
    <xf numFmtId="0" fontId="0" fillId="12" borderId="65" xfId="0" applyFill="1" applyBorder="1" applyAlignment="1">
      <alignment horizontal="center" vertical="center" wrapText="1"/>
    </xf>
    <xf numFmtId="0" fontId="0" fillId="2" borderId="7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34" xfId="0" applyFill="1" applyBorder="1" applyAlignment="1">
      <alignment horizontal="center" vertical="center" wrapText="1"/>
    </xf>
    <xf numFmtId="0" fontId="0" fillId="12" borderId="67" xfId="0" applyFill="1" applyBorder="1" applyAlignment="1">
      <alignment horizontal="center" vertical="center" wrapText="1"/>
    </xf>
    <xf numFmtId="0" fontId="14" fillId="5" borderId="71" xfId="0" applyFont="1" applyFill="1" applyBorder="1" applyAlignment="1">
      <alignment horizontal="center" vertical="center" wrapText="1"/>
    </xf>
    <xf numFmtId="0" fontId="0" fillId="2" borderId="57" xfId="0" applyFill="1" applyBorder="1" applyAlignment="1">
      <alignment horizontal="center" vertical="center" wrapText="1"/>
    </xf>
    <xf numFmtId="0" fontId="0" fillId="12" borderId="62" xfId="0" applyFill="1" applyBorder="1" applyAlignment="1">
      <alignment horizontal="center" vertical="center" wrapText="1"/>
    </xf>
    <xf numFmtId="164" fontId="0" fillId="2" borderId="26" xfId="0" applyNumberFormat="1" applyFill="1" applyBorder="1" applyAlignment="1">
      <alignment horizontal="center" vertical="center" wrapText="1"/>
    </xf>
    <xf numFmtId="164" fontId="0" fillId="2" borderId="77" xfId="0" applyNumberFormat="1" applyFill="1" applyBorder="1" applyAlignment="1">
      <alignment horizontal="center" vertical="center" wrapText="1"/>
    </xf>
    <xf numFmtId="164" fontId="0" fillId="2" borderId="35" xfId="0" applyNumberFormat="1" applyFill="1" applyBorder="1" applyAlignment="1">
      <alignment horizontal="center" vertical="center" wrapText="1"/>
    </xf>
    <xf numFmtId="164" fontId="0" fillId="2" borderId="5"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34" xfId="0" applyNumberFormat="1" applyFill="1" applyBorder="1" applyAlignment="1">
      <alignment horizontal="center" vertical="center" wrapText="1"/>
    </xf>
    <xf numFmtId="0" fontId="14" fillId="12" borderId="27" xfId="0" applyFont="1" applyFill="1" applyBorder="1" applyAlignment="1">
      <alignment horizontal="center" vertical="center" wrapText="1"/>
    </xf>
    <xf numFmtId="0" fontId="0" fillId="2" borderId="48" xfId="0" applyFill="1" applyBorder="1" applyAlignment="1">
      <alignment horizontal="center" vertical="center"/>
    </xf>
    <xf numFmtId="0" fontId="21" fillId="22" borderId="62" xfId="0" applyFont="1" applyFill="1" applyBorder="1" applyAlignment="1">
      <alignment horizontal="center" vertical="center" wrapText="1"/>
    </xf>
    <xf numFmtId="0" fontId="21" fillId="22" borderId="27" xfId="0" applyFont="1" applyFill="1" applyBorder="1" applyAlignment="1">
      <alignment horizontal="center" vertical="center" wrapText="1"/>
    </xf>
    <xf numFmtId="0" fontId="21" fillId="22" borderId="61" xfId="0" applyFont="1" applyFill="1" applyBorder="1" applyAlignment="1">
      <alignment horizontal="center" vertical="center" wrapText="1"/>
    </xf>
    <xf numFmtId="165" fontId="5" fillId="0" borderId="34" xfId="0" applyNumberFormat="1" applyFont="1" applyBorder="1" applyAlignment="1">
      <alignment horizontal="center" vertical="center" wrapText="1"/>
    </xf>
    <xf numFmtId="165" fontId="49" fillId="33" borderId="36" xfId="0" applyNumberFormat="1" applyFont="1" applyFill="1" applyBorder="1" applyAlignment="1">
      <alignment horizontal="center" vertical="center" wrapText="1"/>
    </xf>
    <xf numFmtId="165" fontId="5" fillId="24" borderId="5" xfId="0" applyNumberFormat="1" applyFont="1" applyFill="1" applyBorder="1" applyAlignment="1">
      <alignment horizontal="center" vertical="center" wrapText="1"/>
    </xf>
    <xf numFmtId="165" fontId="49" fillId="33" borderId="6" xfId="0" applyNumberFormat="1" applyFont="1" applyFill="1" applyBorder="1" applyAlignment="1">
      <alignment horizontal="center" vertical="center" wrapText="1"/>
    </xf>
    <xf numFmtId="165" fontId="5" fillId="0" borderId="45" xfId="0" applyNumberFormat="1" applyFont="1" applyBorder="1" applyAlignment="1">
      <alignment horizontal="center" vertical="center" wrapText="1"/>
    </xf>
    <xf numFmtId="165" fontId="49" fillId="33" borderId="56" xfId="0" applyNumberFormat="1" applyFont="1" applyFill="1" applyBorder="1" applyAlignment="1">
      <alignment horizontal="center" vertical="center" wrapText="1"/>
    </xf>
    <xf numFmtId="10" fontId="5" fillId="0" borderId="5" xfId="31" applyNumberFormat="1" applyFont="1" applyFill="1" applyBorder="1" applyAlignment="1">
      <alignment horizontal="center" vertical="center" wrapText="1"/>
    </xf>
    <xf numFmtId="165" fontId="50" fillId="34" borderId="6" xfId="0" applyNumberFormat="1" applyFont="1" applyFill="1" applyBorder="1" applyAlignment="1">
      <alignment horizontal="center" vertical="center" wrapText="1"/>
    </xf>
    <xf numFmtId="10" fontId="5" fillId="0" borderId="45" xfId="31" applyNumberFormat="1" applyFont="1" applyFill="1" applyBorder="1" applyAlignment="1">
      <alignment horizontal="center" vertical="center" wrapText="1"/>
    </xf>
    <xf numFmtId="165" fontId="50" fillId="34" borderId="56" xfId="0" applyNumberFormat="1" applyFont="1" applyFill="1" applyBorder="1" applyAlignment="1">
      <alignment horizontal="center" vertical="center" wrapText="1"/>
    </xf>
    <xf numFmtId="10" fontId="5" fillId="0" borderId="47" xfId="31" applyNumberFormat="1" applyFont="1" applyFill="1" applyBorder="1" applyAlignment="1">
      <alignment horizontal="center" vertical="center" wrapText="1"/>
    </xf>
    <xf numFmtId="165" fontId="50" fillId="34" borderId="55" xfId="0" applyNumberFormat="1" applyFont="1" applyFill="1" applyBorder="1" applyAlignment="1">
      <alignment horizontal="center" vertical="center" wrapText="1"/>
    </xf>
    <xf numFmtId="2" fontId="0" fillId="2" borderId="11" xfId="0" applyNumberFormat="1" applyFill="1" applyBorder="1" applyAlignment="1">
      <alignment horizontal="center" vertical="center" wrapText="1"/>
    </xf>
    <xf numFmtId="0" fontId="0" fillId="2" borderId="56" xfId="0" applyFill="1" applyBorder="1" applyAlignment="1">
      <alignment horizontal="center" vertical="center" wrapText="1"/>
    </xf>
    <xf numFmtId="0" fontId="0" fillId="2" borderId="67" xfId="0" applyFill="1" applyBorder="1" applyAlignment="1">
      <alignment horizontal="center" vertical="center"/>
    </xf>
    <xf numFmtId="0" fontId="0" fillId="0" borderId="24" xfId="0" applyBorder="1"/>
    <xf numFmtId="0" fontId="0" fillId="0" borderId="51" xfId="0" applyBorder="1" applyAlignment="1">
      <alignment horizontal="center" vertical="center" wrapText="1"/>
    </xf>
    <xf numFmtId="0" fontId="0" fillId="0" borderId="69" xfId="0" applyBorder="1" applyAlignment="1">
      <alignment horizontal="center" vertical="center" wrapText="1"/>
    </xf>
    <xf numFmtId="0" fontId="0" fillId="25" borderId="28" xfId="0" applyFill="1" applyBorder="1" applyAlignment="1">
      <alignment horizontal="center" vertical="center" wrapText="1"/>
    </xf>
    <xf numFmtId="0" fontId="0" fillId="25" borderId="20" xfId="0" applyFill="1" applyBorder="1" applyAlignment="1">
      <alignment horizontal="center" vertical="center" wrapText="1"/>
    </xf>
    <xf numFmtId="0" fontId="0" fillId="25" borderId="15" xfId="0" applyFill="1" applyBorder="1" applyAlignment="1">
      <alignment horizontal="center" vertical="center" wrapText="1"/>
    </xf>
    <xf numFmtId="0" fontId="0" fillId="25" borderId="11" xfId="0" applyFill="1" applyBorder="1" applyAlignment="1">
      <alignment horizontal="center" vertical="center" wrapText="1"/>
    </xf>
    <xf numFmtId="0" fontId="0" fillId="20" borderId="25" xfId="0" applyFill="1" applyBorder="1" applyAlignment="1">
      <alignment horizontal="center" vertical="center" wrapText="1"/>
    </xf>
    <xf numFmtId="0" fontId="0" fillId="20" borderId="20" xfId="0" applyFill="1" applyBorder="1" applyAlignment="1">
      <alignment horizontal="center" vertical="center" wrapText="1"/>
    </xf>
    <xf numFmtId="0" fontId="0" fillId="20" borderId="76" xfId="0" applyFill="1" applyBorder="1" applyAlignment="1">
      <alignment horizontal="center" vertical="center" wrapText="1"/>
    </xf>
    <xf numFmtId="0" fontId="0" fillId="0" borderId="53"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52" fillId="12" borderId="0" xfId="0" applyFont="1" applyFill="1" applyAlignment="1">
      <alignment horizontal="left" vertical="center" wrapText="1"/>
    </xf>
    <xf numFmtId="0" fontId="17" fillId="0" borderId="53" xfId="0" applyFont="1" applyBorder="1" applyAlignment="1" applyProtection="1">
      <alignment horizontal="center" vertical="center"/>
      <protection locked="0"/>
    </xf>
    <xf numFmtId="0" fontId="0" fillId="0" borderId="14" xfId="0" applyBorder="1" applyAlignment="1">
      <alignment horizontal="center" vertical="center" wrapText="1"/>
    </xf>
    <xf numFmtId="0" fontId="22" fillId="4" borderId="48" xfId="0" applyFont="1" applyFill="1" applyBorder="1" applyAlignment="1" applyProtection="1">
      <alignment horizontal="center" vertical="center"/>
      <protection locked="0"/>
    </xf>
    <xf numFmtId="0" fontId="22" fillId="4" borderId="49" xfId="0" applyFont="1" applyFill="1" applyBorder="1" applyAlignment="1" applyProtection="1">
      <alignment horizontal="center" vertical="center"/>
      <protection locked="0"/>
    </xf>
    <xf numFmtId="0" fontId="22" fillId="4" borderId="50" xfId="0" applyFont="1" applyFill="1" applyBorder="1" applyAlignment="1" applyProtection="1">
      <alignment horizontal="center" vertical="center"/>
      <protection locked="0"/>
    </xf>
    <xf numFmtId="2" fontId="22" fillId="4" borderId="26" xfId="0" applyNumberFormat="1" applyFont="1" applyFill="1" applyBorder="1" applyAlignment="1" applyProtection="1">
      <alignment horizontal="center" vertical="center"/>
      <protection locked="0"/>
    </xf>
    <xf numFmtId="2" fontId="22" fillId="4" borderId="29" xfId="0" applyNumberFormat="1" applyFont="1" applyFill="1" applyBorder="1" applyAlignment="1" applyProtection="1">
      <alignment horizontal="center" vertical="center"/>
      <protection locked="0"/>
    </xf>
    <xf numFmtId="2" fontId="22" fillId="4" borderId="14" xfId="0" applyNumberFormat="1" applyFont="1" applyFill="1" applyBorder="1" applyAlignment="1" applyProtection="1">
      <alignment horizontal="center" vertical="center"/>
      <protection locked="0"/>
    </xf>
    <xf numFmtId="0" fontId="27" fillId="12" borderId="0" xfId="0" applyFont="1" applyFill="1"/>
    <xf numFmtId="0" fontId="5" fillId="7" borderId="26"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17" fillId="7" borderId="29"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30" fillId="12" borderId="0" xfId="0" applyFont="1" applyFill="1" applyAlignment="1">
      <alignment horizontal="center" vertical="center"/>
    </xf>
    <xf numFmtId="0" fontId="30" fillId="12" borderId="0" xfId="0" applyFont="1" applyFill="1" applyAlignment="1">
      <alignment horizontal="center" vertical="center" wrapText="1"/>
    </xf>
    <xf numFmtId="0" fontId="22" fillId="7" borderId="26"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30" fillId="7" borderId="26"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4" fillId="0" borderId="18" xfId="0" applyFont="1" applyBorder="1" applyAlignment="1">
      <alignment horizontal="center" vertical="center" wrapText="1"/>
    </xf>
    <xf numFmtId="0" fontId="0" fillId="12" borderId="0" xfId="0" applyFill="1" applyAlignment="1">
      <alignment horizontal="center" vertical="top" wrapText="1"/>
    </xf>
    <xf numFmtId="0" fontId="0" fillId="30" borderId="11" xfId="0" applyFill="1" applyBorder="1" applyAlignment="1">
      <alignment horizontal="center"/>
    </xf>
    <xf numFmtId="0" fontId="0" fillId="30" borderId="13" xfId="0" applyFill="1" applyBorder="1" applyAlignment="1">
      <alignment horizontal="center"/>
    </xf>
    <xf numFmtId="0" fontId="33" fillId="29" borderId="13" xfId="0" applyFont="1" applyFill="1" applyBorder="1" applyAlignment="1">
      <alignment horizontal="center" vertical="center"/>
    </xf>
    <xf numFmtId="0" fontId="33" fillId="29" borderId="14" xfId="0" applyFont="1" applyFill="1" applyBorder="1" applyAlignment="1">
      <alignment horizontal="center" vertical="center"/>
    </xf>
    <xf numFmtId="0" fontId="33" fillId="29" borderId="27" xfId="0" applyFont="1" applyFill="1" applyBorder="1" applyAlignment="1">
      <alignment horizontal="center" vertical="center"/>
    </xf>
    <xf numFmtId="0" fontId="33" fillId="29" borderId="41" xfId="0" applyFont="1" applyFill="1" applyBorder="1" applyAlignment="1">
      <alignment horizontal="center" vertical="center"/>
    </xf>
    <xf numFmtId="0" fontId="33" fillId="29" borderId="56" xfId="0" applyFont="1" applyFill="1" applyBorder="1" applyAlignment="1">
      <alignment horizontal="center" vertical="center"/>
    </xf>
    <xf numFmtId="0" fontId="25" fillId="26" borderId="45" xfId="0" applyFont="1" applyFill="1" applyBorder="1" applyAlignment="1">
      <alignment horizontal="center" vertical="center"/>
    </xf>
    <xf numFmtId="0" fontId="25" fillId="26" borderId="38" xfId="0" applyFont="1" applyFill="1" applyBorder="1" applyAlignment="1">
      <alignment horizontal="center" vertical="center"/>
    </xf>
    <xf numFmtId="0" fontId="33" fillId="28" borderId="28" xfId="0" applyFont="1" applyFill="1" applyBorder="1" applyAlignment="1">
      <alignment horizontal="center" vertical="center"/>
    </xf>
    <xf numFmtId="0" fontId="33" fillId="28" borderId="18" xfId="0" applyFont="1" applyFill="1" applyBorder="1" applyAlignment="1">
      <alignment horizontal="center" vertical="center"/>
    </xf>
    <xf numFmtId="0" fontId="33" fillId="29" borderId="18" xfId="0" applyFont="1" applyFill="1" applyBorder="1" applyAlignment="1">
      <alignment horizontal="center" vertical="center"/>
    </xf>
    <xf numFmtId="0" fontId="33" fillId="29" borderId="29" xfId="0" applyFont="1" applyFill="1" applyBorder="1" applyAlignment="1">
      <alignment horizontal="center" vertical="center"/>
    </xf>
    <xf numFmtId="0" fontId="23" fillId="31" borderId="59" xfId="0" applyFont="1" applyFill="1" applyBorder="1" applyAlignment="1">
      <alignment horizontal="center" vertical="center"/>
    </xf>
    <xf numFmtId="0" fontId="23" fillId="31" borderId="60" xfId="0" applyFont="1" applyFill="1" applyBorder="1" applyAlignment="1">
      <alignment horizontal="center" vertical="center"/>
    </xf>
    <xf numFmtId="0" fontId="23" fillId="31" borderId="21" xfId="0" applyFont="1" applyFill="1" applyBorder="1" applyAlignment="1">
      <alignment horizontal="center" vertical="center"/>
    </xf>
    <xf numFmtId="0" fontId="23" fillId="31" borderId="23" xfId="0" applyFont="1" applyFill="1" applyBorder="1" applyAlignment="1">
      <alignment horizontal="center" vertical="center"/>
    </xf>
    <xf numFmtId="0" fontId="11" fillId="14" borderId="65" xfId="0" applyFont="1" applyFill="1" applyBorder="1" applyAlignment="1">
      <alignment horizontal="center" vertical="center"/>
    </xf>
    <xf numFmtId="0" fontId="11" fillId="14" borderId="64" xfId="0" applyFont="1" applyFill="1" applyBorder="1" applyAlignment="1">
      <alignment horizontal="center" vertical="center"/>
    </xf>
    <xf numFmtId="0" fontId="11" fillId="14" borderId="80" xfId="0" applyFont="1" applyFill="1" applyBorder="1" applyAlignment="1">
      <alignment horizontal="center" vertical="center"/>
    </xf>
    <xf numFmtId="0" fontId="11" fillId="14" borderId="68" xfId="0" applyFont="1" applyFill="1" applyBorder="1" applyAlignment="1">
      <alignment horizontal="center" vertical="center"/>
    </xf>
    <xf numFmtId="0" fontId="11" fillId="14" borderId="17" xfId="0" applyFont="1" applyFill="1" applyBorder="1" applyAlignment="1">
      <alignment horizontal="center" vertical="center"/>
    </xf>
    <xf numFmtId="0" fontId="11" fillId="14" borderId="46" xfId="0" applyFont="1" applyFill="1" applyBorder="1" applyAlignment="1">
      <alignment horizontal="center" vertical="center"/>
    </xf>
    <xf numFmtId="0" fontId="23" fillId="24" borderId="59" xfId="0" applyFont="1" applyFill="1" applyBorder="1" applyAlignment="1">
      <alignment horizontal="center" vertical="center"/>
    </xf>
    <xf numFmtId="0" fontId="23" fillId="24" borderId="60" xfId="0" applyFont="1" applyFill="1" applyBorder="1" applyAlignment="1">
      <alignment horizontal="center" vertical="center"/>
    </xf>
    <xf numFmtId="0" fontId="23" fillId="24" borderId="21" xfId="0" applyFont="1" applyFill="1" applyBorder="1" applyAlignment="1">
      <alignment horizontal="center" vertical="center"/>
    </xf>
    <xf numFmtId="0" fontId="23" fillId="24" borderId="23" xfId="0" applyFont="1" applyFill="1" applyBorder="1" applyAlignment="1">
      <alignment horizontal="center" vertical="center"/>
    </xf>
    <xf numFmtId="0" fontId="11" fillId="29" borderId="65" xfId="0" applyFont="1" applyFill="1" applyBorder="1" applyAlignment="1">
      <alignment horizontal="center" vertical="center"/>
    </xf>
    <xf numFmtId="0" fontId="11" fillId="29" borderId="64" xfId="0" applyFont="1" applyFill="1" applyBorder="1" applyAlignment="1">
      <alignment horizontal="center" vertical="center"/>
    </xf>
    <xf numFmtId="0" fontId="11" fillId="29" borderId="80" xfId="0" applyFont="1" applyFill="1" applyBorder="1" applyAlignment="1">
      <alignment horizontal="center" vertical="center"/>
    </xf>
    <xf numFmtId="0" fontId="11" fillId="29" borderId="68" xfId="0" applyFont="1" applyFill="1" applyBorder="1" applyAlignment="1">
      <alignment horizontal="center" vertical="center"/>
    </xf>
    <xf numFmtId="0" fontId="11" fillId="29" borderId="17" xfId="0" applyFont="1" applyFill="1" applyBorder="1" applyAlignment="1">
      <alignment horizontal="center" vertical="center"/>
    </xf>
    <xf numFmtId="0" fontId="11" fillId="29" borderId="46" xfId="0" applyFont="1" applyFill="1" applyBorder="1" applyAlignment="1">
      <alignment horizontal="center" vertical="center"/>
    </xf>
    <xf numFmtId="0" fontId="4" fillId="12" borderId="0" xfId="0" applyFont="1" applyFill="1" applyAlignment="1">
      <alignment horizontal="center"/>
    </xf>
    <xf numFmtId="0" fontId="0" fillId="12" borderId="0" xfId="0" applyFill="1" applyAlignment="1">
      <alignment horizontal="center" vertical="top"/>
    </xf>
    <xf numFmtId="0" fontId="0" fillId="12" borderId="0" xfId="0" applyFill="1" applyAlignment="1">
      <alignment horizontal="left" vertical="top" wrapText="1"/>
    </xf>
    <xf numFmtId="0" fontId="6" fillId="12" borderId="0" xfId="0" applyFont="1" applyFill="1" applyAlignment="1">
      <alignment horizontal="center"/>
    </xf>
    <xf numFmtId="0" fontId="16" fillId="0" borderId="30" xfId="0" applyFont="1" applyBorder="1" applyAlignment="1" applyProtection="1">
      <alignment horizontal="center" vertical="center" wrapText="1"/>
      <protection locked="0"/>
    </xf>
    <xf numFmtId="0" fontId="16" fillId="0" borderId="75"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1" fillId="14" borderId="74" xfId="0" applyFont="1" applyFill="1" applyBorder="1" applyAlignment="1">
      <alignment horizontal="center" vertical="center"/>
    </xf>
    <xf numFmtId="0" fontId="11" fillId="14" borderId="31" xfId="0" applyFont="1" applyFill="1" applyBorder="1" applyAlignment="1">
      <alignment horizontal="center" vertical="center"/>
    </xf>
    <xf numFmtId="0" fontId="11" fillId="14" borderId="32" xfId="0" applyFont="1" applyFill="1" applyBorder="1" applyAlignment="1">
      <alignment horizontal="center" vertical="center"/>
    </xf>
    <xf numFmtId="0" fontId="42" fillId="12" borderId="0" xfId="0" applyFont="1" applyFill="1" applyAlignment="1">
      <alignment horizontal="center" vertical="center"/>
    </xf>
    <xf numFmtId="0" fontId="8" fillId="12" borderId="0" xfId="0" applyFont="1" applyFill="1" applyAlignment="1">
      <alignment horizontal="center" vertical="center" wrapText="1"/>
    </xf>
    <xf numFmtId="0" fontId="8" fillId="12" borderId="0" xfId="0" applyFont="1" applyFill="1" applyAlignment="1">
      <alignment horizontal="center" vertical="center"/>
    </xf>
    <xf numFmtId="0" fontId="26" fillId="12" borderId="0" xfId="0" applyFont="1" applyFill="1" applyAlignment="1">
      <alignment horizontal="center" vertical="center"/>
    </xf>
    <xf numFmtId="0" fontId="2" fillId="12" borderId="0" xfId="0" applyFont="1" applyFill="1" applyAlignment="1">
      <alignment horizontal="center"/>
    </xf>
    <xf numFmtId="49" fontId="4" fillId="12" borderId="0" xfId="0" applyNumberFormat="1" applyFont="1" applyFill="1" applyAlignment="1">
      <alignment horizontal="center"/>
    </xf>
    <xf numFmtId="0" fontId="39" fillId="12" borderId="0" xfId="0" applyFont="1" applyFill="1" applyAlignment="1">
      <alignment horizontal="center" vertic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47" xfId="0" applyFont="1" applyFill="1" applyBorder="1" applyAlignment="1">
      <alignment horizontal="center" vertical="center"/>
    </xf>
    <xf numFmtId="0" fontId="20" fillId="5" borderId="55"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58"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5" fillId="12" borderId="33" xfId="0" applyFont="1" applyFill="1" applyBorder="1" applyAlignment="1">
      <alignment horizontal="center" vertical="center"/>
    </xf>
    <xf numFmtId="0" fontId="5" fillId="12" borderId="0" xfId="0" applyFont="1" applyFill="1" applyAlignment="1">
      <alignment horizontal="center" vertical="center"/>
    </xf>
    <xf numFmtId="0" fontId="5" fillId="12" borderId="0" xfId="0" applyFont="1" applyFill="1" applyAlignment="1">
      <alignment horizontal="center" vertical="center" wrapText="1"/>
    </xf>
    <xf numFmtId="0" fontId="20" fillId="5" borderId="45" xfId="0" applyFont="1" applyFill="1" applyBorder="1" applyAlignment="1">
      <alignment horizontal="center" vertical="center"/>
    </xf>
    <xf numFmtId="0" fontId="20" fillId="5" borderId="56" xfId="0" applyFont="1" applyFill="1" applyBorder="1" applyAlignment="1">
      <alignment horizontal="center" vertical="center"/>
    </xf>
    <xf numFmtId="0" fontId="20" fillId="5" borderId="1" xfId="0" applyFont="1" applyFill="1" applyBorder="1" applyAlignment="1">
      <alignment horizontal="center" vertical="center"/>
    </xf>
    <xf numFmtId="0" fontId="20" fillId="5" borderId="40" xfId="0" applyFont="1" applyFill="1" applyBorder="1" applyAlignment="1">
      <alignment horizontal="center" vertical="center"/>
    </xf>
    <xf numFmtId="0" fontId="20" fillId="22" borderId="39" xfId="0" applyFont="1" applyFill="1" applyBorder="1" applyAlignment="1">
      <alignment horizontal="center" vertical="center"/>
    </xf>
    <xf numFmtId="0" fontId="20" fillId="22" borderId="26" xfId="0" applyFont="1" applyFill="1" applyBorder="1" applyAlignment="1">
      <alignment horizontal="center" vertical="center"/>
    </xf>
    <xf numFmtId="0" fontId="20" fillId="22" borderId="13" xfId="0" applyFont="1" applyFill="1" applyBorder="1" applyAlignment="1">
      <alignment horizontal="center" vertical="center"/>
    </xf>
    <xf numFmtId="0" fontId="20" fillId="22" borderId="14" xfId="0" applyFont="1" applyFill="1" applyBorder="1" applyAlignment="1">
      <alignment horizontal="center" vertical="center"/>
    </xf>
    <xf numFmtId="0" fontId="2" fillId="12" borderId="33" xfId="0" applyFont="1" applyFill="1" applyBorder="1" applyAlignment="1">
      <alignment horizontal="center" vertical="center" wrapText="1"/>
    </xf>
    <xf numFmtId="0" fontId="2" fillId="12" borderId="0" xfId="0" applyFont="1" applyFill="1" applyAlignment="1">
      <alignment horizontal="center" vertical="center" wrapText="1"/>
    </xf>
    <xf numFmtId="0" fontId="17" fillId="0" borderId="27" xfId="0" applyFont="1" applyBorder="1" applyAlignment="1" applyProtection="1">
      <alignment horizontal="center" vertical="center" wrapText="1"/>
      <protection locked="0"/>
    </xf>
    <xf numFmtId="0" fontId="17" fillId="0" borderId="56" xfId="0" applyFont="1" applyBorder="1" applyAlignment="1" applyProtection="1">
      <alignment horizontal="center" vertical="center" wrapText="1"/>
      <protection locked="0"/>
    </xf>
    <xf numFmtId="0" fontId="17" fillId="0" borderId="61" xfId="0" applyFont="1" applyBorder="1" applyAlignment="1" applyProtection="1">
      <alignment horizontal="center" vertical="center" wrapText="1"/>
      <protection locked="0"/>
    </xf>
    <xf numFmtId="0" fontId="17" fillId="0" borderId="55" xfId="0" applyFont="1" applyBorder="1" applyAlignment="1" applyProtection="1">
      <alignment horizontal="center" vertical="center" wrapText="1"/>
      <protection locked="0"/>
    </xf>
    <xf numFmtId="0" fontId="12" fillId="22" borderId="25" xfId="0" applyFont="1" applyFill="1" applyBorder="1" applyAlignment="1">
      <alignment horizontal="center" vertical="center"/>
    </xf>
    <xf numFmtId="0" fontId="12" fillId="22" borderId="11" xfId="0" applyFont="1" applyFill="1" applyBorder="1" applyAlignment="1">
      <alignment horizontal="center" vertical="center"/>
    </xf>
    <xf numFmtId="0" fontId="12" fillId="22" borderId="20" xfId="0" applyFont="1" applyFill="1" applyBorder="1" applyAlignment="1">
      <alignment horizontal="center" vertical="center"/>
    </xf>
    <xf numFmtId="0" fontId="12" fillId="22" borderId="15" xfId="0" applyFont="1" applyFill="1" applyBorder="1" applyAlignment="1">
      <alignment horizontal="center" vertical="center"/>
    </xf>
    <xf numFmtId="0" fontId="20" fillId="5" borderId="25" xfId="0" applyFont="1" applyFill="1" applyBorder="1" applyAlignment="1">
      <alignment horizontal="center"/>
    </xf>
    <xf numFmtId="0" fontId="20" fillId="5" borderId="39" xfId="0" applyFont="1" applyFill="1" applyBorder="1" applyAlignment="1">
      <alignment horizontal="center"/>
    </xf>
    <xf numFmtId="0" fontId="26" fillId="12" borderId="33" xfId="0" applyFont="1" applyFill="1" applyBorder="1" applyAlignment="1">
      <alignment horizontal="center" vertical="center"/>
    </xf>
    <xf numFmtId="0" fontId="20" fillId="5" borderId="11" xfId="0" applyFont="1" applyFill="1" applyBorder="1" applyAlignment="1">
      <alignment horizontal="center"/>
    </xf>
    <xf numFmtId="0" fontId="20" fillId="5" borderId="13" xfId="0" applyFont="1" applyFill="1" applyBorder="1" applyAlignment="1">
      <alignment horizontal="center"/>
    </xf>
    <xf numFmtId="0" fontId="33" fillId="0" borderId="0" xfId="0" applyFont="1" applyAlignment="1">
      <alignment horizontal="center" vertical="center" wrapText="1"/>
    </xf>
    <xf numFmtId="0" fontId="15" fillId="22" borderId="45" xfId="0" applyFont="1" applyFill="1" applyBorder="1" applyAlignment="1">
      <alignment horizontal="center" vertical="center" wrapText="1"/>
    </xf>
    <xf numFmtId="0" fontId="15" fillId="22" borderId="41" xfId="0" applyFont="1" applyFill="1" applyBorder="1" applyAlignment="1">
      <alignment horizontal="center" vertical="center" wrapText="1"/>
    </xf>
    <xf numFmtId="0" fontId="15" fillId="22" borderId="38" xfId="0" applyFont="1" applyFill="1" applyBorder="1" applyAlignment="1">
      <alignment horizontal="center" vertical="center" wrapText="1"/>
    </xf>
    <xf numFmtId="0" fontId="10" fillId="3" borderId="0" xfId="0" applyFont="1" applyFill="1" applyAlignment="1">
      <alignment horizontal="center" vertical="center" textRotation="90"/>
    </xf>
    <xf numFmtId="0" fontId="15" fillId="22" borderId="47" xfId="0" applyFont="1" applyFill="1" applyBorder="1" applyAlignment="1">
      <alignment horizontal="center" vertical="center" wrapText="1"/>
    </xf>
    <xf numFmtId="0" fontId="15" fillId="22" borderId="42" xfId="0" applyFont="1" applyFill="1" applyBorder="1" applyAlignment="1">
      <alignment horizontal="center" vertical="center" wrapText="1"/>
    </xf>
    <xf numFmtId="0" fontId="15" fillId="22" borderId="12" xfId="0" applyFont="1" applyFill="1" applyBorder="1" applyAlignment="1">
      <alignment horizontal="center" vertical="center" wrapText="1"/>
    </xf>
    <xf numFmtId="165" fontId="23" fillId="7" borderId="61" xfId="0" applyNumberFormat="1" applyFont="1" applyFill="1" applyBorder="1" applyAlignment="1">
      <alignment horizontal="center" vertical="center" wrapText="1"/>
    </xf>
    <xf numFmtId="165" fontId="23" fillId="7" borderId="42" xfId="0" applyNumberFormat="1" applyFont="1" applyFill="1" applyBorder="1" applyAlignment="1">
      <alignment horizontal="center" vertical="center" wrapText="1"/>
    </xf>
    <xf numFmtId="165" fontId="23" fillId="7" borderId="12" xfId="0" applyNumberFormat="1"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5" borderId="42"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15" fillId="5" borderId="25" xfId="0" applyFont="1" applyFill="1" applyBorder="1" applyAlignment="1">
      <alignment horizontal="center" vertical="center" wrapText="1"/>
    </xf>
    <xf numFmtId="0" fontId="15" fillId="5" borderId="39" xfId="0" applyFont="1" applyFill="1" applyBorder="1" applyAlignment="1">
      <alignment horizontal="center" vertical="center" wrapText="1"/>
    </xf>
    <xf numFmtId="0" fontId="15" fillId="22" borderId="59" xfId="0" applyFont="1" applyFill="1" applyBorder="1" applyAlignment="1">
      <alignment horizontal="center" vertical="center" wrapText="1"/>
    </xf>
    <xf numFmtId="0" fontId="15" fillId="22" borderId="64" xfId="0" applyFont="1" applyFill="1" applyBorder="1" applyAlignment="1">
      <alignment horizontal="center" vertical="center" wrapText="1"/>
    </xf>
    <xf numFmtId="0" fontId="15" fillId="22" borderId="60" xfId="0" applyFont="1" applyFill="1" applyBorder="1" applyAlignment="1">
      <alignment horizontal="center" vertical="center" wrapText="1"/>
    </xf>
    <xf numFmtId="0" fontId="15" fillId="22" borderId="21" xfId="0" applyFont="1" applyFill="1" applyBorder="1" applyAlignment="1">
      <alignment horizontal="center" vertical="center" wrapText="1"/>
    </xf>
    <xf numFmtId="0" fontId="15" fillId="22" borderId="17" xfId="0" applyFont="1" applyFill="1" applyBorder="1" applyAlignment="1">
      <alignment horizontal="center" vertical="center" wrapText="1"/>
    </xf>
    <xf numFmtId="0" fontId="15" fillId="22" borderId="23" xfId="0" applyFont="1" applyFill="1" applyBorder="1" applyAlignment="1">
      <alignment horizontal="center" vertical="center" wrapText="1"/>
    </xf>
    <xf numFmtId="0" fontId="15" fillId="22" borderId="33" xfId="0" applyFont="1" applyFill="1" applyBorder="1" applyAlignment="1">
      <alignment horizontal="center" vertical="center" wrapText="1"/>
    </xf>
    <xf numFmtId="0" fontId="15" fillId="22" borderId="0" xfId="0" applyFont="1" applyFill="1" applyAlignment="1">
      <alignment horizontal="center" vertical="center" wrapText="1"/>
    </xf>
    <xf numFmtId="0" fontId="15" fillId="22" borderId="34" xfId="0" applyFont="1" applyFill="1" applyBorder="1" applyAlignment="1">
      <alignment horizontal="center" vertical="center" wrapText="1"/>
    </xf>
    <xf numFmtId="0" fontId="15" fillId="22" borderId="35" xfId="0" applyFont="1" applyFill="1" applyBorder="1" applyAlignment="1">
      <alignment horizontal="center" vertical="center" wrapText="1"/>
    </xf>
    <xf numFmtId="0" fontId="15" fillId="22" borderId="57"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63" xfId="0" applyFont="1" applyFill="1" applyBorder="1" applyAlignment="1">
      <alignment horizontal="center" vertical="center" wrapText="1"/>
    </xf>
    <xf numFmtId="0" fontId="20" fillId="5" borderId="67" xfId="0" applyFont="1" applyFill="1" applyBorder="1" applyAlignment="1">
      <alignment horizontal="center" vertical="center" wrapText="1"/>
    </xf>
    <xf numFmtId="0" fontId="12" fillId="22" borderId="61" xfId="0" applyFont="1" applyFill="1" applyBorder="1" applyAlignment="1">
      <alignment horizontal="center" vertical="center"/>
    </xf>
    <xf numFmtId="1" fontId="2" fillId="24" borderId="61" xfId="0" applyNumberFormat="1" applyFont="1" applyFill="1" applyBorder="1" applyAlignment="1">
      <alignment horizontal="center" vertical="center" wrapText="1"/>
    </xf>
    <xf numFmtId="1" fontId="2" fillId="24" borderId="12" xfId="0" applyNumberFormat="1" applyFont="1" applyFill="1" applyBorder="1" applyAlignment="1">
      <alignment horizontal="center" vertical="center" wrapText="1"/>
    </xf>
    <xf numFmtId="1" fontId="2" fillId="24" borderId="55" xfId="0" applyNumberFormat="1" applyFont="1" applyFill="1" applyBorder="1" applyAlignment="1">
      <alignment horizontal="center" vertical="center" wrapText="1"/>
    </xf>
    <xf numFmtId="1" fontId="2" fillId="24" borderId="13" xfId="0" applyNumberFormat="1" applyFont="1" applyFill="1" applyBorder="1" applyAlignment="1">
      <alignment horizontal="center" vertical="center" wrapText="1"/>
    </xf>
    <xf numFmtId="0" fontId="2" fillId="12" borderId="31" xfId="0" applyFont="1" applyFill="1" applyBorder="1" applyAlignment="1">
      <alignment horizontal="center" vertical="center"/>
    </xf>
    <xf numFmtId="0" fontId="10" fillId="3" borderId="0" xfId="0" applyFont="1" applyFill="1" applyAlignment="1">
      <alignment horizontal="center" vertical="center"/>
    </xf>
    <xf numFmtId="0" fontId="5" fillId="0" borderId="63" xfId="0" applyFont="1" applyBorder="1" applyAlignment="1">
      <alignment horizontal="center" vertical="center"/>
    </xf>
    <xf numFmtId="0" fontId="5" fillId="0" borderId="6" xfId="0" applyFont="1" applyBorder="1" applyAlignment="1">
      <alignment horizontal="center" vertical="center"/>
    </xf>
    <xf numFmtId="0" fontId="12" fillId="22" borderId="45" xfId="0" applyFont="1" applyFill="1" applyBorder="1" applyAlignment="1">
      <alignment horizontal="center" vertical="center"/>
    </xf>
    <xf numFmtId="0" fontId="12" fillId="22" borderId="56" xfId="0" applyFont="1" applyFill="1" applyBorder="1" applyAlignment="1">
      <alignment horizontal="center" vertical="center"/>
    </xf>
    <xf numFmtId="1" fontId="0" fillId="0" borderId="27" xfId="0" applyNumberFormat="1" applyBorder="1" applyAlignment="1" applyProtection="1">
      <alignment horizontal="center" vertical="center" wrapText="1"/>
      <protection locked="0"/>
    </xf>
    <xf numFmtId="1" fontId="0" fillId="0" borderId="38" xfId="0" applyNumberFormat="1" applyBorder="1" applyAlignment="1" applyProtection="1">
      <alignment horizontal="center" vertical="center" wrapText="1"/>
      <protection locked="0"/>
    </xf>
    <xf numFmtId="1" fontId="0" fillId="0" borderId="27" xfId="0" applyNumberFormat="1" applyBorder="1" applyAlignment="1" applyProtection="1">
      <alignment horizontal="center" vertical="center"/>
      <protection locked="0"/>
    </xf>
    <xf numFmtId="1" fontId="0" fillId="0" borderId="56" xfId="0" applyNumberFormat="1" applyBorder="1" applyAlignment="1" applyProtection="1">
      <alignment horizontal="center" vertical="center"/>
      <protection locked="0"/>
    </xf>
    <xf numFmtId="1" fontId="0" fillId="2" borderId="45" xfId="0" applyNumberFormat="1" applyFill="1" applyBorder="1" applyAlignment="1">
      <alignment horizontal="center" vertical="center" wrapText="1"/>
    </xf>
    <xf numFmtId="1" fontId="0" fillId="2" borderId="41" xfId="0" applyNumberFormat="1" applyFill="1" applyBorder="1" applyAlignment="1">
      <alignment horizontal="center" vertical="center" wrapText="1"/>
    </xf>
    <xf numFmtId="1" fontId="0" fillId="2" borderId="38" xfId="0" applyNumberFormat="1" applyFill="1" applyBorder="1" applyAlignment="1">
      <alignment horizontal="center" vertical="center" wrapText="1"/>
    </xf>
    <xf numFmtId="1" fontId="0" fillId="2" borderId="27" xfId="0" applyNumberFormat="1" applyFill="1" applyBorder="1" applyAlignment="1">
      <alignment horizontal="center" vertical="center" wrapText="1"/>
    </xf>
    <xf numFmtId="1" fontId="0" fillId="2" borderId="56" xfId="0" applyNumberFormat="1" applyFill="1" applyBorder="1" applyAlignment="1">
      <alignment horizontal="center" vertical="center" wrapText="1"/>
    </xf>
    <xf numFmtId="0" fontId="12" fillId="22" borderId="5" xfId="0" applyFont="1" applyFill="1" applyBorder="1" applyAlignment="1">
      <alignment horizontal="center" vertical="center"/>
    </xf>
    <xf numFmtId="0" fontId="12" fillId="22" borderId="6" xfId="0" applyFont="1" applyFill="1" applyBorder="1" applyAlignment="1">
      <alignment horizontal="center" vertical="center"/>
    </xf>
    <xf numFmtId="1" fontId="0" fillId="0" borderId="62" xfId="0" applyNumberFormat="1" applyBorder="1" applyAlignment="1" applyProtection="1">
      <alignment horizontal="center" vertical="center" wrapText="1"/>
      <protection locked="0"/>
    </xf>
    <xf numFmtId="1" fontId="0" fillId="0" borderId="67" xfId="0" applyNumberFormat="1" applyBorder="1" applyAlignment="1" applyProtection="1">
      <alignment horizontal="center" vertical="center" wrapText="1"/>
      <protection locked="0"/>
    </xf>
    <xf numFmtId="1" fontId="0" fillId="0" borderId="62" xfId="0" applyNumberFormat="1" applyBorder="1" applyAlignment="1" applyProtection="1">
      <alignment horizontal="center" vertical="center"/>
      <protection locked="0"/>
    </xf>
    <xf numFmtId="1" fontId="0" fillId="0" borderId="6" xfId="0" applyNumberFormat="1" applyBorder="1" applyAlignment="1" applyProtection="1">
      <alignment horizontal="center" vertical="center"/>
      <protection locked="0"/>
    </xf>
    <xf numFmtId="1" fontId="0" fillId="2" borderId="5" xfId="0" applyNumberFormat="1" applyFill="1" applyBorder="1" applyAlignment="1">
      <alignment horizontal="center" vertical="center" wrapText="1"/>
    </xf>
    <xf numFmtId="1" fontId="0" fillId="2" borderId="63" xfId="0" applyNumberFormat="1" applyFill="1" applyBorder="1" applyAlignment="1">
      <alignment horizontal="center" vertical="center" wrapText="1"/>
    </xf>
    <xf numFmtId="1" fontId="0" fillId="2" borderId="67" xfId="0" applyNumberFormat="1" applyFill="1" applyBorder="1" applyAlignment="1">
      <alignment horizontal="center" vertical="center" wrapText="1"/>
    </xf>
    <xf numFmtId="1" fontId="0" fillId="2" borderId="62" xfId="0" applyNumberFormat="1" applyFill="1" applyBorder="1" applyAlignment="1">
      <alignment horizontal="center" vertical="center" wrapText="1"/>
    </xf>
    <xf numFmtId="1" fontId="0" fillId="2" borderId="6" xfId="0" applyNumberForma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165" fontId="0" fillId="24" borderId="44" xfId="0" applyNumberFormat="1" applyFill="1" applyBorder="1" applyAlignment="1">
      <alignment horizontal="center" vertical="center" wrapText="1"/>
    </xf>
    <xf numFmtId="165" fontId="0" fillId="24" borderId="3" xfId="0" applyNumberFormat="1" applyFill="1" applyBorder="1" applyAlignment="1">
      <alignment horizontal="center" vertical="center" wrapText="1"/>
    </xf>
    <xf numFmtId="165" fontId="0" fillId="24" borderId="1" xfId="0" applyNumberForma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2" fillId="5" borderId="76"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6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165" fontId="0" fillId="24" borderId="24" xfId="0" applyNumberFormat="1" applyFill="1" applyBorder="1" applyAlignment="1">
      <alignment horizontal="center" vertical="center" wrapText="1"/>
    </xf>
    <xf numFmtId="165" fontId="0" fillId="24" borderId="19" xfId="0" applyNumberForma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7" borderId="11" xfId="0" applyFont="1" applyFill="1" applyBorder="1" applyAlignment="1">
      <alignment horizontal="center" vertical="center"/>
    </xf>
    <xf numFmtId="0" fontId="4" fillId="7" borderId="14" xfId="0" applyFont="1" applyFill="1" applyBorder="1" applyAlignment="1">
      <alignment horizontal="center" vertical="center"/>
    </xf>
    <xf numFmtId="165" fontId="0" fillId="24" borderId="69" xfId="0" applyNumberFormat="1" applyFill="1" applyBorder="1" applyAlignment="1">
      <alignment horizontal="center" vertical="center" wrapText="1"/>
    </xf>
    <xf numFmtId="165" fontId="0" fillId="24" borderId="77" xfId="0" applyNumberForma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1"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2" fontId="0" fillId="24" borderId="1" xfId="0" applyNumberFormat="1" applyFill="1" applyBorder="1" applyAlignment="1">
      <alignment horizontal="center" vertical="center" wrapText="1"/>
    </xf>
    <xf numFmtId="2" fontId="0" fillId="24" borderId="2" xfId="0" applyNumberFormat="1" applyFill="1" applyBorder="1" applyAlignment="1">
      <alignment horizontal="center" vertical="center" wrapText="1"/>
    </xf>
    <xf numFmtId="2" fontId="0" fillId="24" borderId="3" xfId="0" applyNumberFormat="1" applyFill="1" applyBorder="1" applyAlignment="1">
      <alignment horizontal="center" vertical="center" wrapText="1"/>
    </xf>
    <xf numFmtId="165" fontId="0" fillId="24" borderId="2" xfId="0" applyNumberForma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63"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4" fillId="16" borderId="45" xfId="0" applyFont="1" applyFill="1" applyBorder="1" applyAlignment="1" applyProtection="1">
      <alignment horizontal="center" vertical="center"/>
      <protection locked="0"/>
    </xf>
    <xf numFmtId="0" fontId="4" fillId="16" borderId="56" xfId="0" applyFont="1" applyFill="1" applyBorder="1" applyAlignment="1" applyProtection="1">
      <alignment horizontal="center" vertical="center"/>
      <protection locked="0"/>
    </xf>
    <xf numFmtId="2" fontId="0" fillId="0" borderId="21" xfId="0" applyNumberFormat="1" applyBorder="1" applyAlignment="1" applyProtection="1">
      <alignment horizontal="center" vertical="center" wrapText="1"/>
      <protection locked="0"/>
    </xf>
    <xf numFmtId="2" fontId="0" fillId="0" borderId="17" xfId="0" applyNumberFormat="1" applyBorder="1" applyAlignment="1" applyProtection="1">
      <alignment horizontal="center" vertical="center" wrapText="1"/>
      <protection locked="0"/>
    </xf>
    <xf numFmtId="2" fontId="0" fillId="0" borderId="46" xfId="0" applyNumberFormat="1" applyBorder="1" applyAlignment="1" applyProtection="1">
      <alignment horizontal="center" vertical="center" wrapText="1"/>
      <protection locked="0"/>
    </xf>
    <xf numFmtId="165" fontId="0" fillId="24" borderId="23" xfId="0" applyNumberFormat="1" applyFill="1" applyBorder="1" applyAlignment="1">
      <alignment horizontal="center" vertical="center" wrapText="1"/>
    </xf>
    <xf numFmtId="165" fontId="0" fillId="24" borderId="68" xfId="0" applyNumberFormat="1" applyFill="1" applyBorder="1" applyAlignment="1">
      <alignment horizontal="center" vertical="center" wrapText="1"/>
    </xf>
    <xf numFmtId="0" fontId="0" fillId="2" borderId="28" xfId="0" applyFill="1" applyBorder="1" applyAlignment="1">
      <alignment horizontal="center" vertical="center" wrapText="1"/>
    </xf>
    <xf numFmtId="0" fontId="0" fillId="2" borderId="18" xfId="0" applyFill="1" applyBorder="1" applyAlignment="1">
      <alignment horizontal="center" vertical="center" wrapText="1"/>
    </xf>
    <xf numFmtId="0" fontId="4" fillId="7" borderId="1" xfId="0" applyFont="1" applyFill="1" applyBorder="1" applyAlignment="1">
      <alignment horizontal="center" vertical="center"/>
    </xf>
    <xf numFmtId="0" fontId="4" fillId="7" borderId="3" xfId="0" applyFont="1" applyFill="1" applyBorder="1" applyAlignment="1">
      <alignment horizontal="center" vertical="center"/>
    </xf>
    <xf numFmtId="2" fontId="0" fillId="7" borderId="1"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2" fontId="0" fillId="7" borderId="3" xfId="0" applyNumberFormat="1" applyFill="1" applyBorder="1" applyAlignment="1">
      <alignment horizontal="center" vertical="center" wrapText="1"/>
    </xf>
    <xf numFmtId="165" fontId="0" fillId="24" borderId="40" xfId="0" applyNumberFormat="1" applyFill="1" applyBorder="1" applyAlignment="1">
      <alignment horizontal="center" vertical="center" wrapText="1"/>
    </xf>
    <xf numFmtId="165" fontId="0" fillId="24" borderId="53" xfId="0" applyNumberFormat="1" applyFill="1" applyBorder="1" applyAlignment="1">
      <alignment horizontal="center" vertical="center" wrapText="1"/>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0" fontId="14" fillId="5" borderId="67"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5" borderId="2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4" fillId="16" borderId="5" xfId="0" applyFont="1" applyFill="1" applyBorder="1" applyAlignment="1" applyProtection="1">
      <alignment horizontal="center" vertical="center"/>
      <protection locked="0"/>
    </xf>
    <xf numFmtId="0" fontId="4" fillId="16" borderId="6" xfId="0" applyFont="1" applyFill="1" applyBorder="1" applyAlignment="1" applyProtection="1">
      <alignment horizontal="center" vertical="center"/>
      <protection locked="0"/>
    </xf>
    <xf numFmtId="0" fontId="3" fillId="0" borderId="39"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2" fillId="5" borderId="5"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4" fillId="5" borderId="48"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2" fillId="27" borderId="13" xfId="0" applyFont="1" applyFill="1" applyBorder="1" applyAlignment="1">
      <alignment horizontal="center" vertical="center" wrapText="1"/>
    </xf>
    <xf numFmtId="0" fontId="12" fillId="27" borderId="14" xfId="0" applyFont="1" applyFill="1" applyBorder="1" applyAlignment="1">
      <alignment horizontal="center" vertical="center" wrapText="1"/>
    </xf>
    <xf numFmtId="0" fontId="20" fillId="22" borderId="25" xfId="0" applyFont="1" applyFill="1" applyBorder="1" applyAlignment="1">
      <alignment horizontal="center"/>
    </xf>
    <xf numFmtId="0" fontId="20" fillId="22" borderId="26" xfId="0" applyFont="1" applyFill="1" applyBorder="1" applyAlignment="1">
      <alignment horizontal="center"/>
    </xf>
    <xf numFmtId="0" fontId="0" fillId="0" borderId="30" xfId="0"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26" fillId="17" borderId="0" xfId="0" applyFont="1" applyFill="1" applyAlignment="1">
      <alignment horizontal="center" vertical="center" wrapText="1"/>
    </xf>
    <xf numFmtId="0" fontId="20" fillId="22" borderId="11" xfId="0" applyFont="1" applyFill="1" applyBorder="1" applyAlignment="1">
      <alignment horizontal="center"/>
    </xf>
    <xf numFmtId="0" fontId="20" fillId="22" borderId="14" xfId="0" applyFont="1" applyFill="1" applyBorder="1" applyAlignment="1">
      <alignment horizontal="center"/>
    </xf>
    <xf numFmtId="0" fontId="12" fillId="5" borderId="25"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26" xfId="0" applyFont="1" applyFill="1" applyBorder="1" applyAlignment="1">
      <alignment horizontal="center" vertical="center"/>
    </xf>
    <xf numFmtId="0" fontId="4" fillId="7" borderId="44" xfId="0" applyFont="1" applyFill="1" applyBorder="1" applyAlignment="1">
      <alignment horizontal="center" vertical="center"/>
    </xf>
    <xf numFmtId="0" fontId="0" fillId="7" borderId="1" xfId="0"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20" fillId="22" borderId="4" xfId="0" applyFont="1" applyFill="1" applyBorder="1" applyAlignment="1">
      <alignment horizontal="center" vertical="center" wrapText="1"/>
    </xf>
    <xf numFmtId="0" fontId="20" fillId="22" borderId="58" xfId="0" applyFont="1" applyFill="1" applyBorder="1" applyAlignment="1">
      <alignment horizontal="center" vertical="center" wrapText="1"/>
    </xf>
    <xf numFmtId="0" fontId="20" fillId="22" borderId="10" xfId="0" applyFont="1" applyFill="1" applyBorder="1" applyAlignment="1">
      <alignment horizontal="center" vertical="center" wrapText="1"/>
    </xf>
    <xf numFmtId="0" fontId="20" fillId="22" borderId="78" xfId="0" applyFont="1" applyFill="1" applyBorder="1" applyAlignment="1">
      <alignment horizontal="center" vertical="center"/>
    </xf>
    <xf numFmtId="0" fontId="20" fillId="22" borderId="72" xfId="0" applyFont="1" applyFill="1" applyBorder="1" applyAlignment="1">
      <alignment horizontal="center" vertical="center"/>
    </xf>
    <xf numFmtId="0" fontId="20" fillId="22" borderId="76" xfId="0" applyFont="1" applyFill="1" applyBorder="1" applyAlignment="1">
      <alignment horizontal="center" vertical="center"/>
    </xf>
    <xf numFmtId="0" fontId="33" fillId="12" borderId="52" xfId="0" applyFont="1" applyFill="1" applyBorder="1" applyAlignment="1">
      <alignment horizontal="center" vertical="center"/>
    </xf>
    <xf numFmtId="0" fontId="33" fillId="12" borderId="71" xfId="0" applyFont="1" applyFill="1" applyBorder="1" applyAlignment="1">
      <alignment horizontal="center" vertical="center"/>
    </xf>
    <xf numFmtId="0" fontId="33" fillId="12" borderId="77" xfId="0" applyFont="1" applyFill="1" applyBorder="1" applyAlignment="1">
      <alignment horizontal="center" vertical="center"/>
    </xf>
    <xf numFmtId="0" fontId="20" fillId="22" borderId="25" xfId="0" applyFont="1" applyFill="1" applyBorder="1" applyAlignment="1">
      <alignment horizontal="center" vertical="center"/>
    </xf>
    <xf numFmtId="0" fontId="20" fillId="22" borderId="28" xfId="0" applyFont="1" applyFill="1" applyBorder="1" applyAlignment="1">
      <alignment horizontal="center" vertical="center"/>
    </xf>
    <xf numFmtId="0" fontId="20" fillId="22" borderId="18" xfId="0" applyFont="1" applyFill="1" applyBorder="1" applyAlignment="1">
      <alignment horizontal="center" vertical="center"/>
    </xf>
    <xf numFmtId="0" fontId="20" fillId="22" borderId="11" xfId="0" applyFont="1" applyFill="1" applyBorder="1" applyAlignment="1">
      <alignment horizontal="center" vertical="center"/>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165" fontId="0" fillId="24" borderId="37" xfId="0" applyNumberFormat="1" applyFill="1" applyBorder="1" applyAlignment="1">
      <alignment horizontal="center" vertical="center" wrapText="1"/>
    </xf>
    <xf numFmtId="165" fontId="0" fillId="24" borderId="36" xfId="0" applyNumberFormat="1" applyFill="1" applyBorder="1" applyAlignment="1">
      <alignment horizontal="center" vertical="center" wrapText="1"/>
    </xf>
    <xf numFmtId="165" fontId="0" fillId="24" borderId="34" xfId="0" applyNumberForma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7" borderId="20" xfId="0" applyFont="1" applyFill="1" applyBorder="1" applyAlignment="1">
      <alignment horizontal="center" vertical="center"/>
    </xf>
    <xf numFmtId="0" fontId="4" fillId="7" borderId="19" xfId="0" applyFont="1" applyFill="1" applyBorder="1" applyAlignment="1">
      <alignment horizontal="center" vertical="center"/>
    </xf>
    <xf numFmtId="165" fontId="0" fillId="24" borderId="46" xfId="0" applyNumberFormat="1" applyFill="1" applyBorder="1" applyAlignment="1">
      <alignment horizontal="center" vertical="center" wrapText="1"/>
    </xf>
    <xf numFmtId="0" fontId="14" fillId="5" borderId="31" xfId="0" applyFont="1" applyFill="1" applyBorder="1" applyAlignment="1">
      <alignment horizontal="center" vertical="center"/>
    </xf>
    <xf numFmtId="0" fontId="14" fillId="5" borderId="35" xfId="0" applyFont="1" applyFill="1" applyBorder="1" applyAlignment="1">
      <alignment horizontal="center" vertical="center" wrapText="1"/>
    </xf>
    <xf numFmtId="0" fontId="4" fillId="0" borderId="39"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165" fontId="0" fillId="24" borderId="62" xfId="0" applyNumberFormat="1" applyFill="1" applyBorder="1" applyAlignment="1">
      <alignment horizontal="center" vertical="center" wrapText="1"/>
    </xf>
    <xf numFmtId="165" fontId="0" fillId="24" borderId="6" xfId="0" applyNumberFormat="1" applyFill="1" applyBorder="1" applyAlignment="1">
      <alignment horizontal="center" vertical="center" wrapText="1"/>
    </xf>
    <xf numFmtId="0" fontId="4" fillId="16" borderId="47" xfId="0" applyFont="1" applyFill="1" applyBorder="1" applyAlignment="1" applyProtection="1">
      <alignment horizontal="center" vertical="center" wrapText="1"/>
      <protection locked="0"/>
    </xf>
    <xf numFmtId="0" fontId="4" fillId="16" borderId="55" xfId="0" applyFont="1" applyFill="1" applyBorder="1" applyAlignment="1" applyProtection="1">
      <alignment horizontal="center" vertical="center" wrapText="1"/>
      <protection locked="0"/>
    </xf>
    <xf numFmtId="2" fontId="0" fillId="0" borderId="33" xfId="0" applyNumberFormat="1" applyBorder="1"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165" fontId="0" fillId="24" borderId="47" xfId="0" applyNumberFormat="1" applyFill="1" applyBorder="1" applyAlignment="1">
      <alignment horizontal="center" vertical="center" wrapText="1"/>
    </xf>
    <xf numFmtId="165" fontId="0" fillId="24" borderId="42" xfId="0" applyNumberFormat="1" applyFill="1" applyBorder="1" applyAlignment="1">
      <alignment horizontal="center" vertical="center" wrapText="1"/>
    </xf>
    <xf numFmtId="165" fontId="0" fillId="24" borderId="55" xfId="0" applyNumberFormat="1" applyFill="1" applyBorder="1" applyAlignment="1">
      <alignment horizontal="center" vertical="center" wrapText="1"/>
    </xf>
    <xf numFmtId="165" fontId="0" fillId="24" borderId="35" xfId="0" applyNumberFormat="1" applyFill="1" applyBorder="1" applyAlignment="1">
      <alignment horizontal="center" vertical="center" wrapText="1"/>
    </xf>
    <xf numFmtId="0" fontId="2" fillId="12" borderId="42" xfId="0" applyFont="1" applyFill="1" applyBorder="1" applyAlignment="1">
      <alignment horizontal="center"/>
    </xf>
    <xf numFmtId="0" fontId="2" fillId="12" borderId="55" xfId="0" applyFont="1" applyFill="1" applyBorder="1" applyAlignment="1">
      <alignment horizontal="center"/>
    </xf>
    <xf numFmtId="0" fontId="1" fillId="12" borderId="0" xfId="0" applyFont="1" applyFill="1" applyAlignment="1">
      <alignment horizontal="center" wrapText="1"/>
    </xf>
    <xf numFmtId="0" fontId="14" fillId="5" borderId="12" xfId="0" applyFont="1" applyFill="1" applyBorder="1" applyAlignment="1">
      <alignment horizontal="center" vertical="center" wrapText="1"/>
    </xf>
    <xf numFmtId="0" fontId="4" fillId="16" borderId="45" xfId="0" applyFont="1" applyFill="1" applyBorder="1" applyAlignment="1" applyProtection="1">
      <alignment horizontal="center" vertical="center" wrapText="1"/>
      <protection locked="0"/>
    </xf>
    <xf numFmtId="0" fontId="4" fillId="16" borderId="56" xfId="0" applyFont="1" applyFill="1" applyBorder="1" applyAlignment="1" applyProtection="1">
      <alignment horizontal="center" vertical="center" wrapText="1"/>
      <protection locked="0"/>
    </xf>
    <xf numFmtId="165" fontId="0" fillId="24" borderId="45" xfId="0" applyNumberFormat="1" applyFill="1" applyBorder="1" applyAlignment="1">
      <alignment horizontal="center" vertical="center" wrapText="1"/>
    </xf>
    <xf numFmtId="165" fontId="0" fillId="24" borderId="41" xfId="0" applyNumberFormat="1" applyFill="1" applyBorder="1" applyAlignment="1">
      <alignment horizontal="center" vertical="center" wrapText="1"/>
    </xf>
    <xf numFmtId="165" fontId="0" fillId="24" borderId="56" xfId="0" applyNumberFormat="1" applyFill="1" applyBorder="1" applyAlignment="1">
      <alignment horizontal="center" vertical="center" wrapText="1"/>
    </xf>
    <xf numFmtId="0" fontId="14" fillId="5" borderId="62" xfId="0" applyFont="1" applyFill="1" applyBorder="1" applyAlignment="1">
      <alignment horizontal="center" vertical="center" wrapText="1"/>
    </xf>
    <xf numFmtId="0" fontId="4" fillId="16" borderId="5" xfId="0" applyFont="1" applyFill="1" applyBorder="1" applyAlignment="1" applyProtection="1">
      <alignment horizontal="center" vertical="center" wrapText="1"/>
      <protection locked="0"/>
    </xf>
    <xf numFmtId="0" fontId="4" fillId="16" borderId="6" xfId="0" applyFont="1" applyFill="1" applyBorder="1" applyAlignment="1" applyProtection="1">
      <alignment horizontal="center" vertical="center" wrapText="1"/>
      <protection locked="0"/>
    </xf>
    <xf numFmtId="165" fontId="0" fillId="24" borderId="25" xfId="0" applyNumberFormat="1" applyFill="1" applyBorder="1" applyAlignment="1">
      <alignment horizontal="center" vertical="center" wrapText="1"/>
    </xf>
    <xf numFmtId="165" fontId="0" fillId="24" borderId="39" xfId="0" applyNumberFormat="1" applyFill="1" applyBorder="1" applyAlignment="1">
      <alignment horizontal="center" vertical="center" wrapText="1"/>
    </xf>
    <xf numFmtId="165" fontId="0" fillId="24" borderId="26" xfId="0" applyNumberFormat="1" applyFill="1" applyBorder="1" applyAlignment="1">
      <alignment horizontal="center" vertical="center" wrapText="1"/>
    </xf>
    <xf numFmtId="0" fontId="3" fillId="0" borderId="54" xfId="0" applyFont="1" applyBorder="1" applyAlignment="1">
      <alignment horizontal="center"/>
    </xf>
    <xf numFmtId="0" fontId="3" fillId="0" borderId="16" xfId="0" applyFont="1" applyBorder="1" applyAlignment="1">
      <alignment horizontal="center"/>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14" fillId="5" borderId="2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0" fillId="0" borderId="5"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20" fillId="22" borderId="48" xfId="0" applyFont="1" applyFill="1" applyBorder="1" applyAlignment="1">
      <alignment horizontal="center" vertical="center"/>
    </xf>
    <xf numFmtId="0" fontId="20" fillId="22" borderId="49" xfId="0" applyFont="1" applyFill="1" applyBorder="1" applyAlignment="1">
      <alignment horizontal="center" vertical="center"/>
    </xf>
    <xf numFmtId="0" fontId="20" fillId="22" borderId="50" xfId="0" applyFont="1" applyFill="1" applyBorder="1" applyAlignment="1">
      <alignment horizontal="center" vertical="center"/>
    </xf>
    <xf numFmtId="0" fontId="20" fillId="22" borderId="39" xfId="0" applyFont="1" applyFill="1" applyBorder="1" applyAlignment="1">
      <alignment horizontal="center"/>
    </xf>
    <xf numFmtId="0" fontId="4" fillId="7" borderId="18" xfId="0" applyFont="1" applyFill="1" applyBorder="1" applyAlignment="1">
      <alignment horizontal="center" vertical="center"/>
    </xf>
    <xf numFmtId="0" fontId="4" fillId="7" borderId="27" xfId="0" applyFont="1" applyFill="1" applyBorder="1" applyAlignment="1">
      <alignment horizontal="center" vertical="center"/>
    </xf>
    <xf numFmtId="165" fontId="0" fillId="24" borderId="18" xfId="0" applyNumberFormat="1" applyFill="1" applyBorder="1" applyAlignment="1">
      <alignment horizontal="center" vertical="center" wrapText="1"/>
    </xf>
    <xf numFmtId="165" fontId="0" fillId="24" borderId="29" xfId="0" applyNumberFormat="1" applyFill="1" applyBorder="1" applyAlignment="1">
      <alignment horizontal="center" vertical="center" wrapText="1"/>
    </xf>
    <xf numFmtId="0" fontId="4" fillId="7" borderId="13" xfId="0" applyFont="1" applyFill="1" applyBorder="1" applyAlignment="1">
      <alignment horizontal="center" vertical="center"/>
    </xf>
    <xf numFmtId="0" fontId="4" fillId="7" borderId="61" xfId="0" applyFont="1" applyFill="1" applyBorder="1" applyAlignment="1">
      <alignment horizontal="center" vertical="center"/>
    </xf>
    <xf numFmtId="165" fontId="0" fillId="24" borderId="13" xfId="0" applyNumberFormat="1" applyFill="1" applyBorder="1" applyAlignment="1">
      <alignment horizontal="center" vertical="center" wrapText="1"/>
    </xf>
    <xf numFmtId="165" fontId="0" fillId="24" borderId="14" xfId="0" applyNumberFormat="1" applyFill="1" applyBorder="1" applyAlignment="1">
      <alignment horizontal="center" vertical="center" wrapText="1"/>
    </xf>
    <xf numFmtId="0" fontId="51" fillId="5" borderId="18" xfId="0" applyFont="1" applyFill="1" applyBorder="1" applyAlignment="1">
      <alignment horizontal="center" vertical="center" wrapText="1"/>
    </xf>
    <xf numFmtId="0" fontId="12" fillId="5" borderId="58"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5"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4" fillId="7" borderId="39" xfId="0" applyFont="1" applyFill="1" applyBorder="1" applyAlignment="1">
      <alignment horizontal="center" vertical="center"/>
    </xf>
    <xf numFmtId="0" fontId="4" fillId="7" borderId="62" xfId="0" applyFont="1" applyFill="1" applyBorder="1" applyAlignment="1">
      <alignment horizontal="center" vertical="center"/>
    </xf>
    <xf numFmtId="165" fontId="0" fillId="24" borderId="28" xfId="0" applyNumberFormat="1" applyFill="1" applyBorder="1" applyAlignment="1">
      <alignment horizontal="center" vertical="center" wrapText="1"/>
    </xf>
    <xf numFmtId="0" fontId="4" fillId="16" borderId="47" xfId="0" applyFont="1" applyFill="1" applyBorder="1" applyAlignment="1" applyProtection="1">
      <alignment horizontal="center" vertical="center"/>
      <protection locked="0"/>
    </xf>
    <xf numFmtId="0" fontId="4" fillId="16" borderId="55" xfId="0" applyFont="1" applyFill="1" applyBorder="1" applyAlignment="1" applyProtection="1">
      <alignment horizontal="center" vertical="center"/>
      <protection locked="0"/>
    </xf>
    <xf numFmtId="2" fontId="0" fillId="0" borderId="34" xfId="0" applyNumberFormat="1" applyBorder="1" applyAlignment="1" applyProtection="1">
      <alignment horizontal="center" vertical="center" wrapText="1"/>
      <protection locked="0"/>
    </xf>
    <xf numFmtId="2" fontId="0" fillId="0" borderId="35" xfId="0" applyNumberFormat="1" applyBorder="1" applyAlignment="1" applyProtection="1">
      <alignment horizontal="center" vertical="center" wrapText="1"/>
      <protection locked="0"/>
    </xf>
    <xf numFmtId="165" fontId="0" fillId="24" borderId="11" xfId="0" applyNumberFormat="1" applyFill="1" applyBorder="1" applyAlignment="1">
      <alignment horizontal="center" vertical="center" wrapText="1"/>
    </xf>
    <xf numFmtId="0" fontId="0" fillId="2" borderId="25" xfId="0" applyFill="1" applyBorder="1" applyAlignment="1">
      <alignment horizontal="center" vertical="center" wrapText="1"/>
    </xf>
    <xf numFmtId="0" fontId="0" fillId="2" borderId="39" xfId="0"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2" fillId="27" borderId="4" xfId="0" applyFont="1" applyFill="1" applyBorder="1" applyAlignment="1">
      <alignment horizontal="center" vertical="center"/>
    </xf>
    <xf numFmtId="0" fontId="12" fillId="27" borderId="10" xfId="0" applyFont="1" applyFill="1" applyBorder="1" applyAlignment="1">
      <alignment horizontal="center" vertical="center"/>
    </xf>
    <xf numFmtId="0" fontId="14" fillId="5" borderId="51" xfId="0" applyFont="1" applyFill="1" applyBorder="1" applyAlignment="1">
      <alignment horizontal="center" vertical="center" wrapText="1"/>
    </xf>
    <xf numFmtId="0" fontId="2" fillId="12" borderId="61" xfId="0" applyFont="1" applyFill="1" applyBorder="1" applyAlignment="1">
      <alignment horizontal="center"/>
    </xf>
    <xf numFmtId="2" fontId="0" fillId="0" borderId="5" xfId="0" applyNumberFormat="1" applyBorder="1" applyAlignment="1" applyProtection="1">
      <alignment horizontal="center" vertical="center" wrapText="1"/>
      <protection locked="0"/>
    </xf>
    <xf numFmtId="2" fontId="0" fillId="0" borderId="63" xfId="0" applyNumberFormat="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14" fillId="5" borderId="27" xfId="0" applyFont="1" applyFill="1" applyBorder="1" applyAlignment="1">
      <alignment horizontal="center" vertical="center" wrapText="1"/>
    </xf>
    <xf numFmtId="0" fontId="14" fillId="27" borderId="18"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43" xfId="0" applyFont="1" applyFill="1" applyBorder="1" applyAlignment="1">
      <alignment horizontal="center" vertical="center" wrapText="1"/>
    </xf>
    <xf numFmtId="0" fontId="38" fillId="12" borderId="0" xfId="0" applyFont="1" applyFill="1" applyAlignment="1">
      <alignment horizontal="center" wrapText="1"/>
    </xf>
    <xf numFmtId="0" fontId="0" fillId="12" borderId="0" xfId="0" applyFill="1" applyAlignment="1">
      <alignment horizontal="center" wrapText="1"/>
    </xf>
    <xf numFmtId="0" fontId="20" fillId="5" borderId="25" xfId="0" applyFont="1" applyFill="1" applyBorder="1" applyAlignment="1">
      <alignment horizontal="center" vertical="center"/>
    </xf>
    <xf numFmtId="0" fontId="20" fillId="5" borderId="39" xfId="0" applyFont="1" applyFill="1" applyBorder="1" applyAlignment="1">
      <alignment horizontal="center" vertical="center"/>
    </xf>
    <xf numFmtId="165" fontId="5" fillId="3" borderId="39"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0" fontId="20" fillId="5" borderId="28" xfId="0" applyFont="1" applyFill="1" applyBorder="1" applyAlignment="1">
      <alignment horizontal="center" vertical="center"/>
    </xf>
    <xf numFmtId="0" fontId="20" fillId="5" borderId="18" xfId="0" applyFont="1" applyFill="1" applyBorder="1" applyAlignment="1">
      <alignment horizontal="center" vertical="center"/>
    </xf>
    <xf numFmtId="165" fontId="5" fillId="3" borderId="18" xfId="0" applyNumberFormat="1" applyFont="1" applyFill="1" applyBorder="1" applyAlignment="1">
      <alignment horizontal="center" vertical="center"/>
    </xf>
    <xf numFmtId="165" fontId="5" fillId="3" borderId="29" xfId="0" applyNumberFormat="1" applyFont="1" applyFill="1" applyBorder="1" applyAlignment="1">
      <alignment horizontal="center" vertical="center"/>
    </xf>
    <xf numFmtId="0" fontId="20" fillId="5" borderId="11" xfId="0" applyFont="1" applyFill="1" applyBorder="1" applyAlignment="1">
      <alignment horizontal="center" vertical="center"/>
    </xf>
    <xf numFmtId="0" fontId="20" fillId="5" borderId="13" xfId="0" applyFont="1" applyFill="1" applyBorder="1" applyAlignment="1">
      <alignment horizontal="center" vertical="center"/>
    </xf>
    <xf numFmtId="165" fontId="5" fillId="3" borderId="13" xfId="0" applyNumberFormat="1" applyFont="1" applyFill="1" applyBorder="1" applyAlignment="1">
      <alignment horizontal="center" vertical="center"/>
    </xf>
    <xf numFmtId="165" fontId="5" fillId="3" borderId="14" xfId="0" applyNumberFormat="1" applyFont="1" applyFill="1" applyBorder="1" applyAlignment="1">
      <alignment horizontal="center" vertical="center"/>
    </xf>
    <xf numFmtId="0" fontId="3" fillId="12" borderId="35" xfId="0" applyFont="1" applyFill="1" applyBorder="1" applyAlignment="1">
      <alignment horizontal="center" vertical="center" wrapText="1"/>
    </xf>
    <xf numFmtId="0" fontId="15" fillId="5" borderId="78" xfId="0" applyFont="1" applyFill="1" applyBorder="1" applyAlignment="1">
      <alignment horizontal="center" vertical="center" wrapText="1"/>
    </xf>
    <xf numFmtId="0" fontId="15" fillId="5" borderId="72" xfId="0" applyFont="1" applyFill="1" applyBorder="1" applyAlignment="1">
      <alignment horizontal="center" vertical="center" wrapText="1"/>
    </xf>
    <xf numFmtId="0" fontId="15" fillId="5" borderId="76"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20" fillId="5" borderId="2" xfId="0" applyFont="1" applyFill="1" applyBorder="1" applyAlignment="1">
      <alignment horizontal="center" vertical="center"/>
    </xf>
    <xf numFmtId="0" fontId="5" fillId="0" borderId="1" xfId="0" applyFont="1" applyBorder="1" applyAlignment="1">
      <alignment horizontal="center" vertical="center"/>
    </xf>
    <xf numFmtId="0" fontId="5" fillId="6" borderId="44" xfId="0" applyFont="1" applyFill="1" applyBorder="1" applyAlignment="1">
      <alignment horizontal="center" vertical="center"/>
    </xf>
    <xf numFmtId="0" fontId="5" fillId="6" borderId="40"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1" fillId="12" borderId="0" xfId="0" applyFont="1" applyFill="1" applyAlignment="1">
      <alignment horizontal="center"/>
    </xf>
    <xf numFmtId="0" fontId="12" fillId="27" borderId="1" xfId="0" applyFont="1" applyFill="1" applyBorder="1" applyAlignment="1">
      <alignment horizontal="center" vertical="center"/>
    </xf>
    <xf numFmtId="0" fontId="12" fillId="27" borderId="2" xfId="0" applyFont="1" applyFill="1" applyBorder="1" applyAlignment="1">
      <alignment horizontal="center" vertical="center"/>
    </xf>
    <xf numFmtId="0" fontId="12" fillId="27" borderId="3" xfId="0" applyFont="1" applyFill="1" applyBorder="1" applyAlignment="1">
      <alignment horizontal="center" vertical="center"/>
    </xf>
    <xf numFmtId="0" fontId="3" fillId="8" borderId="24"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5" fillId="8" borderId="24" xfId="0" applyFont="1" applyFill="1" applyBorder="1" applyAlignment="1">
      <alignment horizontal="center"/>
    </xf>
    <xf numFmtId="0" fontId="5" fillId="23" borderId="24" xfId="0" applyFont="1" applyFill="1" applyBorder="1" applyAlignment="1">
      <alignment horizontal="center" vertical="center"/>
    </xf>
    <xf numFmtId="0" fontId="5" fillId="9" borderId="24" xfId="0" applyFont="1" applyFill="1" applyBorder="1" applyAlignment="1">
      <alignment horizontal="center"/>
    </xf>
    <xf numFmtId="0" fontId="12" fillId="27" borderId="30" xfId="0" applyFont="1" applyFill="1" applyBorder="1" applyAlignment="1">
      <alignment horizontal="center" vertical="center"/>
    </xf>
    <xf numFmtId="0" fontId="12" fillId="27" borderId="31" xfId="0" applyFont="1" applyFill="1" applyBorder="1" applyAlignment="1">
      <alignment horizontal="center" vertical="center"/>
    </xf>
    <xf numFmtId="0" fontId="12" fillId="27" borderId="32" xfId="0" applyFont="1" applyFill="1" applyBorder="1" applyAlignment="1">
      <alignment horizontal="center" vertical="center"/>
    </xf>
    <xf numFmtId="0" fontId="12" fillId="27" borderId="34" xfId="0" applyFont="1" applyFill="1" applyBorder="1" applyAlignment="1">
      <alignment horizontal="center" vertical="center"/>
    </xf>
    <xf numFmtId="0" fontId="12" fillId="27" borderId="35" xfId="0" applyFont="1" applyFill="1" applyBorder="1" applyAlignment="1">
      <alignment horizontal="center" vertical="center"/>
    </xf>
    <xf numFmtId="0" fontId="12" fillId="27" borderId="36" xfId="0" applyFont="1" applyFill="1" applyBorder="1" applyAlignment="1">
      <alignment horizontal="center" vertical="center"/>
    </xf>
    <xf numFmtId="0" fontId="3" fillId="8" borderId="48"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6" xfId="0" applyFont="1" applyFill="1" applyBorder="1" applyAlignment="1">
      <alignment horizontal="center" vertical="center"/>
    </xf>
    <xf numFmtId="0" fontId="5" fillId="10" borderId="5" xfId="0" applyFont="1" applyFill="1" applyBorder="1" applyAlignment="1">
      <alignment horizontal="center" vertical="center"/>
    </xf>
    <xf numFmtId="0" fontId="5" fillId="10" borderId="63" xfId="0" applyFont="1" applyFill="1" applyBorder="1" applyAlignment="1">
      <alignment horizontal="center" vertical="center"/>
    </xf>
    <xf numFmtId="0" fontId="5" fillId="10" borderId="6" xfId="0" applyFont="1" applyFill="1" applyBorder="1" applyAlignment="1">
      <alignment horizontal="center" vertical="center"/>
    </xf>
    <xf numFmtId="0" fontId="2" fillId="21" borderId="48" xfId="0" applyFont="1" applyFill="1" applyBorder="1" applyAlignment="1">
      <alignment horizontal="center" vertical="center" wrapText="1"/>
    </xf>
    <xf numFmtId="0" fontId="2" fillId="21" borderId="49" xfId="0" applyFont="1" applyFill="1" applyBorder="1" applyAlignment="1">
      <alignment horizontal="center" vertical="center" wrapText="1"/>
    </xf>
    <xf numFmtId="0" fontId="2" fillId="21" borderId="5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14" fillId="5" borderId="4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31" fillId="5" borderId="17" xfId="0" applyFont="1" applyFill="1" applyBorder="1" applyAlignment="1">
      <alignment horizontal="center" wrapText="1"/>
    </xf>
    <xf numFmtId="0" fontId="14" fillId="5" borderId="0" xfId="0" applyFont="1" applyFill="1" applyAlignment="1">
      <alignment horizontal="center"/>
    </xf>
    <xf numFmtId="0" fontId="28" fillId="5" borderId="17" xfId="0" applyFont="1" applyFill="1" applyBorder="1" applyAlignment="1">
      <alignment horizontal="center"/>
    </xf>
    <xf numFmtId="0" fontId="14" fillId="5" borderId="27" xfId="0" applyFont="1" applyFill="1" applyBorder="1" applyAlignment="1">
      <alignment horizontal="center"/>
    </xf>
    <xf numFmtId="0" fontId="14" fillId="5" borderId="41" xfId="0" applyFont="1" applyFill="1" applyBorder="1" applyAlignment="1">
      <alignment horizontal="center"/>
    </xf>
    <xf numFmtId="0" fontId="14" fillId="5" borderId="38" xfId="0" applyFont="1" applyFill="1" applyBorder="1" applyAlignment="1">
      <alignment horizontal="center"/>
    </xf>
    <xf numFmtId="0" fontId="14" fillId="5" borderId="5" xfId="0" applyFont="1" applyFill="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xf>
  </cellXfs>
  <cellStyles count="32">
    <cellStyle name="Comma 2" xfId="4" xr:uid="{51224B8C-E8E3-47D2-A8F6-58EF7C551F9F}"/>
    <cellStyle name="Comma 2 2" xfId="5" xr:uid="{A728E390-66AE-44B3-ADFD-FEECB90E8647}"/>
    <cellStyle name="Comma 2 2 2" xfId="17" xr:uid="{9E775CFB-038E-47DD-8BD3-E436175821F2}"/>
    <cellStyle name="Comma 2 2 2 2" xfId="27" xr:uid="{4C957086-B6C9-45D0-809C-FD3B52CC1CFD}"/>
    <cellStyle name="Comma 2 2 3" xfId="22" xr:uid="{00AD15E0-C8C8-4862-BCCC-4B1DDC4A6CC5}"/>
    <cellStyle name="Comma 2 3" xfId="6" xr:uid="{4AE7532A-1280-4EA2-BD05-356BAA3F5334}"/>
    <cellStyle name="Comma 3" xfId="7" xr:uid="{6E026BA7-9710-4945-AC5E-692FBCB0071C}"/>
    <cellStyle name="Comma 3 2" xfId="8" xr:uid="{888492F3-8238-4658-AE91-2D3064833FF5}"/>
    <cellStyle name="Comma 3 2 2" xfId="19" xr:uid="{8B01FCB9-B130-4803-BAB3-1412FE5F339D}"/>
    <cellStyle name="Comma 3 2 2 2" xfId="29" xr:uid="{612947E2-7E7E-4965-B60C-20BEE31A774C}"/>
    <cellStyle name="Comma 3 2 3" xfId="24" xr:uid="{608353AA-7B5C-438B-AFF3-DAD9ABFB8998}"/>
    <cellStyle name="Comma 3 3" xfId="18" xr:uid="{4726DC99-FD4E-4C3B-8B8B-0E2829628A76}"/>
    <cellStyle name="Comma 3 3 2" xfId="28" xr:uid="{E41F5787-6EF3-47C0-83C9-D2111B2DCE65}"/>
    <cellStyle name="Comma 3 4" xfId="23" xr:uid="{3994423A-ED46-4948-A08B-97059F1E1348}"/>
    <cellStyle name="Comma 4" xfId="9" xr:uid="{1A0133AA-66F1-4B47-A5FE-E6F2A73000A7}"/>
    <cellStyle name="Comma 4 2" xfId="20" xr:uid="{86633743-ABE0-4C7B-B86D-99D3B99B9F59}"/>
    <cellStyle name="Comma 4 2 2" xfId="30" xr:uid="{CB81CB54-E4BD-47DE-BD74-12AEB64AE6FE}"/>
    <cellStyle name="Comma 4 3" xfId="25" xr:uid="{CE1C7454-B02F-48A1-A8B8-7D7BEE4AC3BF}"/>
    <cellStyle name="Comma 5" xfId="3" xr:uid="{79F2816B-0FDC-4D15-8090-174684463E7D}"/>
    <cellStyle name="Comma 5 2" xfId="16" xr:uid="{CF16011A-4205-4192-96FB-C28AD538ABE0}"/>
    <cellStyle name="Comma 5 2 2" xfId="26" xr:uid="{2E151703-1ACA-45A2-8F93-D9F490F425E1}"/>
    <cellStyle name="Comma 5 3" xfId="21" xr:uid="{DC303C44-F1F6-480C-94FF-CA0F0C41814B}"/>
    <cellStyle name="Normal" xfId="0" builtinId="0"/>
    <cellStyle name="Normal 2" xfId="1" xr:uid="{E6A8696B-29F8-4817-8F76-653BA65C4A2E}"/>
    <cellStyle name="Normal 2 2" xfId="10" xr:uid="{CA4778F4-9731-46EA-8460-559FA7B3CACC}"/>
    <cellStyle name="Normal 3" xfId="11" xr:uid="{7158F620-BA0C-49E4-80E1-B2DC2A74F7F8}"/>
    <cellStyle name="Normal 4" xfId="12" xr:uid="{7097E372-FFB9-4D29-A0F0-BD126DA83633}"/>
    <cellStyle name="Normal 5" xfId="13" xr:uid="{5DB3A312-3AB1-44EA-B546-F8820A9A5B48}"/>
    <cellStyle name="Normal 5 2" xfId="14" xr:uid="{65A03616-56F7-4562-879E-B2B300C3AB73}"/>
    <cellStyle name="Normal 6" xfId="15" xr:uid="{AA935158-86F7-4047-BBA7-998D3D0BFC0C}"/>
    <cellStyle name="Normal 7" xfId="2" xr:uid="{A9753FD2-FBE0-4C3D-9D14-A03A420391E4}"/>
    <cellStyle name="Per cent" xfId="31" builtinId="5"/>
  </cellStyles>
  <dxfs count="283">
    <dxf>
      <font>
        <color theme="1"/>
      </font>
      <border>
        <left style="thin">
          <color indexed="64"/>
        </left>
        <right style="thin">
          <color indexed="64"/>
        </right>
        <top style="thin">
          <color indexed="64"/>
        </top>
      </border>
    </dxf>
    <dxf>
      <font>
        <color theme="1"/>
      </font>
      <border>
        <top style="thin">
          <color indexed="64"/>
        </top>
        <bottom style="thin">
          <color indexed="64"/>
        </bottom>
      </border>
    </dxf>
    <dxf>
      <font>
        <color theme="1"/>
      </font>
      <border>
        <top style="thin">
          <color indexed="64"/>
        </top>
        <bottom style="thin">
          <color indexed="64"/>
        </bottom>
      </border>
    </dxf>
    <dxf>
      <font>
        <color theme="1"/>
      </font>
      <border>
        <left style="thin">
          <color indexed="64"/>
        </left>
        <right style="thin">
          <color indexed="64"/>
        </right>
        <top style="thin">
          <color indexed="64"/>
        </top>
        <bottom style="thin">
          <color indexed="64"/>
        </bottom>
      </border>
    </dxf>
    <dxf>
      <font>
        <color theme="1"/>
      </font>
      <border>
        <top style="thin">
          <color indexed="64"/>
        </top>
        <bottom style="thin">
          <color indexed="64"/>
        </bottom>
      </border>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0" tint="-0.24994659260841701"/>
        </patternFill>
      </fill>
    </dxf>
    <dxf>
      <font>
        <color theme="0"/>
      </font>
      <fill>
        <patternFill patternType="solid">
          <fgColor auto="1"/>
          <bgColor rgb="FFC00000"/>
        </patternFill>
      </fill>
    </dxf>
    <dxf>
      <font>
        <color theme="1"/>
      </font>
      <fill>
        <patternFill patternType="solid">
          <fgColor auto="1"/>
          <bgColor theme="9" tint="0.39994506668294322"/>
        </patternFill>
      </fill>
    </dxf>
    <dxf>
      <fill>
        <patternFill patternType="solid">
          <fgColor auto="1"/>
          <bgColor theme="0" tint="-0.24994659260841701"/>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rgb="FFFFC000"/>
        </patternFill>
      </fill>
    </dxf>
    <dxf>
      <font>
        <color theme="1"/>
      </font>
      <fill>
        <patternFill patternType="solid">
          <fgColor auto="1"/>
          <bgColor theme="9" tint="0.39994506668294322"/>
        </patternFill>
      </fill>
    </dxf>
    <dxf>
      <font>
        <color theme="1"/>
      </font>
      <fill>
        <patternFill patternType="solid">
          <fgColor auto="1"/>
          <bgColor rgb="FFFFC000"/>
        </patternFill>
      </fill>
    </dxf>
    <dxf>
      <font>
        <color theme="1"/>
      </font>
      <fill>
        <patternFill patternType="solid">
          <fgColor auto="1"/>
          <bgColor theme="9" tint="0.39994506668294322"/>
        </patternFill>
      </fill>
    </dxf>
    <dxf>
      <font>
        <color theme="1"/>
      </font>
      <fill>
        <patternFill patternType="solid">
          <fgColor auto="1"/>
          <bgColor rgb="FFFFC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1" tint="4.9989318521683403E-2"/>
      </font>
      <fill>
        <patternFill patternType="solid">
          <fgColor auto="1"/>
          <bgColor rgb="FFFFC000"/>
        </patternFill>
      </fill>
    </dxf>
    <dxf>
      <font>
        <color theme="1"/>
      </font>
      <fill>
        <patternFill patternType="solid">
          <fgColor auto="1"/>
          <bgColor theme="9" tint="0.39994506668294322"/>
        </patternFill>
      </fill>
    </dxf>
    <dxf>
      <font>
        <color theme="1"/>
      </font>
      <fill>
        <patternFill patternType="solid">
          <fgColor auto="1"/>
          <bgColor rgb="FFFFC000"/>
        </patternFill>
      </fill>
    </dxf>
    <dxf>
      <font>
        <color rgb="FF000000"/>
      </font>
      <fill>
        <patternFill patternType="solid">
          <fgColor auto="1"/>
          <bgColor theme="9" tint="0.39994506668294322"/>
        </patternFill>
      </fill>
    </dxf>
    <dxf>
      <font>
        <color rgb="FF000000"/>
      </font>
      <fill>
        <patternFill patternType="solid">
          <fgColor auto="1"/>
          <bgColor rgb="FFFFC000"/>
        </patternFill>
      </fill>
    </dxf>
    <dxf>
      <font>
        <color rgb="FF000000"/>
      </font>
      <fill>
        <patternFill patternType="solid">
          <fgColor auto="1"/>
          <bgColor theme="9" tint="0.39994506668294322"/>
        </patternFill>
      </fill>
    </dxf>
    <dxf>
      <font>
        <color rgb="FF000000"/>
      </font>
      <fill>
        <patternFill patternType="solid">
          <fgColor auto="1"/>
          <bgColor rgb="FFFFC000"/>
        </patternFill>
      </fill>
    </dxf>
    <dxf>
      <font>
        <color rgb="FF000000"/>
      </font>
      <fill>
        <patternFill patternType="solid">
          <fgColor auto="1"/>
          <bgColor rgb="FFFFC000"/>
        </patternFill>
      </fill>
    </dxf>
    <dxf>
      <fill>
        <patternFill patternType="solid">
          <fgColor auto="1"/>
          <bgColor theme="9" tint="0.39994506668294322"/>
        </patternFill>
      </fill>
    </dxf>
    <dxf>
      <fill>
        <patternFill patternType="solid">
          <fgColor auto="1"/>
          <bgColor theme="0"/>
        </patternFill>
      </fill>
    </dxf>
    <dxf>
      <fill>
        <patternFill patternType="solid">
          <fgColor auto="1"/>
          <bgColor theme="9" tint="0.39994506668294322"/>
        </patternFill>
      </fill>
    </dxf>
    <dxf>
      <fill>
        <patternFill patternType="solid">
          <fgColor auto="1"/>
          <bgColor theme="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border>
        <left style="thin">
          <color rgb="FFFF0000"/>
        </left>
        <right style="thin">
          <color rgb="FFFF0000"/>
        </right>
        <top style="thin">
          <color rgb="FFFF0000"/>
        </top>
        <bottom style="thin">
          <color rgb="FFFF0000"/>
        </bottom>
      </border>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6" tint="-0.24994659260841701"/>
        </patternFill>
      </fill>
    </dxf>
    <dxf>
      <font>
        <color rgb="FF000000"/>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0"/>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0" tint="-0.24994659260841701"/>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0"/>
        </patternFill>
      </fill>
    </dxf>
    <dxf>
      <fill>
        <patternFill patternType="solid">
          <fgColor auto="1"/>
          <bgColor theme="9" tint="0.39994506668294322"/>
        </patternFill>
      </fill>
    </dxf>
    <dxf>
      <fill>
        <patternFill patternType="solid">
          <fgColor auto="1"/>
          <bgColor theme="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border>
        <left style="thin">
          <color rgb="FFFF0000"/>
        </left>
        <right style="thin">
          <color rgb="FFFF0000"/>
        </right>
        <top style="thin">
          <color rgb="FFFF0000"/>
        </top>
        <bottom style="thin">
          <color rgb="FFFF0000"/>
        </bottom>
      </border>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6" tint="-0.24994659260841701"/>
        </patternFill>
      </fill>
    </dxf>
    <dxf>
      <font>
        <color rgb="FF000000"/>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theme="5" tint="0.59996337778862885"/>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0" tint="-0.24994659260841701"/>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0"/>
        </patternFill>
      </fill>
    </dxf>
    <dxf>
      <fill>
        <patternFill patternType="solid">
          <fgColor auto="1"/>
          <bgColor theme="9" tint="0.39994506668294322"/>
        </patternFill>
      </fill>
    </dxf>
    <dxf>
      <fill>
        <patternFill patternType="solid">
          <fgColor auto="1"/>
          <bgColor theme="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5" tint="0.59996337778862885"/>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theme="5" tint="0.59996337778862885"/>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6" tint="-0.24994659260841701"/>
        </patternFill>
      </fill>
    </dxf>
    <dxf>
      <font>
        <color rgb="FF000000"/>
      </font>
      <fill>
        <patternFill patternType="solid">
          <fgColor auto="1"/>
          <bgColor theme="9" tint="0.39994506668294322"/>
        </patternFill>
      </fill>
    </dxf>
    <dxf>
      <font>
        <color theme="0"/>
      </font>
      <fill>
        <patternFill patternType="solid">
          <fgColor auto="1"/>
          <bgColor rgb="FFC00000"/>
        </patternFill>
      </fill>
    </dxf>
    <dxf>
      <font>
        <color rgb="FF000000"/>
      </font>
      <fill>
        <patternFill patternType="solid">
          <fgColor auto="1"/>
          <bgColor theme="9" tint="0.39994506668294322"/>
        </patternFill>
      </fill>
    </dxf>
    <dxf>
      <font>
        <color theme="0"/>
      </font>
      <fill>
        <patternFill patternType="solid">
          <fgColor auto="1"/>
          <bgColor rgb="FFC00000"/>
        </patternFill>
      </fill>
      <border>
        <left style="thin">
          <color rgb="FFFF0000"/>
        </left>
        <right style="thin">
          <color rgb="FFFF0000"/>
        </right>
        <top style="thin">
          <color rgb="FFFF0000"/>
        </top>
        <bottom style="thin">
          <color rgb="FFFF0000"/>
        </bottom>
      </border>
    </dxf>
    <dxf>
      <font>
        <color theme="0"/>
      </font>
      <fill>
        <patternFill patternType="solid">
          <fgColor auto="1"/>
          <bgColor rgb="FFC00000"/>
        </patternFill>
      </fill>
    </dxf>
    <dxf>
      <fill>
        <patternFill patternType="solid">
          <fgColor auto="1"/>
          <bgColor theme="9" tint="0.39994506668294322"/>
        </patternFill>
      </fill>
    </dxf>
    <dxf>
      <fill>
        <patternFill patternType="solid">
          <fgColor auto="1"/>
          <bgColor theme="0"/>
        </patternFill>
      </fill>
    </dxf>
    <dxf>
      <font>
        <color theme="1"/>
      </font>
      <fill>
        <patternFill patternType="solid">
          <fgColor auto="1"/>
          <bgColor theme="0" tint="-0.34998626667073579"/>
        </patternFill>
      </fill>
    </dxf>
    <dxf>
      <font>
        <color theme="0"/>
      </font>
      <fill>
        <patternFill patternType="solid">
          <fgColor auto="1"/>
          <bgColor rgb="FFC00000"/>
        </patternFill>
      </fill>
    </dxf>
    <dxf>
      <font>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ill>
        <patternFill patternType="solid">
          <fgColor auto="1"/>
          <bgColor rgb="FFFFC000"/>
        </patternFill>
      </fill>
    </dxf>
    <dxf>
      <fill>
        <patternFill patternType="solid">
          <fgColor auto="1"/>
          <bgColor rgb="FFFFC000"/>
        </patternFill>
      </fill>
    </dxf>
    <dxf>
      <fill>
        <patternFill patternType="solid">
          <fgColor auto="1"/>
          <bgColor rgb="FF92D05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border>
        <left style="thin">
          <color rgb="FF000000"/>
        </left>
        <right style="thin">
          <color rgb="FF000000"/>
        </right>
        <top style="thin">
          <color rgb="FF000000"/>
        </top>
        <bottom style="thin">
          <color rgb="FF000000"/>
        </bottom>
      </border>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theme="9" tint="0.39994506668294322"/>
        </patternFill>
      </fill>
    </dxf>
    <dxf>
      <font>
        <color theme="0"/>
      </font>
      <fill>
        <patternFill patternType="solid">
          <fgColor auto="1"/>
          <bgColor rgb="FFC00000"/>
        </patternFill>
      </fill>
    </dxf>
    <dxf>
      <font>
        <color theme="1"/>
      </font>
      <fill>
        <patternFill patternType="solid">
          <fgColor auto="1"/>
          <bgColor theme="0" tint="-0.24994659260841701"/>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color theme="0"/>
      </font>
      <fill>
        <patternFill patternType="solid">
          <fgColor auto="1"/>
          <bgColor rgb="FFC00000"/>
        </patternFill>
      </fill>
    </dxf>
    <dxf>
      <font>
        <b/>
        <color theme="0"/>
      </font>
      <fill>
        <patternFill patternType="solid">
          <fgColor auto="1"/>
          <bgColor rgb="FFC00000"/>
        </patternFill>
      </fill>
    </dxf>
    <dxf>
      <font>
        <b/>
        <color theme="1"/>
      </font>
      <fill>
        <patternFill patternType="solid">
          <fgColor auto="1"/>
          <bgColor rgb="FFFFC000"/>
        </patternFill>
      </fill>
    </dxf>
    <dxf>
      <font>
        <b/>
      </font>
      <fill>
        <patternFill patternType="solid">
          <fgColor auto="1"/>
          <bgColor theme="9" tint="0.39994506668294322"/>
        </patternFill>
      </fill>
    </dxf>
    <dxf>
      <font>
        <b/>
        <color theme="0"/>
      </font>
      <fill>
        <patternFill patternType="solid">
          <fgColor auto="1"/>
          <bgColor rgb="FFC00000"/>
        </patternFill>
      </fill>
    </dxf>
    <dxf>
      <font>
        <b/>
      </font>
      <fill>
        <patternFill patternType="solid">
          <fgColor auto="1"/>
          <bgColor rgb="FFFFC000"/>
        </patternFill>
      </fill>
    </dxf>
    <dxf>
      <font>
        <b/>
      </font>
      <fill>
        <patternFill patternType="solid">
          <fgColor auto="1"/>
          <bgColor theme="9" tint="0.39994506668294322"/>
        </patternFill>
      </fill>
    </dxf>
    <dxf>
      <font>
        <b/>
        <color theme="0"/>
      </font>
      <fill>
        <patternFill patternType="solid">
          <fgColor auto="1"/>
          <bgColor rgb="FFC00000"/>
        </patternFill>
      </fill>
    </dxf>
    <dxf>
      <font>
        <b/>
      </font>
      <fill>
        <patternFill patternType="solid">
          <fgColor auto="1"/>
          <bgColor rgb="FFFFC000"/>
        </patternFill>
      </fill>
    </dxf>
    <dxf>
      <font>
        <b/>
      </font>
      <fill>
        <patternFill patternType="solid">
          <fgColor auto="1"/>
          <bgColor theme="9" tint="0.39994506668294322"/>
        </patternFill>
      </fill>
    </dxf>
    <dxf>
      <font>
        <b/>
        <color theme="0"/>
      </font>
      <fill>
        <patternFill patternType="solid">
          <fgColor auto="1"/>
          <bgColor rgb="FFC00000"/>
        </patternFill>
      </fill>
    </dxf>
    <dxf>
      <font>
        <b/>
      </font>
      <fill>
        <patternFill patternType="solid">
          <fgColor auto="1"/>
          <bgColor rgb="FFFFC000"/>
        </patternFill>
      </fill>
    </dxf>
    <dxf>
      <font>
        <color theme="0"/>
      </font>
      <fill>
        <patternFill patternType="solid">
          <fgColor auto="1"/>
          <bgColor rgb="FFC00000"/>
        </patternFill>
      </fill>
    </dxf>
    <dxf>
      <font>
        <b/>
        <color theme="1"/>
      </font>
      <fill>
        <patternFill patternType="solid">
          <fgColor auto="1"/>
          <bgColor theme="9" tint="0.39994506668294322"/>
        </patternFill>
      </fill>
    </dxf>
    <dxf>
      <font>
        <b/>
        <color theme="0"/>
      </font>
      <fill>
        <patternFill patternType="solid">
          <fgColor auto="1"/>
          <bgColor rgb="FFC00000"/>
        </patternFill>
      </fill>
    </dxf>
    <dxf>
      <font>
        <b/>
        <color theme="1"/>
      </font>
      <fill>
        <patternFill patternType="solid">
          <fgColor auto="1"/>
          <bgColor theme="9" tint="0.39994506668294322"/>
        </patternFill>
      </fill>
    </dxf>
    <dxf>
      <font>
        <b/>
        <color theme="0"/>
      </font>
      <fill>
        <patternFill patternType="solid">
          <fgColor auto="1"/>
          <bgColor rgb="FFC00000"/>
        </patternFill>
      </fill>
    </dxf>
    <dxf>
      <font>
        <b/>
      </font>
      <fill>
        <patternFill patternType="solid">
          <fgColor auto="1"/>
          <bgColor theme="9" tint="0.39994506668294322"/>
        </patternFill>
      </fill>
    </dxf>
    <dxf>
      <font>
        <b/>
        <color theme="0"/>
      </font>
      <fill>
        <patternFill patternType="solid">
          <fgColor auto="1"/>
          <bgColor rgb="FFC00000"/>
        </patternFill>
      </fill>
    </dxf>
    <dxf>
      <font>
        <b/>
        <color theme="0"/>
      </font>
      <fill>
        <patternFill patternType="solid">
          <fgColor auto="1"/>
          <bgColor rgb="FFC00000"/>
        </patternFill>
      </fill>
    </dxf>
    <dxf>
      <font>
        <b/>
        <color theme="0"/>
      </font>
      <fill>
        <patternFill patternType="solid">
          <fgColor auto="1"/>
          <bgColor rgb="FFC00000"/>
        </patternFill>
      </fill>
    </dxf>
    <dxf>
      <font>
        <b/>
        <color theme="0"/>
      </font>
      <fill>
        <patternFill patternType="solid">
          <fgColor auto="1"/>
          <bgColor rgb="FFC00000"/>
        </patternFill>
      </fill>
    </dxf>
    <dxf>
      <fill>
        <patternFill patternType="solid">
          <fgColor auto="1"/>
          <bgColor rgb="FFFFC000"/>
        </patternFill>
      </fill>
    </dxf>
    <dxf>
      <font>
        <b/>
        <color theme="1"/>
      </font>
      <fill>
        <patternFill patternType="solid">
          <fgColor auto="1"/>
          <bgColor theme="9" tint="0.39994506668294322"/>
        </patternFill>
      </fill>
    </dxf>
    <dxf>
      <font>
        <b/>
        <color theme="0"/>
      </font>
      <fill>
        <patternFill patternType="solid">
          <fgColor auto="1"/>
          <bgColor rgb="FFC00000"/>
        </patternFill>
      </fill>
    </dxf>
    <dxf>
      <fill>
        <patternFill patternType="solid">
          <fgColor auto="1"/>
          <bgColor rgb="FFFFC000"/>
        </patternFill>
      </fill>
    </dxf>
    <dxf>
      <fill>
        <patternFill patternType="solid">
          <fgColor auto="1"/>
          <bgColor rgb="FFFFC000"/>
        </patternFill>
      </fill>
    </dxf>
    <dxf>
      <font>
        <b/>
      </font>
      <fill>
        <patternFill patternType="solid">
          <fgColor auto="1"/>
          <bgColor theme="9" tint="0.39994506668294322"/>
        </patternFill>
      </fill>
    </dxf>
    <dxf>
      <font>
        <b/>
        <color theme="0"/>
      </font>
      <fill>
        <patternFill patternType="solid">
          <fgColor auto="1"/>
          <bgColor rgb="FFC00000"/>
        </patternFill>
      </fill>
    </dxf>
    <dxf>
      <font>
        <b/>
      </font>
      <fill>
        <patternFill patternType="solid">
          <fgColor auto="1"/>
          <bgColor rgb="FFFFC000"/>
        </patternFill>
      </fill>
    </dxf>
    <dxf>
      <font>
        <b/>
        <color theme="0"/>
      </font>
      <fill>
        <patternFill patternType="solid">
          <fgColor auto="1"/>
          <bgColor rgb="FFC00000"/>
        </patternFill>
      </fill>
    </dxf>
    <dxf>
      <fill>
        <patternFill patternType="solid">
          <fgColor auto="1"/>
          <bgColor rgb="FFFFC000"/>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rgb="FFFFC000"/>
        </patternFill>
      </fill>
    </dxf>
    <dxf>
      <font>
        <color theme="0"/>
      </font>
      <fill>
        <patternFill patternType="solid">
          <fgColor auto="1"/>
          <bgColor rgb="FFC00000"/>
        </patternFill>
      </fill>
    </dxf>
    <dxf>
      <font>
        <b/>
        <color theme="1"/>
      </font>
      <fill>
        <patternFill patternType="solid">
          <fgColor auto="1"/>
          <bgColor theme="9" tint="0.39994506668294322"/>
        </patternFill>
      </fill>
    </dxf>
    <dxf>
      <font>
        <color theme="0"/>
      </font>
      <fill>
        <patternFill patternType="solid">
          <fgColor auto="1"/>
          <bgColor rgb="FFC00000"/>
        </patternFill>
      </fill>
    </dxf>
    <dxf>
      <font>
        <color theme="0"/>
      </font>
      <fill>
        <patternFill patternType="solid">
          <fgColor auto="1"/>
          <bgColor rgb="FFC00000"/>
        </patternFill>
      </fill>
    </dxf>
    <dxf>
      <font>
        <color theme="1"/>
      </font>
      <fill>
        <patternFill patternType="solid">
          <fgColor auto="1"/>
          <bgColor rgb="FFFFC000"/>
        </patternFill>
      </fill>
    </dxf>
  </dxfs>
  <tableStyles count="0" defaultTableStyle="TableStyleMedium2" defaultPivotStyle="PivotStyleLight16"/>
  <colors>
    <mruColors>
      <color rgb="FFF2F0D9"/>
      <color rgb="FF005E5C"/>
      <color rgb="FFF2EAD9"/>
      <color rgb="FFFFFF99"/>
      <color rgb="FFFFCCFF"/>
      <color rgb="FF305496"/>
      <color rgb="FFBDD7EE"/>
      <color rgb="FF7B7B7B"/>
      <color rgb="FFF2F2F2"/>
      <color rgb="FFE2C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Results'!$C$36:$C$38</c:f>
              <c:numCache>
                <c:formatCode>0.00</c:formatCode>
                <c:ptCount val="3"/>
                <c:pt idx="0">
                  <c:v>0.30134388000000001</c:v>
                </c:pt>
                <c:pt idx="1">
                  <c:v>0</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Results'!$D$36:$D$38</c:f>
              <c:numCache>
                <c:formatCode>0.00</c:formatCode>
                <c:ptCount val="3"/>
                <c:pt idx="0">
                  <c:v>0.27196492149999996</c:v>
                </c:pt>
                <c:pt idx="1">
                  <c:v>0</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458950</xdr:colOff>
      <xdr:row>24</xdr:row>
      <xdr:rowOff>58105</xdr:rowOff>
    </xdr:from>
    <xdr:ext cx="2554995" cy="264560"/>
    <xdr:sp macro="" textlink="">
      <xdr:nvSpPr>
        <xdr:cNvPr id="2"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oneCellAnchor>
    <xdr:from>
      <xdr:col>9</xdr:col>
      <xdr:colOff>504825</xdr:colOff>
      <xdr:row>0</xdr:row>
      <xdr:rowOff>0</xdr:rowOff>
    </xdr:from>
    <xdr:ext cx="5734050" cy="5419725"/>
    <xdr:pic>
      <xdr:nvPicPr>
        <xdr:cNvPr id="3" name="Pictur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0" y="0"/>
          <a:ext cx="5734050" cy="5419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8</xdr:row>
      <xdr:rowOff>0</xdr:rowOff>
    </xdr:from>
    <xdr:ext cx="5715000" cy="263842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5715000" cy="2638425"/>
        </a:xfrm>
        <a:prstGeom prst="rect">
          <a:avLst/>
        </a:prstGeom>
      </xdr:spPr>
    </xdr:pic>
    <xdr:clientData/>
  </xdr:oneCellAnchor>
  <xdr:oneCellAnchor>
    <xdr:from>
      <xdr:col>3</xdr:col>
      <xdr:colOff>0</xdr:colOff>
      <xdr:row>10</xdr:row>
      <xdr:rowOff>0</xdr:rowOff>
    </xdr:from>
    <xdr:ext cx="5715000" cy="263842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tretch>
          <a:fillRect/>
        </a:stretch>
      </xdr:blipFill>
      <xdr:spPr>
        <a:xfrm>
          <a:off x="0" y="0"/>
          <a:ext cx="5715000" cy="2638425"/>
        </a:xfrm>
        <a:prstGeom prst="rect">
          <a:avLst/>
        </a:prstGeom>
      </xdr:spPr>
    </xdr:pic>
    <xdr:clientData/>
  </xdr:oneCellAnchor>
  <xdr:oneCellAnchor>
    <xdr:from>
      <xdr:col>3</xdr:col>
      <xdr:colOff>0</xdr:colOff>
      <xdr:row>12</xdr:row>
      <xdr:rowOff>0</xdr:rowOff>
    </xdr:from>
    <xdr:ext cx="5715000" cy="2638425"/>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stretch>
          <a:fillRect/>
        </a:stretch>
      </xdr:blipFill>
      <xdr:spPr>
        <a:xfrm>
          <a:off x="0" y="0"/>
          <a:ext cx="5715000" cy="26384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7" displayName="Table7" ref="M1:M4" totalsRowShown="0">
  <autoFilter ref="M1:M4" xr:uid="{00000000-0009-0000-0100-000001000000}"/>
  <tableColumns count="1">
    <tableColumn id="1" xr3:uid="{00000000-0010-0000-0000-000001000000}" name="Lakes"/>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4" displayName="Table4" ref="G1:G10" totalsRowShown="0">
  <autoFilter ref="G1:G10" xr:uid="{00000000-0009-0000-0100-00000A000000}"/>
  <tableColumns count="1">
    <tableColumn id="1" xr3:uid="{00000000-0010-0000-0900-000001000000}" name="Heathlandandshrub"/>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5" displayName="Table15" ref="AA1:AA2" totalsRowShown="0">
  <autoFilter ref="AA1:AA2" xr:uid="{00000000-0009-0000-0100-00000B000000}"/>
  <tableColumns count="1">
    <tableColumn id="1" xr3:uid="{00000000-0010-0000-0A00-000001000000}" name="Coastalsaltmarsh" dataDxfId="0"/>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9" displayName="Table9" ref="Q1:Q21" totalsRowShown="0">
  <autoFilter ref="Q1:Q21" xr:uid="{00000000-0009-0000-0100-00000C000000}"/>
  <tableColumns count="1">
    <tableColumn id="1" xr3:uid="{00000000-0010-0000-0B00-000001000000}" name="Urban"/>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3" displayName="Table3" ref="E1:E6" totalsRowShown="0">
  <autoFilter ref="E1:E6" xr:uid="{00000000-0009-0000-0100-00000D000000}"/>
  <tableColumns count="1">
    <tableColumn id="1" xr3:uid="{00000000-0010-0000-0C00-000001000000}" name="Grassland"/>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8" displayName="Table8" ref="O1:O4" totalsRowShown="0">
  <autoFilter ref="O1:O4" xr:uid="{00000000-0009-0000-0100-00000E000000}"/>
  <tableColumns count="1">
    <tableColumn id="1" xr3:uid="{00000000-0010-0000-0D00-000001000000}" name="Sparselyvegetatedland"/>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3" displayName="Table13" ref="Y1:Y11" totalsRowShown="0">
  <autoFilter ref="Y1:Y11" xr:uid="{00000000-0009-0000-0100-00000F000000}"/>
  <tableColumns count="1">
    <tableColumn id="1" xr3:uid="{00000000-0010-0000-0E00-000001000000}" name="Watercourses"/>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2" displayName="Table12" ref="W1:W5" totalsRowShown="0">
  <autoFilter ref="W1:W5" xr:uid="{00000000-0009-0000-0100-000002000000}"/>
  <tableColumns count="1">
    <tableColumn id="1" xr3:uid="{00000000-0010-0000-0100-000001000000}" name="Lineoftrees" dataDxfId="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C1:C11" totalsRowShown="0">
  <autoFilter ref="C1:C11" xr:uid="{00000000-0009-0000-0100-000003000000}"/>
  <tableColumns count="1">
    <tableColumn id="1" xr3:uid="{00000000-0010-0000-0200-000001000000}" name="Cropland" dataDxfId="3"/>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6" displayName="Table6" ref="K1:K10" totalsRowShown="0">
  <autoFilter ref="K1:K10" xr:uid="{00000000-0009-0000-0100-000004000000}"/>
  <tableColumns count="1">
    <tableColumn id="1" xr3:uid="{00000000-0010-0000-0300-000001000000}" name="Intertidalsediment"/>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1" displayName="Table11" ref="U1:U10" totalsRowShown="0">
  <autoFilter ref="U1:U10" xr:uid="{00000000-0009-0000-0100-000005000000}"/>
  <tableColumns count="1">
    <tableColumn id="1" xr3:uid="{00000000-0010-0000-0400-000001000000}" name="HedgerowsandLinesoftrees"/>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 displayName="Table1" ref="A1:A11" totalsRowShown="0">
  <autoFilter ref="A1:A11" xr:uid="{00000000-0009-0000-0100-000006000000}"/>
  <tableColumns count="1">
    <tableColumn id="1" xr3:uid="{00000000-0010-0000-0500-000001000000}" name="Broadhabitattype"/>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1515" displayName="Table1515" ref="AC1:AC3" totalsRowShown="0">
  <autoFilter ref="AC1:AC3" xr:uid="{00000000-0009-0000-0100-000007000000}"/>
  <tableColumns count="1">
    <tableColumn id="1" xr3:uid="{00000000-0010-0000-0600-000001000000}" name="Individualtrees"/>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5" displayName="Table5" ref="I1:I4" totalsRowShown="0">
  <autoFilter ref="I1:I4" xr:uid="{00000000-0009-0000-0100-000008000000}"/>
  <tableColumns count="1">
    <tableColumn id="1" xr3:uid="{00000000-0010-0000-0700-000001000000}" name="Intertidalhardstructures" dataDxfId="2"/>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0" displayName="Table10" ref="S1:S5" totalsRowShown="0">
  <autoFilter ref="S1:S5" xr:uid="{00000000-0009-0000-0100-000009000000}"/>
  <tableColumns count="1">
    <tableColumn id="1" xr3:uid="{00000000-0010-0000-0800-000001000000}" name="Woodlandandforest"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2E2A-BF3A-4C36-9C2F-D7B562664B79}">
  <sheetPr codeName="Sheet5">
    <tabColor theme="0" tint="-0.249977111117893"/>
    <pageSetUpPr fitToPage="1"/>
  </sheetPr>
  <dimension ref="A1:AD94"/>
  <sheetViews>
    <sheetView showRowColHeaders="0" tabSelected="1" zoomScale="80" zoomScaleNormal="80" workbookViewId="0">
      <selection activeCell="C14" sqref="C14 C14:J15"/>
    </sheetView>
  </sheetViews>
  <sheetFormatPr defaultColWidth="0" defaultRowHeight="14.45" zeroHeight="1"/>
  <cols>
    <col min="1" max="1" width="3.5703125" customWidth="1"/>
    <col min="2" max="6" width="8.7109375" customWidth="1"/>
    <col min="7" max="7" width="11.7109375" customWidth="1"/>
    <col min="8" max="8" width="8.7109375" customWidth="1"/>
    <col min="9" max="9" width="12.7109375" customWidth="1"/>
    <col min="10" max="10" width="14.7109375" customWidth="1"/>
    <col min="11" max="18" width="8.7109375" customWidth="1"/>
    <col min="19" max="19" width="3.7109375" customWidth="1"/>
    <col min="20" max="20" width="8.7109375" hidden="1" customWidth="1"/>
    <col min="21" max="16384" width="8.7109375" hidden="1"/>
  </cols>
  <sheetData>
    <row r="1" spans="1:30">
      <c r="A1" s="99"/>
      <c r="B1" s="99"/>
      <c r="C1" s="99"/>
      <c r="D1" s="611"/>
      <c r="E1" s="611"/>
      <c r="F1" s="611"/>
      <c r="G1" s="611"/>
      <c r="H1" s="611"/>
      <c r="I1" s="611"/>
      <c r="J1" s="611"/>
      <c r="K1" s="99"/>
      <c r="L1" s="99"/>
      <c r="M1" s="99"/>
      <c r="N1" s="99"/>
      <c r="O1" s="99"/>
      <c r="P1" s="99"/>
      <c r="Q1" s="99"/>
      <c r="R1" s="99"/>
      <c r="S1" s="99"/>
      <c r="T1" s="99"/>
      <c r="U1" s="99"/>
      <c r="V1" s="99"/>
      <c r="W1" s="99"/>
      <c r="X1" s="99"/>
      <c r="Y1" s="99"/>
      <c r="Z1" s="99"/>
      <c r="AA1" s="99"/>
      <c r="AB1" s="99"/>
      <c r="AC1" s="99"/>
      <c r="AD1" s="99"/>
    </row>
    <row r="2" spans="1:30">
      <c r="A2" s="99"/>
      <c r="B2" s="99"/>
      <c r="C2" s="99"/>
      <c r="D2" s="611"/>
      <c r="E2" s="611"/>
      <c r="F2" s="611"/>
      <c r="G2" s="611"/>
      <c r="H2" s="611"/>
      <c r="I2" s="611"/>
      <c r="J2" s="611"/>
      <c r="K2" s="99"/>
      <c r="L2" s="99"/>
      <c r="M2" s="99"/>
      <c r="N2" s="99"/>
      <c r="O2" s="99"/>
      <c r="P2" s="99"/>
      <c r="Q2" s="99"/>
      <c r="R2" s="99"/>
      <c r="S2" s="99"/>
      <c r="T2" s="99"/>
      <c r="U2" s="99"/>
      <c r="V2" s="99"/>
      <c r="W2" s="99"/>
      <c r="X2" s="99"/>
      <c r="Y2" s="99"/>
      <c r="Z2" s="99"/>
      <c r="AA2" s="99"/>
      <c r="AB2" s="99"/>
      <c r="AC2" s="99"/>
      <c r="AD2" s="99"/>
    </row>
    <row r="3" spans="1:30">
      <c r="A3" s="99"/>
      <c r="B3" s="99"/>
      <c r="C3" s="99"/>
      <c r="D3" s="611"/>
      <c r="E3" s="611"/>
      <c r="F3" s="611"/>
      <c r="G3" s="611"/>
      <c r="H3" s="611"/>
      <c r="I3" s="611"/>
      <c r="J3" s="611"/>
      <c r="K3" s="99"/>
      <c r="L3" s="99"/>
      <c r="M3" s="99"/>
      <c r="N3" s="99"/>
      <c r="O3" s="99"/>
      <c r="P3" s="99"/>
      <c r="Q3" s="99"/>
      <c r="R3" s="99"/>
      <c r="S3" s="99"/>
      <c r="T3" s="99"/>
      <c r="U3" s="99"/>
      <c r="V3" s="99"/>
      <c r="W3" s="99"/>
      <c r="X3" s="99"/>
      <c r="Y3" s="99"/>
      <c r="Z3" s="99"/>
      <c r="AA3" s="99"/>
      <c r="AB3" s="99"/>
      <c r="AC3" s="99"/>
      <c r="AD3" s="99"/>
    </row>
    <row r="4" spans="1:30">
      <c r="A4" s="99"/>
      <c r="B4" s="99"/>
      <c r="C4" s="99"/>
      <c r="D4" s="611"/>
      <c r="E4" s="611"/>
      <c r="F4" s="611"/>
      <c r="G4" s="611"/>
      <c r="H4" s="611"/>
      <c r="I4" s="611"/>
      <c r="J4" s="611"/>
      <c r="K4" s="99"/>
      <c r="L4" s="99"/>
      <c r="M4" s="99"/>
      <c r="N4" s="99"/>
      <c r="O4" s="99"/>
      <c r="P4" s="99"/>
      <c r="Q4" s="99"/>
      <c r="R4" s="99"/>
      <c r="S4" s="99"/>
      <c r="T4" s="99"/>
      <c r="U4" s="99"/>
      <c r="V4" s="99"/>
      <c r="W4" s="99"/>
      <c r="X4" s="99"/>
      <c r="Y4" s="99"/>
      <c r="Z4" s="99"/>
      <c r="AA4" s="99"/>
      <c r="AB4" s="99"/>
      <c r="AC4" s="99"/>
      <c r="AD4" s="99"/>
    </row>
    <row r="5" spans="1:30">
      <c r="A5" s="99"/>
      <c r="B5" s="99"/>
      <c r="C5" s="99"/>
      <c r="D5" s="611"/>
      <c r="E5" s="611"/>
      <c r="F5" s="611"/>
      <c r="G5" s="611"/>
      <c r="H5" s="611"/>
      <c r="I5" s="611"/>
      <c r="J5" s="611"/>
      <c r="K5" s="99"/>
      <c r="L5" s="99"/>
      <c r="M5" s="99"/>
      <c r="N5" s="99"/>
      <c r="O5" s="99"/>
      <c r="P5" s="99"/>
      <c r="Q5" s="99"/>
      <c r="R5" s="99"/>
      <c r="S5" s="99"/>
      <c r="T5" s="99"/>
      <c r="U5" s="99"/>
      <c r="V5" s="99"/>
      <c r="W5" s="99"/>
      <c r="X5" s="99"/>
      <c r="Y5" s="99"/>
      <c r="Z5" s="99"/>
      <c r="AA5" s="99"/>
      <c r="AB5" s="99"/>
      <c r="AC5" s="99"/>
      <c r="AD5" s="99"/>
    </row>
    <row r="6" spans="1:30">
      <c r="A6" s="199" t="s">
        <v>0</v>
      </c>
      <c r="B6" s="612" t="s">
        <v>1</v>
      </c>
      <c r="C6" s="613"/>
      <c r="D6" s="613"/>
      <c r="E6" s="613"/>
      <c r="F6" s="613"/>
      <c r="G6" s="613"/>
      <c r="H6" s="613"/>
      <c r="I6" s="613"/>
      <c r="J6" s="613"/>
      <c r="K6" s="99"/>
      <c r="L6" s="99"/>
      <c r="M6" s="99"/>
      <c r="N6" s="99"/>
      <c r="O6" s="99"/>
      <c r="P6" s="99"/>
      <c r="Q6" s="99"/>
      <c r="R6" s="99"/>
      <c r="S6" s="99"/>
      <c r="T6" s="99"/>
      <c r="U6" s="99"/>
      <c r="V6" s="99"/>
      <c r="W6" s="99"/>
      <c r="X6" s="99"/>
      <c r="Y6" s="99"/>
      <c r="Z6" s="99"/>
      <c r="AA6" s="99"/>
      <c r="AB6" s="99"/>
      <c r="AC6" s="99"/>
      <c r="AD6" s="99"/>
    </row>
    <row r="7" spans="1:30">
      <c r="A7" s="99"/>
      <c r="B7" s="613"/>
      <c r="C7" s="613"/>
      <c r="D7" s="613"/>
      <c r="E7" s="613"/>
      <c r="F7" s="613"/>
      <c r="G7" s="613"/>
      <c r="H7" s="613"/>
      <c r="I7" s="613"/>
      <c r="J7" s="613"/>
      <c r="K7" s="99"/>
      <c r="L7" s="99"/>
      <c r="M7" s="99"/>
      <c r="N7" s="99"/>
      <c r="O7" s="99"/>
      <c r="P7" s="99"/>
      <c r="Q7" s="99"/>
      <c r="R7" s="99"/>
      <c r="S7" s="99"/>
      <c r="T7" s="99"/>
      <c r="U7" s="99"/>
      <c r="V7" s="99"/>
      <c r="W7" s="99"/>
      <c r="X7" s="99"/>
      <c r="Y7" s="99"/>
      <c r="Z7" s="99"/>
      <c r="AA7" s="99"/>
      <c r="AB7" s="99"/>
      <c r="AC7" s="99"/>
      <c r="AD7" s="99"/>
    </row>
    <row r="8" spans="1:30" ht="28.5" customHeight="1">
      <c r="A8" s="99"/>
      <c r="B8" s="613"/>
      <c r="C8" s="613"/>
      <c r="D8" s="613"/>
      <c r="E8" s="613"/>
      <c r="F8" s="613"/>
      <c r="G8" s="613"/>
      <c r="H8" s="613"/>
      <c r="I8" s="613"/>
      <c r="J8" s="613"/>
      <c r="K8" s="99"/>
      <c r="L8" s="99"/>
      <c r="M8" s="99"/>
      <c r="N8" s="99"/>
      <c r="O8" s="99"/>
      <c r="P8" s="99"/>
      <c r="Q8" s="99"/>
      <c r="R8" s="99"/>
      <c r="S8" s="99"/>
      <c r="T8" s="99"/>
      <c r="U8" s="99"/>
      <c r="V8" s="99"/>
      <c r="W8" s="99"/>
      <c r="X8" s="99"/>
      <c r="Y8" s="99"/>
      <c r="Z8" s="99"/>
      <c r="AA8" s="99"/>
      <c r="AB8" s="99"/>
      <c r="AC8" s="99"/>
      <c r="AD8" s="99"/>
    </row>
    <row r="9" spans="1:30" ht="14.65" customHeight="1">
      <c r="A9" s="99"/>
      <c r="B9" s="614"/>
      <c r="C9" s="614"/>
      <c r="D9" s="614"/>
      <c r="E9" s="614"/>
      <c r="F9" s="614"/>
      <c r="G9" s="614"/>
      <c r="H9" s="614"/>
      <c r="I9" s="614"/>
      <c r="J9" s="614"/>
      <c r="K9" s="99"/>
      <c r="L9" s="99"/>
      <c r="M9" s="99"/>
      <c r="N9" s="99"/>
      <c r="O9" s="99"/>
      <c r="P9" s="99"/>
      <c r="Q9" s="99"/>
      <c r="R9" s="99"/>
      <c r="S9" s="99"/>
      <c r="T9" s="99"/>
      <c r="U9" s="99"/>
      <c r="V9" s="99"/>
      <c r="W9" s="99"/>
      <c r="X9" s="99"/>
      <c r="Y9" s="99"/>
      <c r="Z9" s="99"/>
      <c r="AA9" s="99"/>
      <c r="AB9" s="99"/>
      <c r="AC9" s="99"/>
      <c r="AD9" s="99"/>
    </row>
    <row r="10" spans="1:30" ht="20.65" customHeight="1">
      <c r="A10" s="99"/>
      <c r="B10" s="614"/>
      <c r="C10" s="614"/>
      <c r="D10" s="614"/>
      <c r="E10" s="614"/>
      <c r="F10" s="614"/>
      <c r="G10" s="614"/>
      <c r="H10" s="614"/>
      <c r="I10" s="614"/>
      <c r="J10" s="614"/>
      <c r="K10" s="99"/>
      <c r="L10" s="99"/>
      <c r="M10" s="99"/>
      <c r="N10" s="99"/>
      <c r="O10" s="99"/>
      <c r="P10" s="99"/>
      <c r="Q10" s="99"/>
      <c r="R10" s="99"/>
      <c r="S10" s="99"/>
      <c r="T10" s="99"/>
      <c r="U10" s="99"/>
      <c r="V10" s="99"/>
      <c r="W10" s="99"/>
      <c r="X10" s="99"/>
      <c r="Y10" s="99"/>
      <c r="Z10" s="99"/>
      <c r="AA10" s="99"/>
      <c r="AB10" s="99"/>
      <c r="AC10" s="99"/>
      <c r="AD10" s="99"/>
    </row>
    <row r="11" spans="1:30">
      <c r="A11" s="99"/>
      <c r="B11" s="615" t="s">
        <v>2</v>
      </c>
      <c r="C11" s="615"/>
      <c r="D11" s="615"/>
      <c r="E11" s="615"/>
      <c r="F11" s="616" t="s">
        <v>3</v>
      </c>
      <c r="G11" s="616"/>
      <c r="H11" s="616"/>
      <c r="I11" s="616"/>
      <c r="J11" s="616"/>
      <c r="K11" s="99"/>
      <c r="L11" s="99"/>
      <c r="M11" s="99"/>
      <c r="N11" s="99"/>
      <c r="O11" s="99"/>
      <c r="P11" s="99"/>
      <c r="Q11" s="99"/>
      <c r="R11" s="99"/>
      <c r="S11" s="99"/>
      <c r="T11" s="99"/>
      <c r="U11" s="99"/>
      <c r="V11" s="99"/>
      <c r="W11" s="99"/>
      <c r="X11" s="99"/>
      <c r="Y11" s="99"/>
      <c r="Z11" s="99"/>
      <c r="AA11" s="99"/>
      <c r="AB11" s="99"/>
      <c r="AC11" s="99"/>
      <c r="AD11" s="99"/>
    </row>
    <row r="12" spans="1:30">
      <c r="A12" s="99"/>
      <c r="B12" s="600"/>
      <c r="C12" s="600"/>
      <c r="D12" s="600"/>
      <c r="E12" s="600"/>
      <c r="F12" s="600"/>
      <c r="G12" s="600"/>
      <c r="H12" s="600"/>
      <c r="I12" s="600"/>
      <c r="J12" s="600"/>
      <c r="K12" s="99"/>
      <c r="L12" s="99"/>
      <c r="M12" s="99"/>
      <c r="N12" s="99"/>
      <c r="O12" s="99"/>
      <c r="P12" s="99"/>
      <c r="Q12" s="99"/>
      <c r="R12" s="99"/>
      <c r="S12" s="99"/>
      <c r="T12" s="99"/>
      <c r="U12" s="99"/>
      <c r="V12" s="99"/>
      <c r="W12" s="99"/>
      <c r="X12" s="99"/>
      <c r="Y12" s="99"/>
      <c r="Z12" s="99"/>
      <c r="AA12" s="99"/>
      <c r="AB12" s="99"/>
      <c r="AC12" s="99"/>
      <c r="AD12" s="99"/>
    </row>
    <row r="13" spans="1:30">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row>
    <row r="14" spans="1:30" ht="14.65" customHeight="1">
      <c r="A14" s="99"/>
      <c r="B14" s="601"/>
      <c r="C14" s="602"/>
      <c r="D14" s="602"/>
      <c r="E14" s="602"/>
      <c r="F14" s="602"/>
      <c r="G14" s="602"/>
      <c r="H14" s="602"/>
      <c r="I14" s="602"/>
      <c r="J14" s="602"/>
      <c r="K14" s="99"/>
      <c r="L14" s="99"/>
      <c r="M14" s="99"/>
      <c r="N14" s="99"/>
      <c r="O14" s="99"/>
      <c r="P14" s="99"/>
      <c r="Q14" s="99"/>
      <c r="R14" s="99"/>
      <c r="S14" s="99"/>
      <c r="T14" s="99"/>
      <c r="U14" s="99"/>
      <c r="V14" s="99"/>
      <c r="W14" s="99"/>
      <c r="X14" s="99"/>
      <c r="Y14" s="99"/>
      <c r="Z14" s="99"/>
      <c r="AA14" s="99"/>
      <c r="AB14" s="99"/>
      <c r="AC14" s="99"/>
      <c r="AD14" s="99"/>
    </row>
    <row r="15" spans="1:30" ht="81" customHeight="1">
      <c r="A15" s="99"/>
      <c r="B15" s="601"/>
      <c r="C15" s="602"/>
      <c r="D15" s="602"/>
      <c r="E15" s="602"/>
      <c r="F15" s="602"/>
      <c r="G15" s="602"/>
      <c r="H15" s="602"/>
      <c r="I15" s="602"/>
      <c r="J15" s="602"/>
      <c r="K15" s="99"/>
      <c r="L15" s="99"/>
      <c r="M15" s="99"/>
      <c r="N15" s="99"/>
      <c r="O15" s="99"/>
      <c r="P15" s="99"/>
      <c r="Q15" s="99"/>
      <c r="R15" s="99"/>
      <c r="S15" s="99"/>
      <c r="T15" s="99"/>
      <c r="U15" s="99"/>
      <c r="V15" s="99"/>
      <c r="W15" s="99"/>
      <c r="X15" s="99"/>
      <c r="Y15" s="99"/>
      <c r="Z15" s="99"/>
      <c r="AA15" s="99"/>
      <c r="AB15" s="99"/>
      <c r="AC15" s="99"/>
      <c r="AD15" s="99"/>
    </row>
    <row r="16" spans="1:30" ht="21.6" customHeight="1">
      <c r="A16" s="99"/>
      <c r="B16" s="111"/>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row>
    <row r="17" spans="1:30" ht="21" customHeight="1">
      <c r="A17" s="99"/>
      <c r="B17" s="603" t="s">
        <v>4</v>
      </c>
      <c r="C17" s="603"/>
      <c r="D17" s="603"/>
      <c r="E17" s="603"/>
      <c r="F17" s="603"/>
      <c r="G17" s="603"/>
      <c r="H17" s="603"/>
      <c r="I17" s="99"/>
      <c r="J17" s="99"/>
      <c r="K17" s="99"/>
      <c r="L17" s="99"/>
      <c r="M17" s="99"/>
      <c r="N17" s="99"/>
      <c r="O17" s="99"/>
      <c r="P17" s="99"/>
      <c r="Q17" s="99"/>
      <c r="R17" s="99"/>
      <c r="S17" s="99"/>
      <c r="T17" s="99"/>
      <c r="U17" s="99"/>
      <c r="V17" s="99"/>
      <c r="W17" s="99"/>
      <c r="X17" s="99"/>
      <c r="Y17" s="99"/>
      <c r="Z17" s="99"/>
      <c r="AA17" s="99"/>
      <c r="AB17" s="99"/>
      <c r="AC17" s="99"/>
      <c r="AD17" s="99"/>
    </row>
    <row r="18" spans="1:30" ht="15" customHeight="1">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row>
    <row r="19" spans="1:30" ht="14.65" customHeight="1">
      <c r="A19" s="99"/>
      <c r="B19" s="604"/>
      <c r="C19" s="605"/>
      <c r="D19" s="608" t="s">
        <v>5</v>
      </c>
      <c r="E19" s="609"/>
      <c r="F19" s="609"/>
      <c r="G19" s="609"/>
      <c r="H19" s="610"/>
      <c r="I19" s="99"/>
      <c r="J19" s="99"/>
      <c r="K19" s="99"/>
      <c r="L19" s="99"/>
      <c r="M19" s="99"/>
      <c r="N19" s="99"/>
      <c r="O19" s="99"/>
      <c r="P19" s="99"/>
      <c r="Q19" s="99"/>
      <c r="R19" s="99"/>
      <c r="S19" s="99"/>
      <c r="T19" s="99"/>
      <c r="U19" s="99"/>
      <c r="V19" s="99"/>
      <c r="W19" s="99"/>
      <c r="X19" s="99"/>
      <c r="Y19" s="99"/>
      <c r="Z19" s="99"/>
      <c r="AA19" s="99"/>
      <c r="AB19" s="99"/>
      <c r="AC19" s="99"/>
      <c r="AD19" s="99"/>
    </row>
    <row r="20" spans="1:30" ht="15" customHeight="1">
      <c r="A20" s="99"/>
      <c r="B20" s="606"/>
      <c r="C20" s="607"/>
      <c r="D20" s="587"/>
      <c r="E20" s="588"/>
      <c r="F20" s="588"/>
      <c r="G20" s="588"/>
      <c r="H20" s="589"/>
      <c r="I20" s="99"/>
      <c r="J20" s="99"/>
      <c r="K20" s="99"/>
      <c r="L20" s="99"/>
      <c r="M20" s="99"/>
      <c r="N20" s="99"/>
      <c r="O20" s="99"/>
      <c r="P20" s="99"/>
      <c r="Q20" s="99"/>
      <c r="R20" s="99"/>
      <c r="S20" s="99"/>
      <c r="T20" s="99"/>
      <c r="U20" s="99"/>
      <c r="V20" s="99"/>
      <c r="W20" s="99"/>
      <c r="X20" s="99"/>
      <c r="Y20" s="99"/>
      <c r="Z20" s="99"/>
      <c r="AA20" s="99"/>
      <c r="AB20" s="99"/>
      <c r="AC20" s="99"/>
      <c r="AD20" s="99"/>
    </row>
    <row r="21" spans="1:30" ht="14.65" customHeight="1">
      <c r="A21" s="99"/>
      <c r="B21" s="580"/>
      <c r="C21" s="581"/>
      <c r="D21" s="584" t="s">
        <v>6</v>
      </c>
      <c r="E21" s="585"/>
      <c r="F21" s="585"/>
      <c r="G21" s="585"/>
      <c r="H21" s="586"/>
      <c r="I21" s="99"/>
      <c r="J21" s="99"/>
      <c r="K21" s="99"/>
      <c r="L21" s="99"/>
      <c r="M21" s="99"/>
      <c r="N21" s="99"/>
      <c r="O21" s="99"/>
      <c r="P21" s="99"/>
      <c r="Q21" s="99"/>
      <c r="R21" s="99"/>
      <c r="S21" s="99"/>
      <c r="T21" s="99"/>
      <c r="U21" s="99"/>
      <c r="V21" s="99"/>
      <c r="W21" s="99"/>
      <c r="X21" s="99"/>
      <c r="Y21" s="99"/>
      <c r="Z21" s="99"/>
      <c r="AA21" s="99"/>
      <c r="AB21" s="99"/>
      <c r="AC21" s="99"/>
      <c r="AD21" s="99"/>
    </row>
    <row r="22" spans="1:30" ht="14.65" customHeight="1">
      <c r="A22" s="99"/>
      <c r="B22" s="582"/>
      <c r="C22" s="583"/>
      <c r="D22" s="587"/>
      <c r="E22" s="588"/>
      <c r="F22" s="588"/>
      <c r="G22" s="588"/>
      <c r="H22" s="589"/>
      <c r="I22" s="99"/>
      <c r="J22" s="99"/>
      <c r="K22" s="99"/>
      <c r="L22" s="99"/>
      <c r="M22" s="99"/>
      <c r="N22" s="99"/>
      <c r="O22" s="99"/>
      <c r="P22" s="99"/>
      <c r="Q22" s="99"/>
      <c r="R22" s="99"/>
      <c r="S22" s="99"/>
      <c r="T22" s="99"/>
      <c r="U22" s="99"/>
      <c r="V22" s="99"/>
      <c r="W22" s="99"/>
      <c r="X22" s="99"/>
      <c r="Y22" s="99"/>
      <c r="Z22" s="99"/>
      <c r="AA22" s="99"/>
      <c r="AB22" s="99"/>
      <c r="AC22" s="99"/>
      <c r="AD22" s="99"/>
    </row>
    <row r="23" spans="1:30" ht="14.65" customHeight="1">
      <c r="A23" s="99"/>
      <c r="B23" s="590"/>
      <c r="C23" s="591"/>
      <c r="D23" s="594" t="s">
        <v>7</v>
      </c>
      <c r="E23" s="595"/>
      <c r="F23" s="595"/>
      <c r="G23" s="595"/>
      <c r="H23" s="596"/>
      <c r="I23" s="99"/>
      <c r="J23" s="99"/>
      <c r="K23" s="99"/>
      <c r="L23" s="99"/>
      <c r="M23" s="99"/>
      <c r="N23" s="99"/>
      <c r="O23" s="99"/>
      <c r="P23" s="99"/>
      <c r="Q23" s="99"/>
      <c r="R23" s="99"/>
      <c r="S23" s="99"/>
      <c r="T23" s="99"/>
      <c r="U23" s="99"/>
      <c r="V23" s="99"/>
      <c r="W23" s="99"/>
      <c r="X23" s="99"/>
      <c r="Y23" s="99"/>
      <c r="Z23" s="99"/>
      <c r="AA23" s="99"/>
      <c r="AB23" s="99"/>
      <c r="AC23" s="99"/>
      <c r="AD23" s="99"/>
    </row>
    <row r="24" spans="1:30" ht="14.65" customHeight="1">
      <c r="A24" s="99"/>
      <c r="B24" s="592"/>
      <c r="C24" s="593"/>
      <c r="D24" s="597"/>
      <c r="E24" s="598"/>
      <c r="F24" s="598"/>
      <c r="G24" s="598"/>
      <c r="H24" s="599"/>
      <c r="I24" s="99"/>
      <c r="J24" s="99"/>
      <c r="K24" s="99"/>
      <c r="L24" s="99"/>
      <c r="M24" s="99"/>
      <c r="N24" s="99"/>
      <c r="O24" s="99"/>
      <c r="P24" s="99"/>
      <c r="Q24" s="99"/>
      <c r="R24" s="99"/>
      <c r="S24" s="99"/>
      <c r="T24" s="99"/>
      <c r="U24" s="99"/>
      <c r="V24" s="99"/>
      <c r="W24" s="99"/>
      <c r="X24" s="99"/>
      <c r="Y24" s="99"/>
      <c r="Z24" s="99"/>
      <c r="AA24" s="99"/>
      <c r="AB24" s="99"/>
      <c r="AC24" s="99"/>
      <c r="AD24" s="99"/>
    </row>
    <row r="25" spans="1:30" ht="28.15" customHeight="1">
      <c r="A25" s="99"/>
      <c r="B25" s="385"/>
      <c r="C25" s="386"/>
      <c r="D25" s="571" t="s">
        <v>8</v>
      </c>
      <c r="E25" s="572"/>
      <c r="F25" s="572"/>
      <c r="G25" s="572"/>
      <c r="H25" s="573"/>
      <c r="I25" s="99"/>
      <c r="J25" s="99"/>
      <c r="K25" s="99"/>
      <c r="L25" s="99"/>
      <c r="M25" s="99"/>
      <c r="N25" s="99"/>
      <c r="O25" s="99"/>
      <c r="P25" s="99"/>
      <c r="Q25" s="99"/>
      <c r="R25" s="99"/>
      <c r="S25" s="99"/>
      <c r="T25" s="99"/>
      <c r="U25" s="99"/>
      <c r="V25" s="99"/>
      <c r="W25" s="99"/>
      <c r="X25" s="99"/>
      <c r="Y25" s="99"/>
      <c r="Z25" s="99"/>
      <c r="AA25" s="99"/>
      <c r="AB25" s="99"/>
      <c r="AC25" s="99"/>
      <c r="AD25" s="99"/>
    </row>
    <row r="26" spans="1:30" ht="32.1" customHeight="1">
      <c r="A26" s="99"/>
      <c r="B26" s="387"/>
      <c r="C26" s="388"/>
      <c r="D26" s="571" t="s">
        <v>9</v>
      </c>
      <c r="E26" s="572"/>
      <c r="F26" s="572"/>
      <c r="G26" s="572"/>
      <c r="H26" s="573"/>
      <c r="I26" s="99"/>
      <c r="J26" s="99"/>
      <c r="K26" s="99"/>
      <c r="L26" s="99"/>
      <c r="M26" s="99"/>
      <c r="N26" s="99"/>
      <c r="O26" s="99"/>
      <c r="P26" s="99"/>
      <c r="Q26" s="99"/>
      <c r="R26" s="99"/>
      <c r="S26" s="99"/>
      <c r="T26" s="99"/>
      <c r="U26" s="99"/>
      <c r="V26" s="99"/>
      <c r="W26" s="99"/>
      <c r="X26" s="99"/>
      <c r="Y26" s="99"/>
      <c r="Z26" s="99"/>
      <c r="AA26" s="99"/>
      <c r="AB26" s="99"/>
      <c r="AC26" s="99"/>
      <c r="AD26" s="99"/>
    </row>
    <row r="27" spans="1:30" ht="27" customHeight="1">
      <c r="A27" s="99"/>
      <c r="B27" s="574" t="s">
        <v>10</v>
      </c>
      <c r="C27" s="575"/>
      <c r="D27" s="571" t="s">
        <v>11</v>
      </c>
      <c r="E27" s="572"/>
      <c r="F27" s="572"/>
      <c r="G27" s="572"/>
      <c r="H27" s="573"/>
      <c r="I27" s="99"/>
      <c r="J27" s="99"/>
      <c r="K27" s="99"/>
      <c r="L27" s="99"/>
      <c r="M27" s="99"/>
      <c r="N27" s="99"/>
      <c r="O27" s="99"/>
      <c r="P27" s="99"/>
      <c r="Q27" s="99"/>
      <c r="R27" s="99"/>
      <c r="S27" s="99"/>
      <c r="T27" s="99"/>
      <c r="U27" s="99"/>
      <c r="V27" s="99"/>
      <c r="W27" s="99"/>
      <c r="X27" s="99"/>
      <c r="Y27" s="99"/>
      <c r="Z27" s="99"/>
      <c r="AA27" s="99"/>
      <c r="AB27" s="99"/>
      <c r="AC27" s="99"/>
      <c r="AD27" s="99"/>
    </row>
    <row r="28" spans="1:30" ht="24" customHeight="1">
      <c r="A28" s="99"/>
      <c r="B28" s="576" t="s">
        <v>12</v>
      </c>
      <c r="C28" s="577"/>
      <c r="D28" s="578" t="s">
        <v>13</v>
      </c>
      <c r="E28" s="578"/>
      <c r="F28" s="578"/>
      <c r="G28" s="578"/>
      <c r="H28" s="579"/>
      <c r="I28" s="99"/>
      <c r="J28" s="566" t="s">
        <v>14</v>
      </c>
      <c r="K28" s="566"/>
      <c r="L28" s="566"/>
      <c r="M28" s="566"/>
      <c r="N28" s="566"/>
      <c r="O28" s="566"/>
      <c r="P28" s="566"/>
      <c r="Q28" s="566"/>
      <c r="R28" s="566"/>
      <c r="S28" s="99"/>
      <c r="T28" s="99"/>
      <c r="U28" s="99"/>
      <c r="V28" s="99"/>
      <c r="W28" s="99"/>
      <c r="X28" s="99"/>
      <c r="Y28" s="99"/>
      <c r="Z28" s="99"/>
      <c r="AA28" s="99"/>
      <c r="AB28" s="99"/>
      <c r="AC28" s="99"/>
      <c r="AD28" s="99"/>
    </row>
    <row r="29" spans="1:30" ht="24" customHeight="1">
      <c r="A29" s="99"/>
      <c r="B29" s="567"/>
      <c r="C29" s="568"/>
      <c r="D29" s="569" t="s">
        <v>15</v>
      </c>
      <c r="E29" s="569"/>
      <c r="F29" s="569"/>
      <c r="G29" s="569"/>
      <c r="H29" s="570"/>
      <c r="I29" s="99"/>
      <c r="J29" s="99"/>
      <c r="K29" s="99"/>
      <c r="L29" s="99"/>
      <c r="M29" s="99"/>
      <c r="N29" s="99"/>
      <c r="O29" s="99"/>
      <c r="P29" s="99"/>
      <c r="Q29" s="99"/>
      <c r="R29" s="99"/>
      <c r="S29" s="99"/>
      <c r="T29" s="99"/>
      <c r="U29" s="99"/>
      <c r="V29" s="99"/>
      <c r="W29" s="99"/>
      <c r="X29" s="99"/>
      <c r="Y29" s="99"/>
      <c r="Z29" s="99"/>
      <c r="AA29" s="99"/>
      <c r="AB29" s="99"/>
      <c r="AC29" s="99"/>
      <c r="AD29" s="99"/>
    </row>
    <row r="30" spans="1:30" ht="27.6"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row>
    <row r="31" spans="1:30" ht="21.6"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row>
    <row r="32" spans="1:30">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row>
    <row r="33" spans="1:30" ht="15.6"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row>
    <row r="34" spans="1:30">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row>
    <row r="35" spans="1:30" ht="15.6"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row>
    <row r="36" spans="1:30">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row>
    <row r="37" spans="1:30" hidden="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row>
    <row r="38" spans="1:30" hidden="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row>
    <row r="39" spans="1:30" hidden="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row>
    <row r="40" spans="1:30" hidden="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row>
    <row r="41" spans="1:30" hidden="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row>
    <row r="42" spans="1:30" hidden="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row>
    <row r="43" spans="1:30" hidden="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row>
    <row r="44" spans="1:30" hidden="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row>
    <row r="45" spans="1:30" hidden="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row>
    <row r="46" spans="1:30" hidden="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row>
    <row r="47" spans="1:30" hidden="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row>
    <row r="48" spans="1:30" hidden="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row>
    <row r="49" spans="1:30" hidden="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row>
    <row r="50" spans="1:30" hidden="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row>
    <row r="51" spans="1:30" hidden="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row>
    <row r="52" spans="1:30" hidden="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row>
    <row r="53" spans="1:30" hidden="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row>
    <row r="54" spans="1:30" hidden="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row>
    <row r="55" spans="1:30" hidden="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row>
    <row r="56" spans="1:30" hidden="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row>
    <row r="57" spans="1:30" hidden="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row>
    <row r="58" spans="1:30" hidden="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row>
    <row r="59" spans="1:30" hidden="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row>
    <row r="60" spans="1:30" hidden="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row>
    <row r="61" spans="1:30" hidden="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row>
    <row r="62" spans="1:30" hidden="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row>
    <row r="63" spans="1:30" hidden="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row>
    <row r="64" spans="1:30" hidden="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row>
    <row r="65" spans="1:30" hidden="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row>
    <row r="66" spans="1:30" hidden="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row>
    <row r="67" spans="1:30" hidden="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row>
    <row r="68" spans="1:30" hidden="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row>
    <row r="69" spans="1:30" hidden="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row>
    <row r="70" spans="1:30" hidden="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row>
    <row r="71" spans="1:30" hidden="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row>
    <row r="72" spans="1:30" hidden="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row>
    <row r="73" spans="1:30" hidden="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row>
    <row r="74" spans="1:30" hidden="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row>
    <row r="75" spans="1:30" hidden="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row>
    <row r="76" spans="1:30" hidden="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row>
    <row r="77" spans="1:30" hidden="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row>
    <row r="78" spans="1:30" hidden="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row>
    <row r="79" spans="1:30" hidden="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row>
    <row r="80" spans="1:30" hidden="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row>
    <row r="81" spans="1:30" hidden="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row>
    <row r="82" spans="1:30" hidden="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row>
    <row r="83" spans="1:30" hidden="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row>
    <row r="84" spans="1:30" hidden="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c r="AD84" s="99"/>
    </row>
    <row r="85" spans="1:30" hidden="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row>
    <row r="86" spans="1:30" hidden="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row>
    <row r="87" spans="1:30" hidden="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row>
    <row r="88" spans="1:30" hidden="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c r="AD88" s="99"/>
    </row>
    <row r="89" spans="1:30" hidden="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c r="AD89" s="99"/>
    </row>
    <row r="90" spans="1:30" hidden="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c r="AD90" s="99"/>
    </row>
    <row r="91" spans="1:30" hidden="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c r="AD91" s="99"/>
    </row>
    <row r="92" spans="1:30" hidden="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c r="AD92" s="99"/>
    </row>
    <row r="93" spans="1:30" hidden="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row>
    <row r="94" spans="1:30" hidden="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row>
  </sheetData>
  <sheetProtection algorithmName="SHA-512" hashValue="Mb2IFo/4jbyHSzVyJMyPzt5btdcJWs3VIMgLCfY1ikiwv4KPnLJcnTDn+poFGibYKU5q6WQoj1Wbmnk79+P2+A==" saltValue="KBc/93FoK3iOgEV94rljsA==" spinCount="100000" sheet="1" objects="1"/>
  <mergeCells count="24">
    <mergeCell ref="D1:J5"/>
    <mergeCell ref="B6:J8"/>
    <mergeCell ref="B9:J10"/>
    <mergeCell ref="B11:E11"/>
    <mergeCell ref="F11:J11"/>
    <mergeCell ref="B12:J12"/>
    <mergeCell ref="B14:B15"/>
    <mergeCell ref="C14:J15"/>
    <mergeCell ref="B17:H17"/>
    <mergeCell ref="B19:C20"/>
    <mergeCell ref="D19:H20"/>
    <mergeCell ref="B21:C22"/>
    <mergeCell ref="D21:H22"/>
    <mergeCell ref="B23:C24"/>
    <mergeCell ref="D23:H24"/>
    <mergeCell ref="D25:H25"/>
    <mergeCell ref="J28:R28"/>
    <mergeCell ref="B29:C29"/>
    <mergeCell ref="D29:H29"/>
    <mergeCell ref="D26:H26"/>
    <mergeCell ref="B27:C27"/>
    <mergeCell ref="D27:H27"/>
    <mergeCell ref="B28:C28"/>
    <mergeCell ref="D28:H28"/>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D83-4DCB-48C1-9984-9BC62BA2F706}">
  <sheetPr codeName="Sheet11">
    <tabColor rgb="FF005E5C"/>
  </sheetPr>
  <dimension ref="B1:XEZ106"/>
  <sheetViews>
    <sheetView zoomScale="80" zoomScaleNormal="80" workbookViewId="0">
      <pane xSplit="2" ySplit="5" topLeftCell="C6" activePane="bottomRight" state="frozenSplit"/>
      <selection pane="bottomRight" activeCell="C1" sqref="C1"/>
      <selection pane="bottomLeft"/>
      <selection pane="topRight"/>
    </sheetView>
  </sheetViews>
  <sheetFormatPr defaultColWidth="9.28515625" defaultRowHeight="14.45" zeroHeight="1"/>
  <cols>
    <col min="1" max="1" width="8.7109375" style="99" customWidth="1"/>
    <col min="2" max="2" width="79.28515625" style="99" customWidth="1"/>
    <col min="3" max="3" width="24.28515625" style="99" customWidth="1"/>
    <col min="4" max="4" width="31.28515625" style="99" customWidth="1"/>
    <col min="5" max="5" width="114.5703125" style="99" customWidth="1"/>
    <col min="6" max="6" width="35.7109375" style="99" customWidth="1"/>
    <col min="7" max="11" width="17.7109375" style="99" customWidth="1"/>
    <col min="12" max="13" width="41.28515625" style="99" customWidth="1"/>
    <col min="14" max="14" width="96" style="99" customWidth="1"/>
    <col min="15" max="15" width="9.28515625" style="99" customWidth="1"/>
    <col min="16" max="19" width="9.28515625" style="99" hidden="1" customWidth="1"/>
    <col min="20" max="16380" width="14.42578125" style="99" hidden="1" customWidth="1"/>
    <col min="16381" max="16383" width="14.42578125" style="99" customWidth="1"/>
    <col min="16384" max="16384" width="9.28515625" style="99" customWidth="1"/>
  </cols>
  <sheetData>
    <row r="1" spans="2:14">
      <c r="B1" s="1016" t="s">
        <v>400</v>
      </c>
      <c r="C1" s="1017"/>
      <c r="D1" s="1017"/>
      <c r="E1" s="1017"/>
      <c r="F1" s="1017"/>
      <c r="G1" s="1017"/>
      <c r="H1" s="1017"/>
      <c r="I1" s="1017"/>
      <c r="J1" s="1017"/>
      <c r="K1" s="1017"/>
      <c r="L1" s="1017"/>
      <c r="M1" s="1017"/>
      <c r="N1" s="1018"/>
    </row>
    <row r="2" spans="2:14" ht="15" customHeight="1">
      <c r="B2" s="1019"/>
      <c r="C2" s="1020"/>
      <c r="D2" s="1020"/>
      <c r="E2" s="1020"/>
      <c r="F2" s="1020"/>
      <c r="G2" s="1020"/>
      <c r="H2" s="1020"/>
      <c r="I2" s="1020"/>
      <c r="J2" s="1020"/>
      <c r="K2" s="1020"/>
      <c r="L2" s="1020"/>
      <c r="M2" s="1020"/>
      <c r="N2" s="1021"/>
    </row>
    <row r="3" spans="2:14" ht="18" customHeight="1">
      <c r="B3" s="1022" t="s">
        <v>289</v>
      </c>
      <c r="C3" s="1025" t="s">
        <v>401</v>
      </c>
      <c r="D3" s="1026"/>
      <c r="E3" s="1026"/>
      <c r="F3" s="1027"/>
      <c r="G3" s="1028" t="s">
        <v>402</v>
      </c>
      <c r="H3" s="1029"/>
      <c r="I3" s="1029"/>
      <c r="J3" s="1029"/>
      <c r="K3" s="1029"/>
      <c r="L3" s="1029"/>
      <c r="M3" s="1030"/>
      <c r="N3" s="1031" t="s">
        <v>403</v>
      </c>
    </row>
    <row r="4" spans="2:14" ht="98.1" customHeight="1">
      <c r="B4" s="1023"/>
      <c r="C4" s="1034" t="s">
        <v>404</v>
      </c>
      <c r="D4" s="1036" t="s">
        <v>405</v>
      </c>
      <c r="E4" s="1036" t="s">
        <v>406</v>
      </c>
      <c r="F4" s="1038" t="s">
        <v>407</v>
      </c>
      <c r="G4" s="127" t="s">
        <v>408</v>
      </c>
      <c r="H4" s="10" t="s">
        <v>409</v>
      </c>
      <c r="I4" s="10" t="s">
        <v>410</v>
      </c>
      <c r="J4" s="10" t="s">
        <v>411</v>
      </c>
      <c r="K4" s="10" t="s">
        <v>412</v>
      </c>
      <c r="L4" s="1040" t="s">
        <v>413</v>
      </c>
      <c r="M4" s="1042" t="s">
        <v>414</v>
      </c>
      <c r="N4" s="1032"/>
    </row>
    <row r="5" spans="2:14" ht="65.650000000000006" customHeight="1">
      <c r="B5" s="1024"/>
      <c r="C5" s="1035"/>
      <c r="D5" s="1037"/>
      <c r="E5" s="1037"/>
      <c r="F5" s="1039"/>
      <c r="G5" s="250" t="s">
        <v>147</v>
      </c>
      <c r="H5" s="9" t="s">
        <v>415</v>
      </c>
      <c r="I5" s="9" t="s">
        <v>416</v>
      </c>
      <c r="J5" s="9" t="s">
        <v>417</v>
      </c>
      <c r="K5" s="9" t="s">
        <v>145</v>
      </c>
      <c r="L5" s="1041"/>
      <c r="M5" s="1043"/>
      <c r="N5" s="1033"/>
    </row>
    <row r="6" spans="2:14">
      <c r="B6" s="344" t="s">
        <v>327</v>
      </c>
      <c r="C6" s="2" t="s">
        <v>417</v>
      </c>
      <c r="D6" s="263" t="s">
        <v>417</v>
      </c>
      <c r="E6" s="347" t="s">
        <v>418</v>
      </c>
      <c r="F6" s="345" t="s">
        <v>417</v>
      </c>
      <c r="G6" s="251" t="s">
        <v>419</v>
      </c>
      <c r="H6" s="249" t="s">
        <v>419</v>
      </c>
      <c r="I6" s="249" t="s">
        <v>419</v>
      </c>
      <c r="J6" s="249">
        <v>1</v>
      </c>
      <c r="K6" s="4" t="s">
        <v>419</v>
      </c>
      <c r="L6" s="249" t="s">
        <v>419</v>
      </c>
      <c r="M6" s="252">
        <v>1</v>
      </c>
      <c r="N6" s="258" t="s">
        <v>418</v>
      </c>
    </row>
    <row r="7" spans="2:14">
      <c r="B7" s="255" t="s">
        <v>329</v>
      </c>
      <c r="C7" s="1" t="s">
        <v>417</v>
      </c>
      <c r="D7" s="84" t="s">
        <v>417</v>
      </c>
      <c r="E7" s="257" t="s">
        <v>418</v>
      </c>
      <c r="F7" s="345" t="s">
        <v>417</v>
      </c>
      <c r="G7" s="7" t="s">
        <v>419</v>
      </c>
      <c r="H7" s="4" t="s">
        <v>419</v>
      </c>
      <c r="I7" s="4" t="s">
        <v>419</v>
      </c>
      <c r="J7" s="4">
        <v>1</v>
      </c>
      <c r="K7" s="4" t="s">
        <v>419</v>
      </c>
      <c r="L7" s="4" t="s">
        <v>419</v>
      </c>
      <c r="M7" s="253">
        <v>1</v>
      </c>
      <c r="N7" s="259" t="s">
        <v>418</v>
      </c>
    </row>
    <row r="8" spans="2:14">
      <c r="B8" s="255" t="s">
        <v>330</v>
      </c>
      <c r="C8" s="1" t="s">
        <v>417</v>
      </c>
      <c r="D8" s="84" t="s">
        <v>417</v>
      </c>
      <c r="E8" s="257" t="s">
        <v>418</v>
      </c>
      <c r="F8" s="345" t="s">
        <v>417</v>
      </c>
      <c r="G8" s="7" t="s">
        <v>419</v>
      </c>
      <c r="H8" s="4" t="s">
        <v>419</v>
      </c>
      <c r="I8" s="4" t="s">
        <v>419</v>
      </c>
      <c r="J8" s="4">
        <v>1</v>
      </c>
      <c r="K8" s="4" t="s">
        <v>419</v>
      </c>
      <c r="L8" s="4" t="s">
        <v>419</v>
      </c>
      <c r="M8" s="253">
        <v>1</v>
      </c>
      <c r="N8" s="259" t="s">
        <v>418</v>
      </c>
    </row>
    <row r="9" spans="2:14">
      <c r="B9" s="255" t="s">
        <v>331</v>
      </c>
      <c r="C9" s="1" t="s">
        <v>417</v>
      </c>
      <c r="D9" s="84" t="s">
        <v>417</v>
      </c>
      <c r="E9" s="257" t="s">
        <v>418</v>
      </c>
      <c r="F9" s="345" t="s">
        <v>417</v>
      </c>
      <c r="G9" s="7" t="s">
        <v>419</v>
      </c>
      <c r="H9" s="4" t="s">
        <v>419</v>
      </c>
      <c r="I9" s="4" t="s">
        <v>419</v>
      </c>
      <c r="J9" s="4">
        <v>1</v>
      </c>
      <c r="K9" s="4" t="s">
        <v>419</v>
      </c>
      <c r="L9" s="4" t="s">
        <v>419</v>
      </c>
      <c r="M9" s="253">
        <v>1</v>
      </c>
      <c r="N9" s="259" t="s">
        <v>418</v>
      </c>
    </row>
    <row r="10" spans="2:14" ht="28.9" customHeight="1">
      <c r="B10" s="255" t="s">
        <v>332</v>
      </c>
      <c r="C10" s="1" t="s">
        <v>417</v>
      </c>
      <c r="D10" s="84" t="s">
        <v>417</v>
      </c>
      <c r="E10" s="257" t="s">
        <v>420</v>
      </c>
      <c r="F10" s="262" t="s">
        <v>419</v>
      </c>
      <c r="G10" s="7" t="s">
        <v>419</v>
      </c>
      <c r="H10" s="4" t="s">
        <v>419</v>
      </c>
      <c r="I10" s="4" t="s">
        <v>419</v>
      </c>
      <c r="J10" s="4">
        <v>1</v>
      </c>
      <c r="K10" s="4" t="s">
        <v>419</v>
      </c>
      <c r="L10" s="4" t="s">
        <v>419</v>
      </c>
      <c r="M10" s="253" t="s">
        <v>419</v>
      </c>
      <c r="N10" s="259" t="s">
        <v>421</v>
      </c>
    </row>
    <row r="11" spans="2:14">
      <c r="B11" s="255" t="s">
        <v>334</v>
      </c>
      <c r="C11" s="1" t="s">
        <v>417</v>
      </c>
      <c r="D11" s="84" t="s">
        <v>417</v>
      </c>
      <c r="E11" s="257" t="s">
        <v>418</v>
      </c>
      <c r="F11" s="345" t="s">
        <v>417</v>
      </c>
      <c r="G11" s="7" t="s">
        <v>419</v>
      </c>
      <c r="H11" s="4" t="s">
        <v>419</v>
      </c>
      <c r="I11" s="4" t="s">
        <v>419</v>
      </c>
      <c r="J11" s="4">
        <v>1</v>
      </c>
      <c r="K11" s="4" t="s">
        <v>419</v>
      </c>
      <c r="L11" s="4" t="s">
        <v>419</v>
      </c>
      <c r="M11" s="253" t="s">
        <v>419</v>
      </c>
      <c r="N11" s="259" t="s">
        <v>418</v>
      </c>
    </row>
    <row r="12" spans="2:14" ht="28.9" customHeight="1">
      <c r="B12" s="255" t="s">
        <v>335</v>
      </c>
      <c r="C12" s="1" t="s">
        <v>417</v>
      </c>
      <c r="D12" s="84" t="s">
        <v>417</v>
      </c>
      <c r="E12" s="257" t="s">
        <v>420</v>
      </c>
      <c r="F12" s="262" t="s">
        <v>419</v>
      </c>
      <c r="G12" s="7" t="s">
        <v>419</v>
      </c>
      <c r="H12" s="4" t="s">
        <v>419</v>
      </c>
      <c r="I12" s="4" t="s">
        <v>419</v>
      </c>
      <c r="J12" s="4">
        <v>1</v>
      </c>
      <c r="K12" s="4" t="s">
        <v>419</v>
      </c>
      <c r="L12" s="4" t="s">
        <v>419</v>
      </c>
      <c r="M12" s="253" t="s">
        <v>419</v>
      </c>
      <c r="N12" s="259" t="s">
        <v>421</v>
      </c>
    </row>
    <row r="13" spans="2:14" ht="28.9" customHeight="1">
      <c r="B13" s="255" t="s">
        <v>336</v>
      </c>
      <c r="C13" s="1" t="s">
        <v>417</v>
      </c>
      <c r="D13" s="84" t="s">
        <v>417</v>
      </c>
      <c r="E13" s="257" t="s">
        <v>420</v>
      </c>
      <c r="F13" s="262" t="s">
        <v>419</v>
      </c>
      <c r="G13" s="7" t="s">
        <v>419</v>
      </c>
      <c r="H13" s="4" t="s">
        <v>419</v>
      </c>
      <c r="I13" s="4" t="s">
        <v>419</v>
      </c>
      <c r="J13" s="4">
        <v>1</v>
      </c>
      <c r="K13" s="4" t="s">
        <v>419</v>
      </c>
      <c r="L13" s="4" t="s">
        <v>419</v>
      </c>
      <c r="M13" s="253" t="s">
        <v>419</v>
      </c>
      <c r="N13" s="259" t="s">
        <v>421</v>
      </c>
    </row>
    <row r="14" spans="2:14" ht="28.9" customHeight="1">
      <c r="B14" s="255" t="s">
        <v>337</v>
      </c>
      <c r="C14" s="1" t="s">
        <v>417</v>
      </c>
      <c r="D14" s="84" t="s">
        <v>417</v>
      </c>
      <c r="E14" s="257" t="s">
        <v>420</v>
      </c>
      <c r="F14" s="262" t="s">
        <v>419</v>
      </c>
      <c r="G14" s="7" t="s">
        <v>419</v>
      </c>
      <c r="H14" s="4" t="s">
        <v>419</v>
      </c>
      <c r="I14" s="4" t="s">
        <v>419</v>
      </c>
      <c r="J14" s="4">
        <v>1</v>
      </c>
      <c r="K14" s="4" t="s">
        <v>419</v>
      </c>
      <c r="L14" s="4" t="s">
        <v>419</v>
      </c>
      <c r="M14" s="253" t="s">
        <v>419</v>
      </c>
      <c r="N14" s="259" t="s">
        <v>421</v>
      </c>
    </row>
    <row r="15" spans="2:14">
      <c r="B15" s="255" t="s">
        <v>338</v>
      </c>
      <c r="C15" s="1" t="s">
        <v>417</v>
      </c>
      <c r="D15" s="84" t="s">
        <v>417</v>
      </c>
      <c r="E15" s="257" t="s">
        <v>422</v>
      </c>
      <c r="F15" s="262" t="s">
        <v>419</v>
      </c>
      <c r="G15" s="7" t="s">
        <v>419</v>
      </c>
      <c r="H15" s="4" t="s">
        <v>419</v>
      </c>
      <c r="I15" s="4" t="s">
        <v>419</v>
      </c>
      <c r="J15" s="4">
        <v>1</v>
      </c>
      <c r="K15" s="4" t="s">
        <v>419</v>
      </c>
      <c r="L15" s="4" t="s">
        <v>419</v>
      </c>
      <c r="M15" s="253" t="s">
        <v>419</v>
      </c>
      <c r="N15" s="259" t="s">
        <v>423</v>
      </c>
    </row>
    <row r="16" spans="2:14">
      <c r="B16" s="255" t="s">
        <v>339</v>
      </c>
      <c r="C16" s="1" t="s">
        <v>417</v>
      </c>
      <c r="D16" s="84" t="s">
        <v>417</v>
      </c>
      <c r="E16" s="257" t="s">
        <v>422</v>
      </c>
      <c r="F16" s="262" t="s">
        <v>419</v>
      </c>
      <c r="G16" s="7" t="s">
        <v>419</v>
      </c>
      <c r="H16" s="4" t="s">
        <v>419</v>
      </c>
      <c r="I16" s="4" t="s">
        <v>419</v>
      </c>
      <c r="J16" s="4">
        <v>1</v>
      </c>
      <c r="K16" s="4" t="s">
        <v>419</v>
      </c>
      <c r="L16" s="4" t="s">
        <v>419</v>
      </c>
      <c r="M16" s="253" t="s">
        <v>419</v>
      </c>
      <c r="N16" s="259" t="s">
        <v>423</v>
      </c>
    </row>
    <row r="17" spans="2:14">
      <c r="B17" s="255" t="s">
        <v>340</v>
      </c>
      <c r="C17" s="7" t="s">
        <v>147</v>
      </c>
      <c r="D17" s="4" t="s">
        <v>424</v>
      </c>
      <c r="E17" s="253" t="s">
        <v>425</v>
      </c>
      <c r="F17" s="262" t="s">
        <v>415</v>
      </c>
      <c r="G17" s="7">
        <v>4</v>
      </c>
      <c r="H17" s="4">
        <v>7</v>
      </c>
      <c r="I17" s="4" t="s">
        <v>419</v>
      </c>
      <c r="J17" s="4" t="s">
        <v>419</v>
      </c>
      <c r="K17" s="4" t="s">
        <v>419</v>
      </c>
      <c r="L17" s="4">
        <v>10</v>
      </c>
      <c r="M17" s="253">
        <v>15</v>
      </c>
      <c r="N17" s="259" t="s">
        <v>426</v>
      </c>
    </row>
    <row r="18" spans="2:14">
      <c r="B18" s="255" t="s">
        <v>341</v>
      </c>
      <c r="C18" s="7" t="s">
        <v>147</v>
      </c>
      <c r="D18" s="4" t="s">
        <v>424</v>
      </c>
      <c r="E18" s="253" t="s">
        <v>341</v>
      </c>
      <c r="F18" s="262" t="s">
        <v>415</v>
      </c>
      <c r="G18" s="7">
        <v>10</v>
      </c>
      <c r="H18" s="4">
        <v>15</v>
      </c>
      <c r="I18" s="4" t="s">
        <v>419</v>
      </c>
      <c r="J18" s="4" t="s">
        <v>419</v>
      </c>
      <c r="K18" s="4" t="s">
        <v>419</v>
      </c>
      <c r="L18" s="4">
        <v>10</v>
      </c>
      <c r="M18" s="253">
        <v>15</v>
      </c>
      <c r="N18" s="259" t="s">
        <v>427</v>
      </c>
    </row>
    <row r="19" spans="2:14">
      <c r="B19" s="255" t="s">
        <v>342</v>
      </c>
      <c r="C19" s="7" t="s">
        <v>147</v>
      </c>
      <c r="D19" s="4" t="s">
        <v>424</v>
      </c>
      <c r="E19" s="253" t="s">
        <v>342</v>
      </c>
      <c r="F19" s="262" t="s">
        <v>415</v>
      </c>
      <c r="G19" s="7">
        <v>5</v>
      </c>
      <c r="H19" s="4">
        <v>10</v>
      </c>
      <c r="I19" s="4" t="s">
        <v>419</v>
      </c>
      <c r="J19" s="4" t="s">
        <v>419</v>
      </c>
      <c r="K19" s="4" t="s">
        <v>419</v>
      </c>
      <c r="L19" s="4">
        <v>10</v>
      </c>
      <c r="M19" s="253">
        <v>15</v>
      </c>
      <c r="N19" s="259" t="s">
        <v>427</v>
      </c>
    </row>
    <row r="20" spans="2:14">
      <c r="B20" s="255" t="s">
        <v>343</v>
      </c>
      <c r="C20" s="7" t="s">
        <v>147</v>
      </c>
      <c r="D20" s="4" t="s">
        <v>424</v>
      </c>
      <c r="E20" s="253" t="s">
        <v>343</v>
      </c>
      <c r="F20" s="262" t="s">
        <v>415</v>
      </c>
      <c r="G20" s="7">
        <v>10</v>
      </c>
      <c r="H20" s="4">
        <v>15</v>
      </c>
      <c r="I20" s="4" t="s">
        <v>419</v>
      </c>
      <c r="J20" s="4" t="s">
        <v>419</v>
      </c>
      <c r="K20" s="4" t="s">
        <v>419</v>
      </c>
      <c r="L20" s="4">
        <v>10</v>
      </c>
      <c r="M20" s="253">
        <v>15</v>
      </c>
      <c r="N20" s="259" t="s">
        <v>427</v>
      </c>
    </row>
    <row r="21" spans="2:14">
      <c r="B21" s="255" t="s">
        <v>344</v>
      </c>
      <c r="C21" s="7" t="s">
        <v>147</v>
      </c>
      <c r="D21" s="4" t="s">
        <v>424</v>
      </c>
      <c r="E21" s="253" t="s">
        <v>344</v>
      </c>
      <c r="F21" s="262" t="s">
        <v>415</v>
      </c>
      <c r="G21" s="7">
        <v>5</v>
      </c>
      <c r="H21" s="4">
        <v>10</v>
      </c>
      <c r="I21" s="4" t="s">
        <v>419</v>
      </c>
      <c r="J21" s="4" t="s">
        <v>419</v>
      </c>
      <c r="K21" s="4" t="s">
        <v>419</v>
      </c>
      <c r="L21" s="4">
        <v>3</v>
      </c>
      <c r="M21" s="253">
        <v>10</v>
      </c>
      <c r="N21" s="259" t="s">
        <v>427</v>
      </c>
    </row>
    <row r="22" spans="2:14" ht="28.9" customHeight="1">
      <c r="B22" s="255" t="s">
        <v>345</v>
      </c>
      <c r="C22" s="1" t="s">
        <v>417</v>
      </c>
      <c r="D22" s="84" t="s">
        <v>417</v>
      </c>
      <c r="E22" s="253" t="s">
        <v>428</v>
      </c>
      <c r="F22" s="262" t="s">
        <v>419</v>
      </c>
      <c r="G22" s="7" t="s">
        <v>419</v>
      </c>
      <c r="H22" s="4" t="s">
        <v>419</v>
      </c>
      <c r="I22" s="4" t="s">
        <v>419</v>
      </c>
      <c r="J22" s="4">
        <v>1</v>
      </c>
      <c r="K22" s="4" t="s">
        <v>419</v>
      </c>
      <c r="L22" s="4" t="s">
        <v>419</v>
      </c>
      <c r="M22" s="253" t="s">
        <v>419</v>
      </c>
      <c r="N22" s="259" t="s">
        <v>429</v>
      </c>
    </row>
    <row r="23" spans="2:14">
      <c r="B23" s="255" t="s">
        <v>346</v>
      </c>
      <c r="C23" s="7" t="s">
        <v>147</v>
      </c>
      <c r="D23" s="4" t="s">
        <v>424</v>
      </c>
      <c r="E23" s="253" t="s">
        <v>346</v>
      </c>
      <c r="F23" s="262" t="s">
        <v>415</v>
      </c>
      <c r="G23" s="7">
        <v>5</v>
      </c>
      <c r="H23" s="4">
        <v>10</v>
      </c>
      <c r="I23" s="4" t="s">
        <v>419</v>
      </c>
      <c r="J23" s="4" t="s">
        <v>419</v>
      </c>
      <c r="K23" s="4" t="s">
        <v>419</v>
      </c>
      <c r="L23" s="4">
        <v>3</v>
      </c>
      <c r="M23" s="253">
        <v>10</v>
      </c>
      <c r="N23" s="259" t="s">
        <v>427</v>
      </c>
    </row>
    <row r="24" spans="2:14">
      <c r="B24" s="255" t="s">
        <v>347</v>
      </c>
      <c r="C24" s="7" t="s">
        <v>147</v>
      </c>
      <c r="D24" s="4" t="s">
        <v>424</v>
      </c>
      <c r="E24" s="253" t="s">
        <v>347</v>
      </c>
      <c r="F24" s="262" t="s">
        <v>415</v>
      </c>
      <c r="G24" s="7">
        <v>5</v>
      </c>
      <c r="H24" s="4">
        <v>10</v>
      </c>
      <c r="I24" s="4" t="s">
        <v>419</v>
      </c>
      <c r="J24" s="4" t="s">
        <v>419</v>
      </c>
      <c r="K24" s="4" t="s">
        <v>419</v>
      </c>
      <c r="L24" s="4">
        <v>3</v>
      </c>
      <c r="M24" s="253">
        <v>10</v>
      </c>
      <c r="N24" s="259" t="s">
        <v>427</v>
      </c>
    </row>
    <row r="25" spans="2:14">
      <c r="B25" s="255" t="s">
        <v>348</v>
      </c>
      <c r="C25" s="7" t="s">
        <v>147</v>
      </c>
      <c r="D25" s="4" t="s">
        <v>424</v>
      </c>
      <c r="E25" s="253" t="s">
        <v>348</v>
      </c>
      <c r="F25" s="262" t="s">
        <v>415</v>
      </c>
      <c r="G25" s="7">
        <v>10</v>
      </c>
      <c r="H25" s="4">
        <v>15</v>
      </c>
      <c r="I25" s="4" t="s">
        <v>419</v>
      </c>
      <c r="J25" s="4" t="s">
        <v>419</v>
      </c>
      <c r="K25" s="4" t="s">
        <v>419</v>
      </c>
      <c r="L25" s="4">
        <v>7</v>
      </c>
      <c r="M25" s="253">
        <v>15</v>
      </c>
      <c r="N25" s="259" t="s">
        <v>427</v>
      </c>
    </row>
    <row r="26" spans="2:14">
      <c r="B26" s="255" t="s">
        <v>349</v>
      </c>
      <c r="C26" s="7" t="s">
        <v>147</v>
      </c>
      <c r="D26" s="4" t="s">
        <v>424</v>
      </c>
      <c r="E26" s="253" t="s">
        <v>349</v>
      </c>
      <c r="F26" s="262" t="s">
        <v>415</v>
      </c>
      <c r="G26" s="7">
        <v>5</v>
      </c>
      <c r="H26" s="4">
        <v>10</v>
      </c>
      <c r="I26" s="4" t="s">
        <v>419</v>
      </c>
      <c r="J26" s="4" t="s">
        <v>419</v>
      </c>
      <c r="K26" s="4" t="s">
        <v>419</v>
      </c>
      <c r="L26" s="4">
        <v>3</v>
      </c>
      <c r="M26" s="253">
        <v>10</v>
      </c>
      <c r="N26" s="259" t="s">
        <v>427</v>
      </c>
    </row>
    <row r="27" spans="2:14" ht="28.9" customHeight="1">
      <c r="B27" s="255" t="s">
        <v>350</v>
      </c>
      <c r="C27" s="1" t="s">
        <v>417</v>
      </c>
      <c r="D27" s="84" t="s">
        <v>417</v>
      </c>
      <c r="E27" s="253" t="s">
        <v>428</v>
      </c>
      <c r="F27" s="262" t="s">
        <v>419</v>
      </c>
      <c r="G27" s="7" t="s">
        <v>419</v>
      </c>
      <c r="H27" s="4" t="s">
        <v>419</v>
      </c>
      <c r="I27" s="4" t="s">
        <v>419</v>
      </c>
      <c r="J27" s="4">
        <v>1</v>
      </c>
      <c r="K27" s="4" t="s">
        <v>419</v>
      </c>
      <c r="L27" s="4" t="s">
        <v>419</v>
      </c>
      <c r="M27" s="253" t="s">
        <v>419</v>
      </c>
      <c r="N27" s="259" t="s">
        <v>429</v>
      </c>
    </row>
    <row r="28" spans="2:14" ht="28.9" customHeight="1">
      <c r="B28" s="255" t="s">
        <v>351</v>
      </c>
      <c r="C28" s="1" t="s">
        <v>417</v>
      </c>
      <c r="D28" s="84" t="s">
        <v>417</v>
      </c>
      <c r="E28" s="253" t="s">
        <v>428</v>
      </c>
      <c r="F28" s="262" t="s">
        <v>419</v>
      </c>
      <c r="G28" s="7" t="s">
        <v>419</v>
      </c>
      <c r="H28" s="4" t="s">
        <v>419</v>
      </c>
      <c r="I28" s="4" t="s">
        <v>419</v>
      </c>
      <c r="J28" s="4">
        <v>1</v>
      </c>
      <c r="K28" s="4" t="s">
        <v>419</v>
      </c>
      <c r="L28" s="4" t="s">
        <v>419</v>
      </c>
      <c r="M28" s="253" t="s">
        <v>419</v>
      </c>
      <c r="N28" s="259" t="s">
        <v>429</v>
      </c>
    </row>
    <row r="29" spans="2:14">
      <c r="B29" s="255" t="s">
        <v>352</v>
      </c>
      <c r="C29" s="7" t="s">
        <v>147</v>
      </c>
      <c r="D29" s="4" t="s">
        <v>424</v>
      </c>
      <c r="E29" s="253" t="s">
        <v>352</v>
      </c>
      <c r="F29" s="262" t="s">
        <v>415</v>
      </c>
      <c r="G29" s="7">
        <v>10</v>
      </c>
      <c r="H29" s="4">
        <v>15</v>
      </c>
      <c r="I29" s="4" t="s">
        <v>419</v>
      </c>
      <c r="J29" s="4" t="s">
        <v>419</v>
      </c>
      <c r="K29" s="4" t="s">
        <v>419</v>
      </c>
      <c r="L29" s="4">
        <v>7</v>
      </c>
      <c r="M29" s="253">
        <v>15</v>
      </c>
      <c r="N29" s="259" t="s">
        <v>427</v>
      </c>
    </row>
    <row r="30" spans="2:14">
      <c r="B30" s="255" t="s">
        <v>353</v>
      </c>
      <c r="C30" s="7" t="s">
        <v>147</v>
      </c>
      <c r="D30" s="4" t="s">
        <v>424</v>
      </c>
      <c r="E30" s="253" t="s">
        <v>430</v>
      </c>
      <c r="F30" s="262" t="s">
        <v>415</v>
      </c>
      <c r="G30" s="7">
        <v>3</v>
      </c>
      <c r="H30" s="4">
        <v>5</v>
      </c>
      <c r="I30" s="4" t="s">
        <v>419</v>
      </c>
      <c r="J30" s="4" t="s">
        <v>419</v>
      </c>
      <c r="K30" s="4" t="s">
        <v>419</v>
      </c>
      <c r="L30" s="4">
        <v>4</v>
      </c>
      <c r="M30" s="253">
        <v>5</v>
      </c>
      <c r="N30" s="259" t="s">
        <v>431</v>
      </c>
    </row>
    <row r="31" spans="2:14">
      <c r="B31" s="255" t="s">
        <v>355</v>
      </c>
      <c r="C31" s="7" t="s">
        <v>147</v>
      </c>
      <c r="D31" s="4" t="s">
        <v>424</v>
      </c>
      <c r="E31" s="253" t="s">
        <v>355</v>
      </c>
      <c r="F31" s="262" t="s">
        <v>415</v>
      </c>
      <c r="G31" s="7">
        <v>3</v>
      </c>
      <c r="H31" s="4">
        <v>5</v>
      </c>
      <c r="I31" s="4" t="s">
        <v>419</v>
      </c>
      <c r="J31" s="4" t="s">
        <v>419</v>
      </c>
      <c r="K31" s="4" t="s">
        <v>419</v>
      </c>
      <c r="L31" s="4">
        <v>4</v>
      </c>
      <c r="M31" s="253">
        <v>5</v>
      </c>
      <c r="N31" s="259" t="s">
        <v>427</v>
      </c>
    </row>
    <row r="32" spans="2:14">
      <c r="B32" s="255" t="s">
        <v>356</v>
      </c>
      <c r="C32" s="7" t="s">
        <v>147</v>
      </c>
      <c r="D32" s="4" t="s">
        <v>424</v>
      </c>
      <c r="E32" s="253" t="s">
        <v>356</v>
      </c>
      <c r="F32" s="262" t="s">
        <v>415</v>
      </c>
      <c r="G32" s="7">
        <v>5</v>
      </c>
      <c r="H32" s="4">
        <v>10</v>
      </c>
      <c r="I32" s="4" t="s">
        <v>419</v>
      </c>
      <c r="J32" s="4" t="s">
        <v>419</v>
      </c>
      <c r="K32" s="4" t="s">
        <v>419</v>
      </c>
      <c r="L32" s="4">
        <v>20</v>
      </c>
      <c r="M32" s="253">
        <v>10</v>
      </c>
      <c r="N32" s="259" t="s">
        <v>427</v>
      </c>
    </row>
    <row r="33" spans="2:14">
      <c r="B33" s="255" t="s">
        <v>357</v>
      </c>
      <c r="C33" s="7" t="s">
        <v>147</v>
      </c>
      <c r="D33" s="4" t="s">
        <v>424</v>
      </c>
      <c r="E33" s="253" t="s">
        <v>357</v>
      </c>
      <c r="F33" s="262" t="s">
        <v>415</v>
      </c>
      <c r="G33" s="7">
        <v>3</v>
      </c>
      <c r="H33" s="4">
        <v>5</v>
      </c>
      <c r="I33" s="4" t="s">
        <v>419</v>
      </c>
      <c r="J33" s="4" t="s">
        <v>419</v>
      </c>
      <c r="K33" s="4" t="s">
        <v>419</v>
      </c>
      <c r="L33" s="4">
        <v>2</v>
      </c>
      <c r="M33" s="253" t="s">
        <v>419</v>
      </c>
      <c r="N33" s="259" t="s">
        <v>427</v>
      </c>
    </row>
    <row r="34" spans="2:14">
      <c r="B34" s="255" t="s">
        <v>358</v>
      </c>
      <c r="C34" s="7" t="s">
        <v>147</v>
      </c>
      <c r="D34" s="4" t="s">
        <v>424</v>
      </c>
      <c r="E34" s="253" t="s">
        <v>358</v>
      </c>
      <c r="F34" s="262" t="s">
        <v>415</v>
      </c>
      <c r="G34" s="7">
        <v>10</v>
      </c>
      <c r="H34" s="4">
        <v>20</v>
      </c>
      <c r="I34" s="4" t="s">
        <v>419</v>
      </c>
      <c r="J34" s="4" t="s">
        <v>419</v>
      </c>
      <c r="K34" s="4" t="s">
        <v>419</v>
      </c>
      <c r="L34" s="4">
        <v>10</v>
      </c>
      <c r="M34" s="253">
        <v>20</v>
      </c>
      <c r="N34" s="259" t="s">
        <v>427</v>
      </c>
    </row>
    <row r="35" spans="2:14">
      <c r="B35" s="255" t="s">
        <v>359</v>
      </c>
      <c r="C35" s="7" t="s">
        <v>147</v>
      </c>
      <c r="D35" s="4" t="s">
        <v>424</v>
      </c>
      <c r="E35" s="255" t="s">
        <v>359</v>
      </c>
      <c r="F35" s="262" t="s">
        <v>415</v>
      </c>
      <c r="G35" s="7">
        <v>3</v>
      </c>
      <c r="H35" s="4">
        <v>5</v>
      </c>
      <c r="I35" s="4" t="s">
        <v>419</v>
      </c>
      <c r="J35" s="4" t="s">
        <v>419</v>
      </c>
      <c r="K35" s="4" t="s">
        <v>419</v>
      </c>
      <c r="L35" s="4">
        <v>2</v>
      </c>
      <c r="M35" s="253" t="s">
        <v>419</v>
      </c>
      <c r="N35" s="259" t="s">
        <v>427</v>
      </c>
    </row>
    <row r="36" spans="2:14">
      <c r="B36" s="255" t="s">
        <v>360</v>
      </c>
      <c r="C36" s="7" t="s">
        <v>147</v>
      </c>
      <c r="D36" s="4" t="s">
        <v>424</v>
      </c>
      <c r="E36" s="253" t="s">
        <v>360</v>
      </c>
      <c r="F36" s="262" t="s">
        <v>415</v>
      </c>
      <c r="G36" s="7">
        <v>1</v>
      </c>
      <c r="H36" s="4">
        <v>1</v>
      </c>
      <c r="I36" s="4" t="s">
        <v>419</v>
      </c>
      <c r="J36" s="4" t="s">
        <v>419</v>
      </c>
      <c r="K36" s="4" t="s">
        <v>419</v>
      </c>
      <c r="L36" s="4">
        <v>1</v>
      </c>
      <c r="M36" s="253">
        <v>1</v>
      </c>
      <c r="N36" s="259" t="s">
        <v>427</v>
      </c>
    </row>
    <row r="37" spans="2:14">
      <c r="B37" s="255" t="s">
        <v>146</v>
      </c>
      <c r="C37" s="7" t="s">
        <v>145</v>
      </c>
      <c r="D37" s="4" t="s">
        <v>145</v>
      </c>
      <c r="E37" s="257" t="s">
        <v>418</v>
      </c>
      <c r="F37" s="262" t="s">
        <v>419</v>
      </c>
      <c r="G37" s="7" t="s">
        <v>419</v>
      </c>
      <c r="H37" s="4" t="s">
        <v>419</v>
      </c>
      <c r="I37" s="4" t="s">
        <v>419</v>
      </c>
      <c r="J37" s="4" t="s">
        <v>419</v>
      </c>
      <c r="K37" s="4">
        <v>0</v>
      </c>
      <c r="L37" s="4" t="s">
        <v>419</v>
      </c>
      <c r="M37" s="253" t="s">
        <v>419</v>
      </c>
      <c r="N37" s="259" t="s">
        <v>418</v>
      </c>
    </row>
    <row r="38" spans="2:14">
      <c r="B38" s="255" t="s">
        <v>363</v>
      </c>
      <c r="C38" s="7" t="s">
        <v>147</v>
      </c>
      <c r="D38" s="4" t="s">
        <v>424</v>
      </c>
      <c r="E38" s="253" t="s">
        <v>363</v>
      </c>
      <c r="F38" s="262" t="s">
        <v>415</v>
      </c>
      <c r="G38" s="7">
        <v>1</v>
      </c>
      <c r="H38" s="4">
        <v>3</v>
      </c>
      <c r="I38" s="4" t="s">
        <v>419</v>
      </c>
      <c r="J38" s="4" t="s">
        <v>419</v>
      </c>
      <c r="K38" s="4" t="s">
        <v>419</v>
      </c>
      <c r="L38" s="4">
        <v>2</v>
      </c>
      <c r="M38" s="253">
        <v>3</v>
      </c>
      <c r="N38" s="259" t="s">
        <v>427</v>
      </c>
    </row>
    <row r="39" spans="2:14">
      <c r="B39" s="255" t="s">
        <v>364</v>
      </c>
      <c r="C39" s="7" t="s">
        <v>147</v>
      </c>
      <c r="D39" s="4" t="s">
        <v>424</v>
      </c>
      <c r="E39" s="253" t="s">
        <v>364</v>
      </c>
      <c r="F39" s="262" t="s">
        <v>415</v>
      </c>
      <c r="G39" s="7">
        <v>5</v>
      </c>
      <c r="H39" s="4">
        <v>10</v>
      </c>
      <c r="I39" s="4" t="s">
        <v>419</v>
      </c>
      <c r="J39" s="4" t="s">
        <v>419</v>
      </c>
      <c r="K39" s="4" t="s">
        <v>419</v>
      </c>
      <c r="L39" s="4">
        <v>5</v>
      </c>
      <c r="M39" s="253">
        <v>10</v>
      </c>
      <c r="N39" s="259" t="s">
        <v>427</v>
      </c>
    </row>
    <row r="40" spans="2:14">
      <c r="B40" s="255" t="s">
        <v>365</v>
      </c>
      <c r="C40" s="7" t="s">
        <v>145</v>
      </c>
      <c r="D40" s="4" t="s">
        <v>145</v>
      </c>
      <c r="E40" s="257" t="s">
        <v>418</v>
      </c>
      <c r="F40" s="262" t="s">
        <v>419</v>
      </c>
      <c r="G40" s="7" t="s">
        <v>419</v>
      </c>
      <c r="H40" s="4" t="s">
        <v>419</v>
      </c>
      <c r="I40" s="4" t="s">
        <v>419</v>
      </c>
      <c r="J40" s="4" t="s">
        <v>419</v>
      </c>
      <c r="K40" s="4">
        <v>0</v>
      </c>
      <c r="L40" s="4" t="s">
        <v>419</v>
      </c>
      <c r="M40" s="253" t="s">
        <v>419</v>
      </c>
      <c r="N40" s="259" t="s">
        <v>418</v>
      </c>
    </row>
    <row r="41" spans="2:14">
      <c r="B41" s="255" t="s">
        <v>366</v>
      </c>
      <c r="C41" s="7" t="s">
        <v>147</v>
      </c>
      <c r="D41" s="4" t="s">
        <v>424</v>
      </c>
      <c r="E41" s="253" t="s">
        <v>366</v>
      </c>
      <c r="F41" s="262" t="s">
        <v>415</v>
      </c>
      <c r="G41" s="7">
        <v>15</v>
      </c>
      <c r="H41" s="4">
        <v>20</v>
      </c>
      <c r="I41" s="4" t="s">
        <v>419</v>
      </c>
      <c r="J41" s="4" t="s">
        <v>419</v>
      </c>
      <c r="K41" s="4" t="s">
        <v>419</v>
      </c>
      <c r="L41" s="4">
        <v>15</v>
      </c>
      <c r="M41" s="253">
        <v>20</v>
      </c>
      <c r="N41" s="259" t="s">
        <v>427</v>
      </c>
    </row>
    <row r="42" spans="2:14">
      <c r="B42" s="255" t="s">
        <v>120</v>
      </c>
      <c r="C42" s="7" t="s">
        <v>145</v>
      </c>
      <c r="D42" s="4" t="s">
        <v>145</v>
      </c>
      <c r="E42" s="257" t="s">
        <v>418</v>
      </c>
      <c r="F42" s="262" t="s">
        <v>419</v>
      </c>
      <c r="G42" s="7" t="s">
        <v>419</v>
      </c>
      <c r="H42" s="4" t="s">
        <v>419</v>
      </c>
      <c r="I42" s="4" t="s">
        <v>419</v>
      </c>
      <c r="J42" s="4" t="s">
        <v>419</v>
      </c>
      <c r="K42" s="4">
        <v>0</v>
      </c>
      <c r="L42" s="4" t="s">
        <v>419</v>
      </c>
      <c r="M42" s="253" t="s">
        <v>419</v>
      </c>
      <c r="N42" s="259" t="s">
        <v>418</v>
      </c>
    </row>
    <row r="43" spans="2:14">
      <c r="B43" s="255" t="s">
        <v>371</v>
      </c>
      <c r="C43" s="1" t="s">
        <v>417</v>
      </c>
      <c r="D43" s="84" t="s">
        <v>417</v>
      </c>
      <c r="E43" s="253" t="s">
        <v>364</v>
      </c>
      <c r="F43" s="262" t="s">
        <v>419</v>
      </c>
      <c r="G43" s="7" t="s">
        <v>419</v>
      </c>
      <c r="H43" s="4" t="s">
        <v>419</v>
      </c>
      <c r="I43" s="4" t="s">
        <v>419</v>
      </c>
      <c r="J43" s="4">
        <v>1</v>
      </c>
      <c r="K43" s="4" t="s">
        <v>419</v>
      </c>
      <c r="L43" s="4" t="s">
        <v>419</v>
      </c>
      <c r="M43" s="4" t="s">
        <v>419</v>
      </c>
      <c r="N43" s="259" t="s">
        <v>432</v>
      </c>
    </row>
    <row r="44" spans="2:14">
      <c r="B44" s="255" t="s">
        <v>368</v>
      </c>
      <c r="C44" s="7" t="s">
        <v>147</v>
      </c>
      <c r="D44" s="4" t="s">
        <v>424</v>
      </c>
      <c r="E44" s="253" t="s">
        <v>368</v>
      </c>
      <c r="F44" s="262" t="s">
        <v>415</v>
      </c>
      <c r="G44" s="7">
        <v>3</v>
      </c>
      <c r="H44" s="4">
        <v>5</v>
      </c>
      <c r="I44" s="4" t="s">
        <v>419</v>
      </c>
      <c r="J44" s="4" t="s">
        <v>419</v>
      </c>
      <c r="K44" s="4" t="s">
        <v>419</v>
      </c>
      <c r="L44" s="4">
        <v>2</v>
      </c>
      <c r="M44" s="253">
        <v>5</v>
      </c>
      <c r="N44" s="259" t="s">
        <v>427</v>
      </c>
    </row>
    <row r="45" spans="2:14">
      <c r="B45" s="255" t="s">
        <v>369</v>
      </c>
      <c r="C45" s="7" t="s">
        <v>147</v>
      </c>
      <c r="D45" s="4" t="s">
        <v>424</v>
      </c>
      <c r="E45" s="253" t="s">
        <v>369</v>
      </c>
      <c r="F45" s="262" t="s">
        <v>415</v>
      </c>
      <c r="G45" s="7">
        <v>3</v>
      </c>
      <c r="H45" s="4">
        <v>5</v>
      </c>
      <c r="I45" s="4" t="s">
        <v>419</v>
      </c>
      <c r="J45" s="4" t="s">
        <v>419</v>
      </c>
      <c r="K45" s="4" t="s">
        <v>419</v>
      </c>
      <c r="L45" s="4">
        <v>2</v>
      </c>
      <c r="M45" s="253">
        <v>5</v>
      </c>
      <c r="N45" s="259" t="s">
        <v>427</v>
      </c>
    </row>
    <row r="46" spans="2:14">
      <c r="B46" s="255" t="s">
        <v>370</v>
      </c>
      <c r="C46" s="1" t="s">
        <v>417</v>
      </c>
      <c r="D46" s="84" t="s">
        <v>417</v>
      </c>
      <c r="E46" s="257" t="s">
        <v>418</v>
      </c>
      <c r="F46" s="262" t="s">
        <v>419</v>
      </c>
      <c r="G46" s="7" t="s">
        <v>419</v>
      </c>
      <c r="H46" s="4" t="s">
        <v>419</v>
      </c>
      <c r="I46" s="4" t="s">
        <v>419</v>
      </c>
      <c r="J46" s="4">
        <v>1</v>
      </c>
      <c r="K46" s="4" t="s">
        <v>419</v>
      </c>
      <c r="L46" s="4" t="s">
        <v>419</v>
      </c>
      <c r="M46" s="253" t="s">
        <v>419</v>
      </c>
      <c r="N46" s="259" t="s">
        <v>418</v>
      </c>
    </row>
    <row r="47" spans="2:14">
      <c r="B47" s="255" t="s">
        <v>367</v>
      </c>
      <c r="C47" s="7" t="s">
        <v>147</v>
      </c>
      <c r="D47" s="4" t="s">
        <v>424</v>
      </c>
      <c r="E47" s="253" t="s">
        <v>433</v>
      </c>
      <c r="F47" s="262" t="s">
        <v>415</v>
      </c>
      <c r="G47" s="7">
        <v>3</v>
      </c>
      <c r="H47" s="4">
        <v>5</v>
      </c>
      <c r="I47" s="4" t="s">
        <v>419</v>
      </c>
      <c r="J47" s="4" t="s">
        <v>419</v>
      </c>
      <c r="K47" s="4" t="s">
        <v>419</v>
      </c>
      <c r="L47" s="4">
        <v>2</v>
      </c>
      <c r="M47" s="253">
        <v>10</v>
      </c>
      <c r="N47" s="259" t="s">
        <v>434</v>
      </c>
    </row>
    <row r="48" spans="2:14">
      <c r="B48" s="255" t="s">
        <v>372</v>
      </c>
      <c r="C48" s="1" t="s">
        <v>417</v>
      </c>
      <c r="D48" s="84" t="s">
        <v>417</v>
      </c>
      <c r="E48" s="257" t="s">
        <v>418</v>
      </c>
      <c r="F48" s="262" t="s">
        <v>419</v>
      </c>
      <c r="G48" s="7" t="s">
        <v>419</v>
      </c>
      <c r="H48" s="4" t="s">
        <v>419</v>
      </c>
      <c r="I48" s="4" t="s">
        <v>419</v>
      </c>
      <c r="J48" s="4">
        <v>1</v>
      </c>
      <c r="K48" s="4" t="s">
        <v>419</v>
      </c>
      <c r="L48" s="4" t="s">
        <v>419</v>
      </c>
      <c r="M48" s="253" t="s">
        <v>419</v>
      </c>
      <c r="N48" s="259" t="s">
        <v>418</v>
      </c>
    </row>
    <row r="49" spans="2:14">
      <c r="B49" s="255" t="s">
        <v>373</v>
      </c>
      <c r="C49" s="7" t="s">
        <v>147</v>
      </c>
      <c r="D49" s="4" t="s">
        <v>424</v>
      </c>
      <c r="E49" s="253" t="s">
        <v>373</v>
      </c>
      <c r="F49" s="262" t="s">
        <v>415</v>
      </c>
      <c r="G49" s="7">
        <v>3</v>
      </c>
      <c r="H49" s="4">
        <v>5</v>
      </c>
      <c r="I49" s="4" t="s">
        <v>419</v>
      </c>
      <c r="J49" s="4" t="s">
        <v>419</v>
      </c>
      <c r="K49" s="4" t="s">
        <v>419</v>
      </c>
      <c r="L49" s="4">
        <v>1</v>
      </c>
      <c r="M49" s="253">
        <v>1</v>
      </c>
      <c r="N49" s="259" t="s">
        <v>427</v>
      </c>
    </row>
    <row r="50" spans="2:14">
      <c r="B50" s="255" t="s">
        <v>374</v>
      </c>
      <c r="C50" s="1" t="s">
        <v>417</v>
      </c>
      <c r="D50" s="84" t="s">
        <v>417</v>
      </c>
      <c r="E50" s="253" t="s">
        <v>358</v>
      </c>
      <c r="F50" s="262" t="s">
        <v>419</v>
      </c>
      <c r="G50" s="7" t="s">
        <v>419</v>
      </c>
      <c r="H50" s="4" t="s">
        <v>419</v>
      </c>
      <c r="I50" s="4" t="s">
        <v>419</v>
      </c>
      <c r="J50" s="4">
        <v>1</v>
      </c>
      <c r="K50" s="4" t="s">
        <v>419</v>
      </c>
      <c r="L50" s="4" t="s">
        <v>419</v>
      </c>
      <c r="M50" s="253" t="s">
        <v>419</v>
      </c>
      <c r="N50" s="259" t="s">
        <v>435</v>
      </c>
    </row>
    <row r="51" spans="2:14">
      <c r="B51" s="255" t="s">
        <v>125</v>
      </c>
      <c r="C51" s="7" t="s">
        <v>147</v>
      </c>
      <c r="D51" s="4" t="s">
        <v>424</v>
      </c>
      <c r="E51" s="255" t="s">
        <v>125</v>
      </c>
      <c r="F51" s="262" t="s">
        <v>415</v>
      </c>
      <c r="G51" s="7">
        <v>27</v>
      </c>
      <c r="H51" s="4" t="s">
        <v>436</v>
      </c>
      <c r="I51" s="4" t="s">
        <v>419</v>
      </c>
      <c r="J51" s="4" t="s">
        <v>419</v>
      </c>
      <c r="K51" s="4" t="s">
        <v>419</v>
      </c>
      <c r="L51" s="4">
        <v>16</v>
      </c>
      <c r="M51" s="253" t="s">
        <v>419</v>
      </c>
      <c r="N51" s="259" t="s">
        <v>418</v>
      </c>
    </row>
    <row r="52" spans="2:14">
      <c r="B52" s="255" t="s">
        <v>375</v>
      </c>
      <c r="C52" s="7" t="s">
        <v>147</v>
      </c>
      <c r="D52" s="4" t="s">
        <v>424</v>
      </c>
      <c r="E52" s="253" t="s">
        <v>375</v>
      </c>
      <c r="F52" s="262" t="s">
        <v>415</v>
      </c>
      <c r="G52" s="7">
        <v>3</v>
      </c>
      <c r="H52" s="4">
        <v>5</v>
      </c>
      <c r="I52" s="4" t="s">
        <v>419</v>
      </c>
      <c r="J52" s="4" t="s">
        <v>419</v>
      </c>
      <c r="K52" s="4" t="s">
        <v>419</v>
      </c>
      <c r="L52" s="4">
        <v>2</v>
      </c>
      <c r="M52" s="253">
        <v>5</v>
      </c>
      <c r="N52" s="259" t="s">
        <v>427</v>
      </c>
    </row>
    <row r="53" spans="2:14">
      <c r="B53" s="255" t="s">
        <v>376</v>
      </c>
      <c r="C53" s="7" t="s">
        <v>145</v>
      </c>
      <c r="D53" s="4" t="s">
        <v>145</v>
      </c>
      <c r="E53" s="257" t="s">
        <v>418</v>
      </c>
      <c r="F53" s="262" t="s">
        <v>419</v>
      </c>
      <c r="G53" s="7" t="s">
        <v>419</v>
      </c>
      <c r="H53" s="4" t="s">
        <v>419</v>
      </c>
      <c r="I53" s="4" t="s">
        <v>419</v>
      </c>
      <c r="J53" s="4" t="s">
        <v>419</v>
      </c>
      <c r="K53" s="4">
        <v>0</v>
      </c>
      <c r="L53" s="4" t="s">
        <v>419</v>
      </c>
      <c r="M53" s="253" t="s">
        <v>419</v>
      </c>
      <c r="N53" s="259" t="s">
        <v>418</v>
      </c>
    </row>
    <row r="54" spans="2:14">
      <c r="B54" s="255" t="s">
        <v>377</v>
      </c>
      <c r="C54" s="7" t="s">
        <v>147</v>
      </c>
      <c r="D54" s="4" t="s">
        <v>424</v>
      </c>
      <c r="E54" s="253" t="s">
        <v>377</v>
      </c>
      <c r="F54" s="262" t="s">
        <v>415</v>
      </c>
      <c r="G54" s="7">
        <v>3</v>
      </c>
      <c r="H54" s="4">
        <v>5</v>
      </c>
      <c r="I54" s="4" t="s">
        <v>419</v>
      </c>
      <c r="J54" s="4" t="s">
        <v>419</v>
      </c>
      <c r="K54" s="4" t="s">
        <v>419</v>
      </c>
      <c r="L54" s="4">
        <v>1</v>
      </c>
      <c r="M54" s="253">
        <v>1</v>
      </c>
      <c r="N54" s="259" t="s">
        <v>427</v>
      </c>
    </row>
    <row r="55" spans="2:14">
      <c r="B55" s="255" t="s">
        <v>378</v>
      </c>
      <c r="C55" s="1" t="s">
        <v>417</v>
      </c>
      <c r="D55" s="84" t="s">
        <v>417</v>
      </c>
      <c r="E55" s="257" t="s">
        <v>418</v>
      </c>
      <c r="F55" s="262" t="s">
        <v>419</v>
      </c>
      <c r="G55" s="7" t="s">
        <v>419</v>
      </c>
      <c r="H55" s="4" t="s">
        <v>419</v>
      </c>
      <c r="I55" s="4" t="s">
        <v>419</v>
      </c>
      <c r="J55" s="4">
        <v>1</v>
      </c>
      <c r="K55" s="4" t="s">
        <v>419</v>
      </c>
      <c r="L55" s="4">
        <v>2</v>
      </c>
      <c r="M55" s="253">
        <v>5</v>
      </c>
      <c r="N55" s="259" t="s">
        <v>427</v>
      </c>
    </row>
    <row r="56" spans="2:14">
      <c r="B56" s="255" t="s">
        <v>122</v>
      </c>
      <c r="C56" s="7" t="s">
        <v>147</v>
      </c>
      <c r="D56" s="4" t="s">
        <v>424</v>
      </c>
      <c r="E56" s="262" t="s">
        <v>122</v>
      </c>
      <c r="F56" s="262" t="s">
        <v>415</v>
      </c>
      <c r="G56" s="7">
        <v>3</v>
      </c>
      <c r="H56" s="4">
        <v>5</v>
      </c>
      <c r="I56" s="4" t="s">
        <v>419</v>
      </c>
      <c r="J56" s="4" t="s">
        <v>419</v>
      </c>
      <c r="K56" s="4" t="s">
        <v>419</v>
      </c>
      <c r="L56" s="4">
        <v>1</v>
      </c>
      <c r="M56" s="253">
        <v>1</v>
      </c>
      <c r="N56" s="259" t="s">
        <v>427</v>
      </c>
    </row>
    <row r="57" spans="2:14">
      <c r="B57" s="255" t="s">
        <v>379</v>
      </c>
      <c r="C57" s="7" t="s">
        <v>147</v>
      </c>
      <c r="D57" s="4" t="s">
        <v>424</v>
      </c>
      <c r="E57" s="253" t="s">
        <v>437</v>
      </c>
      <c r="F57" s="262" t="s">
        <v>415</v>
      </c>
      <c r="G57" s="7">
        <v>30</v>
      </c>
      <c r="H57" s="4" t="s">
        <v>436</v>
      </c>
      <c r="I57" s="4" t="s">
        <v>419</v>
      </c>
      <c r="J57" s="4" t="s">
        <v>419</v>
      </c>
      <c r="K57" s="4" t="s">
        <v>419</v>
      </c>
      <c r="L57" s="4" t="s">
        <v>436</v>
      </c>
      <c r="M57" s="253" t="s">
        <v>419</v>
      </c>
      <c r="N57" s="259" t="s">
        <v>438</v>
      </c>
    </row>
    <row r="58" spans="2:14">
      <c r="B58" s="255" t="s">
        <v>380</v>
      </c>
      <c r="C58" s="7" t="s">
        <v>147</v>
      </c>
      <c r="D58" s="4" t="s">
        <v>424</v>
      </c>
      <c r="E58" s="253" t="s">
        <v>380</v>
      </c>
      <c r="F58" s="262" t="s">
        <v>415</v>
      </c>
      <c r="G58" s="7" t="s">
        <v>436</v>
      </c>
      <c r="H58" s="4" t="s">
        <v>436</v>
      </c>
      <c r="I58" s="4" t="s">
        <v>419</v>
      </c>
      <c r="J58" s="4" t="s">
        <v>419</v>
      </c>
      <c r="K58" s="4" t="s">
        <v>419</v>
      </c>
      <c r="L58" s="4">
        <v>15</v>
      </c>
      <c r="M58" s="253" t="s">
        <v>436</v>
      </c>
      <c r="N58" s="259" t="s">
        <v>427</v>
      </c>
    </row>
    <row r="59" spans="2:14">
      <c r="B59" s="255" t="s">
        <v>381</v>
      </c>
      <c r="C59" s="7" t="s">
        <v>147</v>
      </c>
      <c r="D59" s="4" t="s">
        <v>424</v>
      </c>
      <c r="E59" s="253" t="s">
        <v>381</v>
      </c>
      <c r="F59" s="262" t="s">
        <v>415</v>
      </c>
      <c r="G59" s="7">
        <v>15</v>
      </c>
      <c r="H59" s="4" t="s">
        <v>436</v>
      </c>
      <c r="I59" s="4" t="s">
        <v>419</v>
      </c>
      <c r="J59" s="4" t="s">
        <v>419</v>
      </c>
      <c r="K59" s="4" t="s">
        <v>419</v>
      </c>
      <c r="L59" s="4">
        <v>10</v>
      </c>
      <c r="M59" s="253">
        <v>25</v>
      </c>
      <c r="N59" s="259" t="s">
        <v>427</v>
      </c>
    </row>
    <row r="60" spans="2:14">
      <c r="B60" s="255" t="s">
        <v>382</v>
      </c>
      <c r="C60" s="7" t="s">
        <v>147</v>
      </c>
      <c r="D60" s="4" t="s">
        <v>424</v>
      </c>
      <c r="E60" s="253" t="s">
        <v>382</v>
      </c>
      <c r="F60" s="262" t="s">
        <v>415</v>
      </c>
      <c r="G60" s="7">
        <v>30</v>
      </c>
      <c r="H60" s="4" t="s">
        <v>436</v>
      </c>
      <c r="I60" s="4" t="s">
        <v>419</v>
      </c>
      <c r="J60" s="4" t="s">
        <v>419</v>
      </c>
      <c r="K60" s="4" t="s">
        <v>419</v>
      </c>
      <c r="L60" s="4">
        <v>10</v>
      </c>
      <c r="M60" s="253">
        <v>25</v>
      </c>
      <c r="N60" s="259" t="s">
        <v>427</v>
      </c>
    </row>
    <row r="61" spans="2:14">
      <c r="B61" s="255" t="s">
        <v>383</v>
      </c>
      <c r="C61" s="7" t="s">
        <v>147</v>
      </c>
      <c r="D61" s="4" t="s">
        <v>424</v>
      </c>
      <c r="E61" s="253" t="s">
        <v>383</v>
      </c>
      <c r="F61" s="262" t="s">
        <v>415</v>
      </c>
      <c r="G61" s="7">
        <v>1</v>
      </c>
      <c r="H61" s="4">
        <v>3</v>
      </c>
      <c r="I61" s="4" t="s">
        <v>419</v>
      </c>
      <c r="J61" s="4" t="s">
        <v>419</v>
      </c>
      <c r="K61" s="4" t="s">
        <v>419</v>
      </c>
      <c r="L61" s="4">
        <v>2</v>
      </c>
      <c r="M61" s="253" t="s">
        <v>419</v>
      </c>
      <c r="N61" s="259" t="s">
        <v>427</v>
      </c>
    </row>
    <row r="62" spans="2:14">
      <c r="B62" s="255" t="s">
        <v>384</v>
      </c>
      <c r="C62" s="7" t="s">
        <v>147</v>
      </c>
      <c r="D62" s="4" t="s">
        <v>424</v>
      </c>
      <c r="E62" s="253" t="s">
        <v>384</v>
      </c>
      <c r="F62" s="262" t="s">
        <v>415</v>
      </c>
      <c r="G62" s="7">
        <v>7</v>
      </c>
      <c r="H62" s="4">
        <v>15</v>
      </c>
      <c r="I62" s="4" t="s">
        <v>419</v>
      </c>
      <c r="J62" s="4" t="s">
        <v>419</v>
      </c>
      <c r="K62" s="4" t="s">
        <v>419</v>
      </c>
      <c r="L62" s="4">
        <v>14</v>
      </c>
      <c r="M62" s="253" t="s">
        <v>419</v>
      </c>
      <c r="N62" s="259" t="s">
        <v>427</v>
      </c>
    </row>
    <row r="63" spans="2:14">
      <c r="B63" s="255" t="s">
        <v>385</v>
      </c>
      <c r="C63" s="7" t="s">
        <v>147</v>
      </c>
      <c r="D63" s="4" t="s">
        <v>424</v>
      </c>
      <c r="E63" s="253" t="s">
        <v>385</v>
      </c>
      <c r="F63" s="262" t="s">
        <v>415</v>
      </c>
      <c r="G63" s="7">
        <v>1</v>
      </c>
      <c r="H63" s="4">
        <v>3</v>
      </c>
      <c r="I63" s="4" t="s">
        <v>419</v>
      </c>
      <c r="J63" s="4" t="s">
        <v>419</v>
      </c>
      <c r="K63" s="4" t="s">
        <v>419</v>
      </c>
      <c r="L63" s="4">
        <v>2</v>
      </c>
      <c r="M63" s="253" t="s">
        <v>419</v>
      </c>
      <c r="N63" s="259" t="s">
        <v>427</v>
      </c>
    </row>
    <row r="64" spans="2:14">
      <c r="B64" s="255" t="s">
        <v>386</v>
      </c>
      <c r="C64" s="7" t="s">
        <v>147</v>
      </c>
      <c r="D64" s="4" t="s">
        <v>424</v>
      </c>
      <c r="E64" s="253" t="s">
        <v>386</v>
      </c>
      <c r="F64" s="262" t="s">
        <v>415</v>
      </c>
      <c r="G64" s="7">
        <v>3</v>
      </c>
      <c r="H64" s="4">
        <v>6</v>
      </c>
      <c r="I64" s="4" t="s">
        <v>419</v>
      </c>
      <c r="J64" s="4" t="s">
        <v>419</v>
      </c>
      <c r="K64" s="4" t="s">
        <v>419</v>
      </c>
      <c r="L64" s="4">
        <v>4</v>
      </c>
      <c r="M64" s="253" t="s">
        <v>419</v>
      </c>
      <c r="N64" s="259" t="s">
        <v>427</v>
      </c>
    </row>
    <row r="65" spans="2:14">
      <c r="B65" s="255" t="s">
        <v>387</v>
      </c>
      <c r="C65" s="7" t="s">
        <v>147</v>
      </c>
      <c r="D65" s="4" t="s">
        <v>424</v>
      </c>
      <c r="E65" s="253" t="s">
        <v>387</v>
      </c>
      <c r="F65" s="262" t="s">
        <v>415</v>
      </c>
      <c r="G65" s="7">
        <v>1</v>
      </c>
      <c r="H65" s="4">
        <v>4</v>
      </c>
      <c r="I65" s="4" t="s">
        <v>419</v>
      </c>
      <c r="J65" s="4" t="s">
        <v>419</v>
      </c>
      <c r="K65" s="4" t="s">
        <v>419</v>
      </c>
      <c r="L65" s="4">
        <v>3</v>
      </c>
      <c r="M65" s="253" t="s">
        <v>419</v>
      </c>
      <c r="N65" s="259" t="s">
        <v>427</v>
      </c>
    </row>
    <row r="66" spans="2:14">
      <c r="B66" s="255" t="s">
        <v>388</v>
      </c>
      <c r="C66" s="7" t="s">
        <v>147</v>
      </c>
      <c r="D66" s="4" t="s">
        <v>424</v>
      </c>
      <c r="E66" s="253" t="s">
        <v>388</v>
      </c>
      <c r="F66" s="262" t="s">
        <v>415</v>
      </c>
      <c r="G66" s="7">
        <v>3</v>
      </c>
      <c r="H66" s="4">
        <v>5</v>
      </c>
      <c r="I66" s="4" t="s">
        <v>419</v>
      </c>
      <c r="J66" s="4" t="s">
        <v>419</v>
      </c>
      <c r="K66" s="4" t="s">
        <v>419</v>
      </c>
      <c r="L66" s="4">
        <v>4</v>
      </c>
      <c r="M66" s="253" t="s">
        <v>419</v>
      </c>
      <c r="N66" s="259" t="s">
        <v>427</v>
      </c>
    </row>
    <row r="67" spans="2:14">
      <c r="B67" s="255" t="s">
        <v>389</v>
      </c>
      <c r="C67" s="7" t="s">
        <v>147</v>
      </c>
      <c r="D67" s="4" t="s">
        <v>424</v>
      </c>
      <c r="E67" s="253" t="s">
        <v>389</v>
      </c>
      <c r="F67" s="262" t="s">
        <v>415</v>
      </c>
      <c r="G67" s="7">
        <v>3</v>
      </c>
      <c r="H67" s="4">
        <v>5</v>
      </c>
      <c r="I67" s="4" t="s">
        <v>419</v>
      </c>
      <c r="J67" s="4" t="s">
        <v>419</v>
      </c>
      <c r="K67" s="4" t="s">
        <v>419</v>
      </c>
      <c r="L67" s="4">
        <v>2</v>
      </c>
      <c r="M67" s="253" t="s">
        <v>419</v>
      </c>
      <c r="N67" s="259" t="s">
        <v>427</v>
      </c>
    </row>
    <row r="68" spans="2:14">
      <c r="B68" s="255" t="s">
        <v>390</v>
      </c>
      <c r="C68" s="7" t="s">
        <v>147</v>
      </c>
      <c r="D68" s="4" t="s">
        <v>424</v>
      </c>
      <c r="E68" s="253" t="s">
        <v>390</v>
      </c>
      <c r="F68" s="262" t="s">
        <v>415</v>
      </c>
      <c r="G68" s="7">
        <v>10</v>
      </c>
      <c r="H68" s="4">
        <v>20</v>
      </c>
      <c r="I68" s="4" t="s">
        <v>419</v>
      </c>
      <c r="J68" s="4" t="s">
        <v>419</v>
      </c>
      <c r="K68" s="4" t="s">
        <v>419</v>
      </c>
      <c r="L68" s="4">
        <v>20</v>
      </c>
      <c r="M68" s="253" t="s">
        <v>419</v>
      </c>
      <c r="N68" s="259" t="s">
        <v>427</v>
      </c>
    </row>
    <row r="69" spans="2:14">
      <c r="B69" s="255" t="s">
        <v>391</v>
      </c>
      <c r="C69" s="7" t="s">
        <v>147</v>
      </c>
      <c r="D69" s="4" t="s">
        <v>424</v>
      </c>
      <c r="E69" s="253" t="s">
        <v>391</v>
      </c>
      <c r="F69" s="262" t="s">
        <v>415</v>
      </c>
      <c r="G69" s="7">
        <v>5</v>
      </c>
      <c r="H69" s="4">
        <v>15</v>
      </c>
      <c r="I69" s="4" t="s">
        <v>419</v>
      </c>
      <c r="J69" s="4" t="s">
        <v>419</v>
      </c>
      <c r="K69" s="4" t="s">
        <v>419</v>
      </c>
      <c r="L69" s="4">
        <v>6</v>
      </c>
      <c r="M69" s="253" t="s">
        <v>419</v>
      </c>
      <c r="N69" s="259" t="s">
        <v>427</v>
      </c>
    </row>
    <row r="70" spans="2:14">
      <c r="B70" s="255" t="s">
        <v>392</v>
      </c>
      <c r="C70" s="7" t="s">
        <v>147</v>
      </c>
      <c r="D70" s="4" t="s">
        <v>424</v>
      </c>
      <c r="E70" s="253" t="s">
        <v>392</v>
      </c>
      <c r="F70" s="262" t="s">
        <v>415</v>
      </c>
      <c r="G70" s="7">
        <v>1</v>
      </c>
      <c r="H70" s="4">
        <v>4</v>
      </c>
      <c r="I70" s="4" t="s">
        <v>419</v>
      </c>
      <c r="J70" s="4" t="s">
        <v>419</v>
      </c>
      <c r="K70" s="4" t="s">
        <v>419</v>
      </c>
      <c r="L70" s="4">
        <v>3</v>
      </c>
      <c r="M70" s="253" t="s">
        <v>419</v>
      </c>
      <c r="N70" s="259" t="s">
        <v>427</v>
      </c>
    </row>
    <row r="71" spans="2:14">
      <c r="B71" s="255" t="s">
        <v>393</v>
      </c>
      <c r="C71" s="7" t="s">
        <v>147</v>
      </c>
      <c r="D71" s="4" t="s">
        <v>424</v>
      </c>
      <c r="E71" s="253" t="s">
        <v>439</v>
      </c>
      <c r="F71" s="262" t="s">
        <v>415</v>
      </c>
      <c r="G71" s="7">
        <v>5</v>
      </c>
      <c r="H71" s="4">
        <v>15</v>
      </c>
      <c r="I71" s="4" t="s">
        <v>419</v>
      </c>
      <c r="J71" s="4" t="s">
        <v>419</v>
      </c>
      <c r="K71" s="4" t="s">
        <v>419</v>
      </c>
      <c r="L71" s="4">
        <v>8</v>
      </c>
      <c r="M71" s="253" t="s">
        <v>419</v>
      </c>
      <c r="N71" s="259" t="s">
        <v>440</v>
      </c>
    </row>
    <row r="72" spans="2:14">
      <c r="B72" s="255" t="s">
        <v>394</v>
      </c>
      <c r="C72" s="7" t="s">
        <v>147</v>
      </c>
      <c r="D72" s="4" t="s">
        <v>424</v>
      </c>
      <c r="E72" s="253" t="s">
        <v>441</v>
      </c>
      <c r="F72" s="262" t="s">
        <v>415</v>
      </c>
      <c r="G72" s="7">
        <v>4</v>
      </c>
      <c r="H72" s="4">
        <v>13</v>
      </c>
      <c r="I72" s="4" t="s">
        <v>419</v>
      </c>
      <c r="J72" s="4" t="s">
        <v>419</v>
      </c>
      <c r="K72" s="4" t="s">
        <v>419</v>
      </c>
      <c r="L72" s="4">
        <v>7</v>
      </c>
      <c r="M72" s="253" t="s">
        <v>419</v>
      </c>
      <c r="N72" s="259" t="s">
        <v>440</v>
      </c>
    </row>
    <row r="73" spans="2:14">
      <c r="B73" s="255" t="s">
        <v>395</v>
      </c>
      <c r="C73" s="7" t="s">
        <v>147</v>
      </c>
      <c r="D73" s="4" t="s">
        <v>424</v>
      </c>
      <c r="E73" s="253" t="s">
        <v>395</v>
      </c>
      <c r="F73" s="262" t="s">
        <v>415</v>
      </c>
      <c r="G73" s="7">
        <v>4</v>
      </c>
      <c r="H73" s="4">
        <v>13</v>
      </c>
      <c r="I73" s="4" t="s">
        <v>419</v>
      </c>
      <c r="J73" s="4" t="s">
        <v>419</v>
      </c>
      <c r="K73" s="4" t="s">
        <v>419</v>
      </c>
      <c r="L73" s="4">
        <v>7</v>
      </c>
      <c r="M73" s="253">
        <v>13</v>
      </c>
      <c r="N73" s="259" t="s">
        <v>427</v>
      </c>
    </row>
    <row r="74" spans="2:14">
      <c r="B74" s="255" t="s">
        <v>264</v>
      </c>
      <c r="C74" s="7" t="s">
        <v>147</v>
      </c>
      <c r="D74" s="4" t="s">
        <v>424</v>
      </c>
      <c r="E74" s="253" t="s">
        <v>264</v>
      </c>
      <c r="F74" s="262" t="s">
        <v>415</v>
      </c>
      <c r="G74" s="7">
        <v>5</v>
      </c>
      <c r="H74" s="4">
        <v>12</v>
      </c>
      <c r="I74" s="4" t="s">
        <v>419</v>
      </c>
      <c r="J74" s="4" t="s">
        <v>419</v>
      </c>
      <c r="K74" s="4" t="s">
        <v>419</v>
      </c>
      <c r="L74" s="4">
        <v>2</v>
      </c>
      <c r="M74" s="257">
        <v>5</v>
      </c>
      <c r="N74" s="259" t="s">
        <v>427</v>
      </c>
    </row>
    <row r="75" spans="2:14">
      <c r="B75" s="255" t="s">
        <v>265</v>
      </c>
      <c r="C75" s="7" t="s">
        <v>147</v>
      </c>
      <c r="D75" s="4" t="s">
        <v>424</v>
      </c>
      <c r="E75" s="253" t="s">
        <v>265</v>
      </c>
      <c r="F75" s="262" t="s">
        <v>415</v>
      </c>
      <c r="G75" s="7">
        <v>5</v>
      </c>
      <c r="H75" s="4">
        <v>12</v>
      </c>
      <c r="I75" s="4" t="s">
        <v>419</v>
      </c>
      <c r="J75" s="4" t="s">
        <v>419</v>
      </c>
      <c r="K75" s="4" t="s">
        <v>419</v>
      </c>
      <c r="L75" s="4">
        <v>2</v>
      </c>
      <c r="M75" s="257">
        <v>6</v>
      </c>
      <c r="N75" s="259" t="s">
        <v>427</v>
      </c>
    </row>
    <row r="76" spans="2:14">
      <c r="B76" s="255" t="s">
        <v>266</v>
      </c>
      <c r="C76" s="7" t="s">
        <v>147</v>
      </c>
      <c r="D76" s="4" t="s">
        <v>424</v>
      </c>
      <c r="E76" s="253" t="s">
        <v>266</v>
      </c>
      <c r="F76" s="262" t="s">
        <v>415</v>
      </c>
      <c r="G76" s="7">
        <v>10</v>
      </c>
      <c r="H76" s="4">
        <v>20</v>
      </c>
      <c r="I76" s="4" t="s">
        <v>419</v>
      </c>
      <c r="J76" s="4" t="s">
        <v>419</v>
      </c>
      <c r="K76" s="4" t="s">
        <v>419</v>
      </c>
      <c r="L76" s="4">
        <v>4</v>
      </c>
      <c r="M76" s="257">
        <v>12</v>
      </c>
      <c r="N76" s="259" t="s">
        <v>427</v>
      </c>
    </row>
    <row r="77" spans="2:14">
      <c r="B77" s="255" t="s">
        <v>270</v>
      </c>
      <c r="C77" s="7" t="s">
        <v>147</v>
      </c>
      <c r="D77" s="4" t="s">
        <v>424</v>
      </c>
      <c r="E77" s="253" t="s">
        <v>442</v>
      </c>
      <c r="F77" s="262" t="s">
        <v>415</v>
      </c>
      <c r="G77" s="7">
        <v>5</v>
      </c>
      <c r="H77" s="4">
        <v>12</v>
      </c>
      <c r="I77" s="4" t="s">
        <v>419</v>
      </c>
      <c r="J77" s="4" t="s">
        <v>419</v>
      </c>
      <c r="K77" s="4" t="s">
        <v>419</v>
      </c>
      <c r="L77" s="4">
        <v>2</v>
      </c>
      <c r="M77" s="257" t="s">
        <v>419</v>
      </c>
      <c r="N77" s="259" t="s">
        <v>443</v>
      </c>
    </row>
    <row r="78" spans="2:14">
      <c r="B78" s="255" t="s">
        <v>274</v>
      </c>
      <c r="C78" s="1" t="s">
        <v>416</v>
      </c>
      <c r="D78" s="84" t="s">
        <v>416</v>
      </c>
      <c r="E78" s="257" t="s">
        <v>418</v>
      </c>
      <c r="F78" s="262" t="s">
        <v>419</v>
      </c>
      <c r="G78" s="7" t="s">
        <v>419</v>
      </c>
      <c r="H78" s="4" t="s">
        <v>419</v>
      </c>
      <c r="I78" s="4">
        <v>1</v>
      </c>
      <c r="J78" s="4" t="s">
        <v>419</v>
      </c>
      <c r="K78" s="4" t="s">
        <v>419</v>
      </c>
      <c r="L78" s="4" t="s">
        <v>419</v>
      </c>
      <c r="M78" s="257" t="s">
        <v>419</v>
      </c>
      <c r="N78" s="259" t="s">
        <v>418</v>
      </c>
    </row>
    <row r="79" spans="2:14" ht="28.9" customHeight="1">
      <c r="B79" s="255" t="s">
        <v>271</v>
      </c>
      <c r="C79" s="7" t="s">
        <v>147</v>
      </c>
      <c r="D79" s="4" t="s">
        <v>424</v>
      </c>
      <c r="E79" s="257" t="s">
        <v>444</v>
      </c>
      <c r="F79" s="262" t="s">
        <v>415</v>
      </c>
      <c r="G79" s="7">
        <v>20</v>
      </c>
      <c r="H79" s="4" t="s">
        <v>436</v>
      </c>
      <c r="I79" s="4" t="s">
        <v>419</v>
      </c>
      <c r="J79" s="4" t="s">
        <v>419</v>
      </c>
      <c r="K79" s="4" t="s">
        <v>445</v>
      </c>
      <c r="L79" s="4">
        <v>10</v>
      </c>
      <c r="M79" s="257" t="s">
        <v>445</v>
      </c>
      <c r="N79" s="259" t="s">
        <v>446</v>
      </c>
    </row>
    <row r="80" spans="2:14">
      <c r="B80" s="255" t="s">
        <v>267</v>
      </c>
      <c r="C80" s="7" t="s">
        <v>147</v>
      </c>
      <c r="D80" s="4" t="s">
        <v>424</v>
      </c>
      <c r="E80" s="253" t="s">
        <v>447</v>
      </c>
      <c r="F80" s="262" t="s">
        <v>415</v>
      </c>
      <c r="G80" s="7">
        <v>20</v>
      </c>
      <c r="H80" s="4" t="s">
        <v>436</v>
      </c>
      <c r="I80" s="4" t="s">
        <v>419</v>
      </c>
      <c r="J80" s="4" t="s">
        <v>419</v>
      </c>
      <c r="K80" s="4" t="s">
        <v>419</v>
      </c>
      <c r="L80" s="4">
        <v>10</v>
      </c>
      <c r="M80" s="257" t="s">
        <v>419</v>
      </c>
      <c r="N80" s="259" t="s">
        <v>448</v>
      </c>
    </row>
    <row r="81" spans="2:14" ht="28.9" customHeight="1">
      <c r="B81" s="255" t="s">
        <v>272</v>
      </c>
      <c r="C81" s="7" t="s">
        <v>147</v>
      </c>
      <c r="D81" s="4" t="s">
        <v>424</v>
      </c>
      <c r="E81" s="257" t="s">
        <v>449</v>
      </c>
      <c r="F81" s="262" t="s">
        <v>415</v>
      </c>
      <c r="G81" s="7">
        <v>20</v>
      </c>
      <c r="H81" s="4" t="s">
        <v>436</v>
      </c>
      <c r="I81" s="4" t="s">
        <v>419</v>
      </c>
      <c r="J81" s="4" t="s">
        <v>419</v>
      </c>
      <c r="K81" s="4" t="s">
        <v>419</v>
      </c>
      <c r="L81" s="4">
        <v>10</v>
      </c>
      <c r="M81" s="257">
        <v>10</v>
      </c>
      <c r="N81" s="259" t="s">
        <v>446</v>
      </c>
    </row>
    <row r="82" spans="2:14">
      <c r="B82" s="255" t="s">
        <v>268</v>
      </c>
      <c r="C82" s="7" t="s">
        <v>147</v>
      </c>
      <c r="D82" s="4" t="s">
        <v>424</v>
      </c>
      <c r="E82" s="253" t="s">
        <v>450</v>
      </c>
      <c r="F82" s="262" t="s">
        <v>415</v>
      </c>
      <c r="G82" s="7">
        <v>20</v>
      </c>
      <c r="H82" s="4" t="s">
        <v>436</v>
      </c>
      <c r="I82" s="4" t="s">
        <v>419</v>
      </c>
      <c r="J82" s="4" t="s">
        <v>419</v>
      </c>
      <c r="K82" s="4" t="s">
        <v>419</v>
      </c>
      <c r="L82" s="4">
        <v>10</v>
      </c>
      <c r="M82" s="257">
        <v>10</v>
      </c>
      <c r="N82" s="259" t="s">
        <v>427</v>
      </c>
    </row>
    <row r="83" spans="2:14">
      <c r="B83" s="255" t="s">
        <v>291</v>
      </c>
      <c r="C83" s="7" t="s">
        <v>147</v>
      </c>
      <c r="D83" s="4" t="s">
        <v>424</v>
      </c>
      <c r="E83" s="253" t="s">
        <v>291</v>
      </c>
      <c r="F83" s="262" t="s">
        <v>415</v>
      </c>
      <c r="G83" s="7">
        <v>5</v>
      </c>
      <c r="H83" s="4">
        <v>10</v>
      </c>
      <c r="I83" s="4" t="s">
        <v>419</v>
      </c>
      <c r="J83" s="4" t="s">
        <v>419</v>
      </c>
      <c r="K83" s="4" t="s">
        <v>419</v>
      </c>
      <c r="L83" s="4">
        <v>4</v>
      </c>
      <c r="M83" s="257">
        <v>10</v>
      </c>
      <c r="N83" s="259" t="s">
        <v>427</v>
      </c>
    </row>
    <row r="84" spans="2:14">
      <c r="B84" s="255" t="s">
        <v>290</v>
      </c>
      <c r="C84" s="7" t="s">
        <v>147</v>
      </c>
      <c r="D84" s="4" t="s">
        <v>424</v>
      </c>
      <c r="E84" s="253" t="s">
        <v>290</v>
      </c>
      <c r="F84" s="262" t="s">
        <v>415</v>
      </c>
      <c r="G84" s="7">
        <v>5</v>
      </c>
      <c r="H84" s="4">
        <v>10</v>
      </c>
      <c r="I84" s="4" t="s">
        <v>419</v>
      </c>
      <c r="J84" s="4" t="s">
        <v>419</v>
      </c>
      <c r="K84" s="4" t="s">
        <v>419</v>
      </c>
      <c r="L84" s="4">
        <v>4</v>
      </c>
      <c r="M84" s="257">
        <v>10</v>
      </c>
      <c r="N84" s="259" t="s">
        <v>427</v>
      </c>
    </row>
    <row r="85" spans="2:14">
      <c r="B85" s="255" t="s">
        <v>292</v>
      </c>
      <c r="C85" s="1" t="s">
        <v>416</v>
      </c>
      <c r="D85" s="84" t="s">
        <v>416</v>
      </c>
      <c r="E85" s="257" t="s">
        <v>451</v>
      </c>
      <c r="F85" s="262" t="s">
        <v>419</v>
      </c>
      <c r="G85" s="7" t="s">
        <v>419</v>
      </c>
      <c r="H85" s="4" t="s">
        <v>419</v>
      </c>
      <c r="I85" s="4">
        <v>1</v>
      </c>
      <c r="J85" s="4" t="s">
        <v>419</v>
      </c>
      <c r="K85" s="4" t="s">
        <v>419</v>
      </c>
      <c r="L85" s="4" t="s">
        <v>419</v>
      </c>
      <c r="M85" s="257" t="s">
        <v>419</v>
      </c>
      <c r="N85" s="259" t="s">
        <v>452</v>
      </c>
    </row>
    <row r="86" spans="2:14">
      <c r="B86" s="255"/>
      <c r="C86" s="7"/>
      <c r="D86" s="4"/>
      <c r="E86" s="253"/>
      <c r="F86" s="262"/>
      <c r="G86" s="7"/>
      <c r="H86" s="4"/>
      <c r="I86" s="4"/>
      <c r="J86" s="4"/>
      <c r="K86" s="4"/>
      <c r="L86" s="4"/>
      <c r="M86" s="253"/>
      <c r="N86" s="255"/>
    </row>
    <row r="87" spans="2:14">
      <c r="B87" s="255"/>
      <c r="C87" s="7"/>
      <c r="D87" s="4"/>
      <c r="E87" s="253"/>
      <c r="F87" s="262"/>
      <c r="G87" s="7"/>
      <c r="H87" s="4"/>
      <c r="I87" s="4"/>
      <c r="J87" s="4"/>
      <c r="K87" s="4"/>
      <c r="L87" s="4"/>
      <c r="M87" s="253"/>
      <c r="N87" s="255"/>
    </row>
    <row r="88" spans="2:14">
      <c r="B88" s="255"/>
      <c r="C88" s="7"/>
      <c r="D88" s="4"/>
      <c r="E88" s="253"/>
      <c r="F88" s="262"/>
      <c r="G88" s="7"/>
      <c r="H88" s="4"/>
      <c r="I88" s="4"/>
      <c r="J88" s="4"/>
      <c r="K88" s="4"/>
      <c r="L88" s="4"/>
      <c r="M88" s="253"/>
      <c r="N88" s="255"/>
    </row>
    <row r="89" spans="2:14">
      <c r="B89" s="255"/>
      <c r="C89" s="7"/>
      <c r="D89" s="4"/>
      <c r="E89" s="253"/>
      <c r="F89" s="262"/>
      <c r="G89" s="7"/>
      <c r="H89" s="4"/>
      <c r="I89" s="4"/>
      <c r="J89" s="4"/>
      <c r="K89" s="4"/>
      <c r="L89" s="4"/>
      <c r="M89" s="253"/>
      <c r="N89" s="255"/>
    </row>
    <row r="90" spans="2:14">
      <c r="B90" s="255"/>
      <c r="C90" s="7"/>
      <c r="D90" s="4"/>
      <c r="E90" s="253"/>
      <c r="F90" s="262"/>
      <c r="G90" s="7"/>
      <c r="H90" s="4"/>
      <c r="I90" s="4"/>
      <c r="J90" s="4"/>
      <c r="K90" s="4"/>
      <c r="L90" s="4"/>
      <c r="M90" s="253"/>
      <c r="N90" s="255"/>
    </row>
    <row r="91" spans="2:14">
      <c r="B91" s="255"/>
      <c r="C91" s="7"/>
      <c r="D91" s="4"/>
      <c r="E91" s="253"/>
      <c r="F91" s="262"/>
      <c r="G91" s="7"/>
      <c r="H91" s="4"/>
      <c r="I91" s="4"/>
      <c r="J91" s="4"/>
      <c r="K91" s="4"/>
      <c r="L91" s="4"/>
      <c r="M91" s="253"/>
      <c r="N91" s="255"/>
    </row>
    <row r="92" spans="2:14">
      <c r="B92" s="255"/>
      <c r="C92" s="7"/>
      <c r="D92" s="4"/>
      <c r="E92" s="253"/>
      <c r="F92" s="262"/>
      <c r="G92" s="7"/>
      <c r="H92" s="4"/>
      <c r="I92" s="4"/>
      <c r="J92" s="4"/>
      <c r="K92" s="4"/>
      <c r="L92" s="4"/>
      <c r="M92" s="253"/>
      <c r="N92" s="255"/>
    </row>
    <row r="93" spans="2:14">
      <c r="B93" s="255"/>
      <c r="C93" s="7"/>
      <c r="D93" s="4"/>
      <c r="E93" s="253"/>
      <c r="F93" s="262"/>
      <c r="G93" s="7"/>
      <c r="H93" s="4"/>
      <c r="I93" s="4"/>
      <c r="J93" s="4"/>
      <c r="K93" s="4"/>
      <c r="L93" s="4"/>
      <c r="M93" s="253"/>
      <c r="N93" s="255"/>
    </row>
    <row r="94" spans="2:14">
      <c r="B94" s="255"/>
      <c r="C94" s="7"/>
      <c r="D94" s="4"/>
      <c r="E94" s="253"/>
      <c r="F94" s="262"/>
      <c r="G94" s="7"/>
      <c r="H94" s="4"/>
      <c r="I94" s="4"/>
      <c r="J94" s="4"/>
      <c r="K94" s="4"/>
      <c r="L94" s="4"/>
      <c r="M94" s="253"/>
      <c r="N94" s="255"/>
    </row>
    <row r="95" spans="2:14">
      <c r="B95" s="255"/>
      <c r="C95" s="7"/>
      <c r="D95" s="4"/>
      <c r="E95" s="253"/>
      <c r="F95" s="262"/>
      <c r="G95" s="7"/>
      <c r="H95" s="4"/>
      <c r="I95" s="4"/>
      <c r="J95" s="4"/>
      <c r="K95" s="4"/>
      <c r="L95" s="4"/>
      <c r="M95" s="253"/>
      <c r="N95" s="255"/>
    </row>
    <row r="96" spans="2:14">
      <c r="B96" s="255"/>
      <c r="C96" s="7"/>
      <c r="D96" s="4"/>
      <c r="E96" s="253"/>
      <c r="F96" s="262"/>
      <c r="G96" s="7"/>
      <c r="H96" s="4"/>
      <c r="I96" s="4"/>
      <c r="J96" s="4"/>
      <c r="K96" s="4"/>
      <c r="L96" s="4"/>
      <c r="M96" s="253"/>
      <c r="N96" s="255"/>
    </row>
    <row r="97" spans="2:14">
      <c r="B97" s="255"/>
      <c r="C97" s="7"/>
      <c r="D97" s="4"/>
      <c r="E97" s="253"/>
      <c r="F97" s="262"/>
      <c r="G97" s="7"/>
      <c r="H97" s="4"/>
      <c r="I97" s="4"/>
      <c r="J97" s="4"/>
      <c r="K97" s="4"/>
      <c r="L97" s="4"/>
      <c r="M97" s="253"/>
      <c r="N97" s="255"/>
    </row>
    <row r="98" spans="2:14">
      <c r="B98" s="255"/>
      <c r="C98" s="7"/>
      <c r="D98" s="4"/>
      <c r="E98" s="253"/>
      <c r="F98" s="262"/>
      <c r="G98" s="7"/>
      <c r="H98" s="4"/>
      <c r="I98" s="4"/>
      <c r="J98" s="4"/>
      <c r="K98" s="4"/>
      <c r="L98" s="4"/>
      <c r="M98" s="253"/>
      <c r="N98" s="255"/>
    </row>
    <row r="99" spans="2:14">
      <c r="B99" s="255"/>
      <c r="C99" s="7"/>
      <c r="D99" s="4"/>
      <c r="E99" s="253"/>
      <c r="F99" s="262"/>
      <c r="G99" s="7"/>
      <c r="H99" s="4"/>
      <c r="I99" s="4"/>
      <c r="J99" s="4"/>
      <c r="K99" s="4"/>
      <c r="L99" s="4"/>
      <c r="M99" s="253"/>
      <c r="N99" s="255"/>
    </row>
    <row r="100" spans="2:14">
      <c r="B100" s="255"/>
      <c r="C100" s="7"/>
      <c r="D100" s="4"/>
      <c r="E100" s="253"/>
      <c r="F100" s="262"/>
      <c r="G100" s="7"/>
      <c r="H100" s="4"/>
      <c r="I100" s="4"/>
      <c r="J100" s="4"/>
      <c r="K100" s="4"/>
      <c r="L100" s="4"/>
      <c r="M100" s="253"/>
      <c r="N100" s="255"/>
    </row>
    <row r="101" spans="2:14">
      <c r="B101" s="255"/>
      <c r="C101" s="7"/>
      <c r="D101" s="4"/>
      <c r="E101" s="253"/>
      <c r="F101" s="262"/>
      <c r="G101" s="7"/>
      <c r="H101" s="4"/>
      <c r="I101" s="4"/>
      <c r="J101" s="4"/>
      <c r="K101" s="4"/>
      <c r="L101" s="4"/>
      <c r="M101" s="253"/>
      <c r="N101" s="255"/>
    </row>
    <row r="102" spans="2:14">
      <c r="B102" s="255"/>
      <c r="C102" s="7"/>
      <c r="D102" s="4"/>
      <c r="E102" s="253"/>
      <c r="F102" s="262"/>
      <c r="G102" s="7"/>
      <c r="H102" s="4"/>
      <c r="I102" s="4"/>
      <c r="J102" s="4"/>
      <c r="K102" s="4"/>
      <c r="L102" s="4"/>
      <c r="M102" s="253"/>
      <c r="N102" s="255"/>
    </row>
    <row r="103" spans="2:14">
      <c r="B103" s="255"/>
      <c r="C103" s="7"/>
      <c r="D103" s="4"/>
      <c r="E103" s="253"/>
      <c r="F103" s="262"/>
      <c r="G103" s="7"/>
      <c r="H103" s="4"/>
      <c r="I103" s="4"/>
      <c r="J103" s="4"/>
      <c r="K103" s="4"/>
      <c r="L103" s="4"/>
      <c r="M103" s="253"/>
      <c r="N103" s="255"/>
    </row>
    <row r="104" spans="2:14">
      <c r="B104" s="255"/>
      <c r="C104" s="7"/>
      <c r="D104" s="4"/>
      <c r="E104" s="253"/>
      <c r="F104" s="262"/>
      <c r="G104" s="7"/>
      <c r="H104" s="4"/>
      <c r="I104" s="4"/>
      <c r="J104" s="4"/>
      <c r="K104" s="4"/>
      <c r="L104" s="4"/>
      <c r="M104" s="253"/>
      <c r="N104" s="255"/>
    </row>
    <row r="105" spans="2:14">
      <c r="B105" s="255"/>
      <c r="C105" s="7"/>
      <c r="D105" s="4"/>
      <c r="E105" s="253"/>
      <c r="F105" s="262"/>
      <c r="G105" s="7"/>
      <c r="H105" s="4"/>
      <c r="I105" s="4"/>
      <c r="J105" s="4"/>
      <c r="K105" s="4"/>
      <c r="L105" s="4"/>
      <c r="M105" s="253"/>
      <c r="N105" s="255"/>
    </row>
    <row r="106" spans="2:14" ht="15" customHeight="1">
      <c r="B106" s="256"/>
      <c r="C106" s="6"/>
      <c r="D106" s="3"/>
      <c r="E106" s="254"/>
      <c r="F106" s="346"/>
      <c r="G106" s="6"/>
      <c r="H106" s="3"/>
      <c r="I106" s="3"/>
      <c r="J106" s="3"/>
      <c r="K106" s="3"/>
      <c r="L106" s="3"/>
      <c r="M106" s="254"/>
      <c r="N106" s="256"/>
    </row>
  </sheetData>
  <sheetProtection algorithmName="SHA-512" hashValue="LYvYl5ooj1Ha6xH+BQb2GhoL1B9U8CrW3wk6O6XowNEjJ7sZIq179MjgtCn0llAIVxjwgVSRMmyqRTw4SAI6bw==" saltValue="WhM8uNmuz+5gTMjQUur5Bw==" spinCount="100000" sheet="1" objects="1"/>
  <autoFilter ref="C4:M85" xr:uid="{00000000-0009-0000-0000-000009000000}"/>
  <mergeCells count="11">
    <mergeCell ref="B1:N2"/>
    <mergeCell ref="B3:B5"/>
    <mergeCell ref="C3:F3"/>
    <mergeCell ref="G3:M3"/>
    <mergeCell ref="N3:N5"/>
    <mergeCell ref="C4:C5"/>
    <mergeCell ref="D4:D5"/>
    <mergeCell ref="E4:E5"/>
    <mergeCell ref="F4:F5"/>
    <mergeCell ref="L4:L5"/>
    <mergeCell ref="M4:M5"/>
  </mergeCells>
  <conditionalFormatting sqref="E91:E106">
    <cfRule type="cellIs" dxfId="5" priority="1" operator="equal">
      <formula>"Enhancement not possible"</formula>
    </cfRule>
  </conditionalFormatting>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2FE4-6CB4-4202-B14F-392921DBB553}">
  <sheetPr codeName="Sheet2">
    <tabColor rgb="FF005E5C"/>
  </sheetPr>
  <dimension ref="A1:XEZ412"/>
  <sheetViews>
    <sheetView zoomScale="80" zoomScaleNormal="80" workbookViewId="0">
      <selection activeCell="B1" sqref="B1"/>
    </sheetView>
  </sheetViews>
  <sheetFormatPr defaultColWidth="2.7109375" defaultRowHeight="14.45" zeroHeight="1"/>
  <cols>
    <col min="1" max="1" width="25.28515625" style="99" customWidth="1"/>
    <col min="2" max="2" width="8.7109375" style="99" customWidth="1"/>
    <col min="3" max="3" width="42" style="99" customWidth="1"/>
    <col min="4" max="4" width="18.7109375" style="99" customWidth="1"/>
    <col min="5" max="5" width="32.42578125" style="99" customWidth="1"/>
    <col min="6" max="6" width="19.5703125" style="99" customWidth="1"/>
    <col min="7" max="7" width="32" style="99" bestFit="1" customWidth="1"/>
    <col min="8" max="8" width="8.7109375" style="99" customWidth="1"/>
    <col min="9" max="9" width="82.42578125" style="99" bestFit="1" customWidth="1"/>
    <col min="10" max="10" width="13.7109375" style="99" customWidth="1"/>
    <col min="11" max="11" width="35.28515625" style="99" bestFit="1" customWidth="1"/>
    <col min="12" max="12" width="8.7109375" style="99" customWidth="1"/>
    <col min="13" max="13" width="48.5703125" style="99" bestFit="1" customWidth="1"/>
    <col min="14" max="14" width="8.7109375" style="99" customWidth="1"/>
    <col min="15" max="15" width="33.5703125" style="99" bestFit="1" customWidth="1"/>
    <col min="16" max="16" width="8.7109375" style="99" customWidth="1"/>
    <col min="17" max="17" width="44" style="99" customWidth="1"/>
    <col min="18" max="18" width="8.7109375" style="99" customWidth="1"/>
    <col min="19" max="19" width="35.7109375" style="99" bestFit="1" customWidth="1"/>
    <col min="20" max="20" width="8.7109375" style="99" customWidth="1"/>
    <col min="21" max="21" width="61.5703125" style="99" customWidth="1"/>
    <col min="22" max="22" width="12" style="99" bestFit="1" customWidth="1"/>
    <col min="23" max="23" width="81.7109375" style="99" bestFit="1" customWidth="1"/>
    <col min="24" max="24" width="61.28515625" style="99" bestFit="1" customWidth="1"/>
    <col min="25" max="25" width="47.7109375" style="99" bestFit="1" customWidth="1"/>
    <col min="26" max="26" width="17" style="99" bestFit="1" customWidth="1"/>
    <col min="27" max="27" width="48.28515625" style="99" customWidth="1"/>
    <col min="28" max="28" width="17" style="99" bestFit="1" customWidth="1"/>
    <col min="29" max="29" width="48.28515625" style="99" customWidth="1"/>
    <col min="30" max="16380" width="2.7109375" style="99" hidden="1" customWidth="1"/>
    <col min="16381" max="16384" width="2.7109375" style="99" customWidth="1"/>
  </cols>
  <sheetData>
    <row r="1" spans="1:29">
      <c r="A1" s="129" t="s">
        <v>453</v>
      </c>
      <c r="C1" s="129" t="s">
        <v>234</v>
      </c>
      <c r="E1" s="129" t="s">
        <v>238</v>
      </c>
      <c r="G1" s="129" t="s">
        <v>454</v>
      </c>
      <c r="I1" s="129" t="s">
        <v>455</v>
      </c>
      <c r="K1" s="129" t="s">
        <v>456</v>
      </c>
      <c r="M1" s="129" t="s">
        <v>242</v>
      </c>
      <c r="O1" s="129" t="s">
        <v>457</v>
      </c>
      <c r="Q1" s="129" t="s">
        <v>119</v>
      </c>
      <c r="S1" s="129" t="s">
        <v>458</v>
      </c>
      <c r="U1" s="129" t="s">
        <v>459</v>
      </c>
      <c r="W1" s="129" t="s">
        <v>460</v>
      </c>
      <c r="Y1" s="129" t="s">
        <v>283</v>
      </c>
      <c r="AA1" s="129" t="s">
        <v>461</v>
      </c>
      <c r="AC1" s="129" t="s">
        <v>462</v>
      </c>
    </row>
    <row r="2" spans="1:29">
      <c r="A2" s="128" t="s">
        <v>234</v>
      </c>
      <c r="C2" s="91" t="s">
        <v>327</v>
      </c>
      <c r="E2" s="128" t="s">
        <v>339</v>
      </c>
      <c r="G2" s="128" t="s">
        <v>344</v>
      </c>
      <c r="I2" s="128" t="s">
        <v>393</v>
      </c>
      <c r="K2" s="128" t="s">
        <v>383</v>
      </c>
      <c r="M2" s="128" t="s">
        <v>353</v>
      </c>
      <c r="O2" s="128" t="s">
        <v>357</v>
      </c>
      <c r="Q2" s="128" t="s">
        <v>360</v>
      </c>
      <c r="S2" s="128" t="s">
        <v>379</v>
      </c>
      <c r="U2" s="128" t="s">
        <v>264</v>
      </c>
      <c r="W2" s="128" t="s">
        <v>271</v>
      </c>
      <c r="Y2" s="128" t="s">
        <v>290</v>
      </c>
      <c r="AA2" s="310" t="s">
        <v>384</v>
      </c>
      <c r="AC2" s="376" t="s">
        <v>125</v>
      </c>
    </row>
    <row r="3" spans="1:29">
      <c r="A3" s="128" t="s">
        <v>238</v>
      </c>
      <c r="C3" s="91" t="s">
        <v>329</v>
      </c>
      <c r="E3" s="128" t="s">
        <v>340</v>
      </c>
      <c r="G3" s="128" t="s">
        <v>345</v>
      </c>
      <c r="I3" s="128" t="s">
        <v>394</v>
      </c>
      <c r="K3" s="128" t="s">
        <v>385</v>
      </c>
      <c r="M3" s="128" t="s">
        <v>355</v>
      </c>
      <c r="O3" s="130" t="s">
        <v>358</v>
      </c>
      <c r="Q3" s="128" t="s">
        <v>146</v>
      </c>
      <c r="S3" s="128" t="s">
        <v>380</v>
      </c>
      <c r="U3" s="128" t="s">
        <v>265</v>
      </c>
      <c r="W3" s="128" t="s">
        <v>267</v>
      </c>
      <c r="Y3" s="128" t="s">
        <v>292</v>
      </c>
      <c r="AA3" s="310"/>
      <c r="AC3" s="310"/>
    </row>
    <row r="4" spans="1:29">
      <c r="A4" s="128" t="s">
        <v>239</v>
      </c>
      <c r="C4" s="91" t="s">
        <v>330</v>
      </c>
      <c r="E4" s="128" t="s">
        <v>341</v>
      </c>
      <c r="G4" s="128" t="s">
        <v>346</v>
      </c>
      <c r="I4" s="128" t="s">
        <v>395</v>
      </c>
      <c r="K4" s="128" t="s">
        <v>386</v>
      </c>
      <c r="M4" s="130" t="s">
        <v>356</v>
      </c>
      <c r="O4" s="310" t="s">
        <v>359</v>
      </c>
      <c r="Q4" s="128" t="s">
        <v>363</v>
      </c>
      <c r="S4" s="128" t="s">
        <v>381</v>
      </c>
      <c r="U4" s="128" t="s">
        <v>266</v>
      </c>
      <c r="W4" s="128" t="s">
        <v>272</v>
      </c>
      <c r="Y4" s="128" t="s">
        <v>291</v>
      </c>
      <c r="AA4" s="91"/>
      <c r="AC4" s="91"/>
    </row>
    <row r="5" spans="1:29">
      <c r="A5" s="128" t="s">
        <v>240</v>
      </c>
      <c r="C5" s="91" t="s">
        <v>331</v>
      </c>
      <c r="E5" s="128" t="s">
        <v>342</v>
      </c>
      <c r="G5" s="128" t="s">
        <v>347</v>
      </c>
      <c r="I5" s="91"/>
      <c r="K5" s="128" t="s">
        <v>387</v>
      </c>
      <c r="M5" s="91"/>
      <c r="O5" s="91"/>
      <c r="Q5" s="128" t="s">
        <v>364</v>
      </c>
      <c r="S5" s="128" t="s">
        <v>382</v>
      </c>
      <c r="U5" s="128" t="s">
        <v>270</v>
      </c>
      <c r="W5" s="128" t="s">
        <v>268</v>
      </c>
      <c r="Y5" s="128"/>
      <c r="AA5" s="91"/>
      <c r="AC5" s="91"/>
    </row>
    <row r="6" spans="1:29">
      <c r="A6" s="128" t="s">
        <v>241</v>
      </c>
      <c r="C6" s="91" t="s">
        <v>332</v>
      </c>
      <c r="E6" s="130" t="s">
        <v>343</v>
      </c>
      <c r="G6" s="128" t="s">
        <v>348</v>
      </c>
      <c r="I6" s="91"/>
      <c r="K6" s="128" t="s">
        <v>388</v>
      </c>
      <c r="M6" s="91"/>
      <c r="O6" s="91"/>
      <c r="Q6" s="128" t="s">
        <v>365</v>
      </c>
      <c r="S6" s="91"/>
      <c r="U6" s="128" t="s">
        <v>274</v>
      </c>
      <c r="W6" s="91"/>
      <c r="Y6" s="128"/>
      <c r="AA6" s="91"/>
      <c r="AC6" s="91"/>
    </row>
    <row r="7" spans="1:29">
      <c r="A7" s="128" t="s">
        <v>242</v>
      </c>
      <c r="C7" s="91" t="s">
        <v>334</v>
      </c>
      <c r="E7" s="91"/>
      <c r="G7" s="128" t="s">
        <v>349</v>
      </c>
      <c r="I7" s="91"/>
      <c r="K7" s="128" t="s">
        <v>389</v>
      </c>
      <c r="M7" s="91"/>
      <c r="O7" s="91"/>
      <c r="Q7" s="128" t="s">
        <v>366</v>
      </c>
      <c r="S7" s="91"/>
      <c r="U7" s="128" t="s">
        <v>271</v>
      </c>
      <c r="W7" s="91"/>
      <c r="Y7" s="128"/>
      <c r="AA7" s="91"/>
      <c r="AC7" s="91"/>
    </row>
    <row r="8" spans="1:29">
      <c r="A8" s="128" t="s">
        <v>243</v>
      </c>
      <c r="C8" s="91" t="s">
        <v>335</v>
      </c>
      <c r="E8" s="91"/>
      <c r="G8" s="128" t="s">
        <v>350</v>
      </c>
      <c r="I8" s="91"/>
      <c r="K8" s="130" t="s">
        <v>390</v>
      </c>
      <c r="M8" s="91"/>
      <c r="O8" s="91"/>
      <c r="Q8" s="128" t="s">
        <v>120</v>
      </c>
      <c r="S8" s="91"/>
      <c r="U8" s="128" t="s">
        <v>267</v>
      </c>
      <c r="W8" s="91"/>
      <c r="Y8" s="128"/>
      <c r="AA8" s="91"/>
      <c r="AC8" s="91"/>
    </row>
    <row r="9" spans="1:29">
      <c r="A9" s="128" t="s">
        <v>119</v>
      </c>
      <c r="C9" s="91" t="s">
        <v>336</v>
      </c>
      <c r="E9" s="91"/>
      <c r="G9" s="130" t="s">
        <v>351</v>
      </c>
      <c r="I9" s="91"/>
      <c r="K9" s="128" t="s">
        <v>391</v>
      </c>
      <c r="M9" s="91"/>
      <c r="O9" s="91"/>
      <c r="Q9" s="128" t="s">
        <v>371</v>
      </c>
      <c r="S9" s="91"/>
      <c r="U9" s="128" t="s">
        <v>272</v>
      </c>
      <c r="W9" s="91"/>
      <c r="Y9" s="128"/>
      <c r="AA9" s="91"/>
      <c r="AC9" s="91"/>
    </row>
    <row r="10" spans="1:29">
      <c r="A10" s="130" t="s">
        <v>244</v>
      </c>
      <c r="C10" s="91" t="s">
        <v>337</v>
      </c>
      <c r="E10" s="91"/>
      <c r="G10" s="130" t="s">
        <v>352</v>
      </c>
      <c r="I10" s="91"/>
      <c r="K10" s="128" t="s">
        <v>392</v>
      </c>
      <c r="M10" s="91"/>
      <c r="O10" s="91"/>
      <c r="Q10" s="128" t="s">
        <v>368</v>
      </c>
      <c r="S10" s="91"/>
      <c r="U10" s="130" t="s">
        <v>268</v>
      </c>
      <c r="W10" s="91"/>
      <c r="Y10" s="128"/>
      <c r="AA10" s="91"/>
      <c r="AC10" s="91"/>
    </row>
    <row r="11" spans="1:29">
      <c r="A11" s="178" t="s">
        <v>245</v>
      </c>
      <c r="C11" s="91" t="s">
        <v>338</v>
      </c>
      <c r="E11" s="91"/>
      <c r="G11" s="91"/>
      <c r="I11" s="91"/>
      <c r="K11" s="91"/>
      <c r="M11" s="91"/>
      <c r="O11" s="91"/>
      <c r="Q11" s="128" t="s">
        <v>369</v>
      </c>
      <c r="S11" s="91"/>
      <c r="U11" s="91"/>
      <c r="W11" s="91"/>
      <c r="Y11" s="130"/>
      <c r="AA11" s="91"/>
      <c r="AC11" s="91"/>
    </row>
    <row r="12" spans="1:29">
      <c r="A12" s="91"/>
      <c r="C12" s="91"/>
      <c r="E12" s="91"/>
      <c r="G12" s="91"/>
      <c r="I12" s="91"/>
      <c r="K12" s="91"/>
      <c r="M12" s="91"/>
      <c r="O12" s="91"/>
      <c r="Q12" s="128" t="s">
        <v>370</v>
      </c>
      <c r="S12" s="91"/>
      <c r="U12" s="91"/>
      <c r="W12" s="91"/>
      <c r="Y12" s="91"/>
      <c r="AA12" s="91"/>
      <c r="AC12" s="91"/>
    </row>
    <row r="13" spans="1:29">
      <c r="A13" s="91"/>
      <c r="C13" s="91"/>
      <c r="E13" s="91"/>
      <c r="G13" s="91"/>
      <c r="I13" s="91"/>
      <c r="K13" s="91"/>
      <c r="M13" s="91"/>
      <c r="O13" s="91"/>
      <c r="Q13" s="128" t="s">
        <v>367</v>
      </c>
      <c r="S13" s="91"/>
      <c r="U13" s="91"/>
      <c r="W13" s="91"/>
      <c r="Y13" s="91"/>
      <c r="AA13" s="91"/>
      <c r="AC13" s="91"/>
    </row>
    <row r="14" spans="1:29">
      <c r="A14" s="91"/>
      <c r="C14" s="91"/>
      <c r="E14" s="91"/>
      <c r="G14" s="91"/>
      <c r="I14" s="91"/>
      <c r="K14" s="91"/>
      <c r="M14" s="91"/>
      <c r="O14" s="91"/>
      <c r="Q14" s="128" t="s">
        <v>372</v>
      </c>
      <c r="S14" s="91"/>
      <c r="U14" s="91"/>
      <c r="W14" s="91"/>
      <c r="Y14" s="91"/>
      <c r="AA14" s="91"/>
      <c r="AC14" s="91"/>
    </row>
    <row r="15" spans="1:29">
      <c r="A15" s="91"/>
      <c r="C15" s="91"/>
      <c r="E15" s="91"/>
      <c r="G15" s="91"/>
      <c r="I15" s="91"/>
      <c r="K15" s="91"/>
      <c r="M15" s="91"/>
      <c r="O15" s="91"/>
      <c r="Q15" s="128" t="s">
        <v>373</v>
      </c>
      <c r="S15" s="91"/>
      <c r="U15" s="91"/>
      <c r="W15" s="91"/>
      <c r="Y15" s="91"/>
      <c r="AA15" s="91"/>
      <c r="AC15" s="91"/>
    </row>
    <row r="16" spans="1:29">
      <c r="A16" s="91"/>
      <c r="C16" s="91"/>
      <c r="E16" s="91"/>
      <c r="G16" s="91"/>
      <c r="I16" s="91"/>
      <c r="K16" s="91"/>
      <c r="M16" s="91"/>
      <c r="O16" s="91"/>
      <c r="Q16" s="128" t="s">
        <v>374</v>
      </c>
      <c r="S16" s="91"/>
      <c r="U16" s="91"/>
      <c r="W16" s="91"/>
      <c r="Y16" s="91"/>
      <c r="AA16" s="91"/>
      <c r="AC16" s="91"/>
    </row>
    <row r="17" spans="1:29">
      <c r="A17" s="91"/>
      <c r="C17" s="91"/>
      <c r="E17" s="91"/>
      <c r="G17" s="91"/>
      <c r="I17" s="91"/>
      <c r="K17" s="91"/>
      <c r="M17" s="91"/>
      <c r="O17" s="91"/>
      <c r="Q17" s="128" t="s">
        <v>375</v>
      </c>
      <c r="S17" s="91"/>
      <c r="U17" s="91"/>
      <c r="W17" s="91"/>
      <c r="Y17" s="91"/>
      <c r="AA17" s="91"/>
      <c r="AC17" s="91"/>
    </row>
    <row r="18" spans="1:29">
      <c r="A18" s="91"/>
      <c r="C18" s="91"/>
      <c r="E18" s="91"/>
      <c r="G18" s="91"/>
      <c r="I18" s="91"/>
      <c r="K18" s="91"/>
      <c r="M18" s="91"/>
      <c r="O18" s="91"/>
      <c r="Q18" s="128" t="s">
        <v>376</v>
      </c>
      <c r="S18" s="91"/>
      <c r="U18" s="91"/>
      <c r="W18" s="91"/>
      <c r="Y18" s="91"/>
      <c r="AA18" s="91"/>
      <c r="AC18" s="91"/>
    </row>
    <row r="19" spans="1:29">
      <c r="A19" s="91"/>
      <c r="C19" s="91"/>
      <c r="E19" s="91"/>
      <c r="G19" s="91"/>
      <c r="I19" s="91"/>
      <c r="K19" s="91"/>
      <c r="M19" s="91"/>
      <c r="O19" s="91"/>
      <c r="Q19" s="128" t="s">
        <v>377</v>
      </c>
      <c r="S19" s="91"/>
      <c r="U19" s="91"/>
      <c r="W19" s="91"/>
      <c r="Y19" s="91"/>
      <c r="AA19" s="91"/>
      <c r="AC19" s="91"/>
    </row>
    <row r="20" spans="1:29">
      <c r="A20" s="91"/>
      <c r="C20" s="91"/>
      <c r="E20" s="91"/>
      <c r="G20" s="91"/>
      <c r="I20" s="91"/>
      <c r="K20" s="91"/>
      <c r="M20" s="91"/>
      <c r="O20" s="91"/>
      <c r="Q20" s="130" t="s">
        <v>378</v>
      </c>
      <c r="S20" s="91"/>
      <c r="U20" s="91"/>
      <c r="W20" s="91"/>
      <c r="Y20" s="91"/>
      <c r="AA20" s="91"/>
      <c r="AC20" s="91"/>
    </row>
    <row r="21" spans="1:29">
      <c r="A21" s="91"/>
      <c r="C21" s="91"/>
      <c r="E21" s="91"/>
      <c r="G21" s="91"/>
      <c r="I21" s="91"/>
      <c r="K21" s="91"/>
      <c r="M21" s="91"/>
      <c r="O21" s="91"/>
      <c r="Q21" s="130" t="s">
        <v>122</v>
      </c>
      <c r="S21" s="91"/>
      <c r="U21" s="91"/>
      <c r="W21" s="91"/>
      <c r="Y21" s="91"/>
      <c r="AA21" s="91"/>
      <c r="AC21" s="91"/>
    </row>
    <row r="22" spans="1:29">
      <c r="A22" s="91"/>
      <c r="C22" s="91"/>
      <c r="E22" s="91"/>
      <c r="G22" s="91"/>
      <c r="I22" s="91"/>
      <c r="K22" s="91"/>
      <c r="M22" s="91"/>
      <c r="O22" s="91"/>
      <c r="Q22" s="91"/>
      <c r="S22" s="91"/>
      <c r="U22" s="91"/>
      <c r="W22" s="91"/>
      <c r="Y22" s="91"/>
      <c r="AA22" s="91"/>
      <c r="AC22" s="91"/>
    </row>
    <row r="23" spans="1:29">
      <c r="A23" s="91"/>
      <c r="C23" s="91"/>
      <c r="E23" s="91"/>
      <c r="G23" s="91"/>
      <c r="I23" s="91"/>
      <c r="K23" s="91"/>
      <c r="M23" s="91"/>
      <c r="O23" s="91"/>
      <c r="Q23" s="91"/>
      <c r="S23" s="91"/>
      <c r="U23" s="91"/>
      <c r="W23" s="91"/>
      <c r="Y23" s="91"/>
      <c r="AA23" s="91"/>
      <c r="AC23" s="91"/>
    </row>
    <row r="24" spans="1:29">
      <c r="A24" s="91"/>
      <c r="C24" s="91"/>
      <c r="E24" s="91"/>
      <c r="G24" s="91"/>
      <c r="I24" s="91"/>
      <c r="K24" s="91"/>
      <c r="M24" s="91"/>
      <c r="O24" s="91"/>
      <c r="Q24" s="91"/>
      <c r="S24" s="91"/>
      <c r="U24" s="91"/>
      <c r="W24" s="91"/>
      <c r="Y24" s="91"/>
      <c r="AA24" s="91"/>
      <c r="AC24" s="91"/>
    </row>
    <row r="25" spans="1:29">
      <c r="A25" s="91"/>
      <c r="C25" s="91"/>
      <c r="E25" s="91"/>
      <c r="G25" s="91"/>
      <c r="I25" s="91"/>
      <c r="K25" s="91"/>
      <c r="M25" s="91"/>
      <c r="O25" s="91"/>
      <c r="Q25" s="91"/>
      <c r="S25" s="91"/>
      <c r="U25" s="91"/>
      <c r="W25" s="91"/>
      <c r="Y25" s="91"/>
      <c r="AA25" s="91"/>
      <c r="AC25" s="91"/>
    </row>
    <row r="28" spans="1:29">
      <c r="A28" s="114" t="s">
        <v>396</v>
      </c>
      <c r="C28" s="114" t="s">
        <v>463</v>
      </c>
    </row>
    <row r="29" spans="1:29">
      <c r="A29" s="84" t="s">
        <v>396</v>
      </c>
      <c r="C29" s="84" t="s">
        <v>257</v>
      </c>
    </row>
    <row r="32" spans="1:2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row>
    <row r="33" spans="2:24">
      <c r="J33" s="1048" t="s">
        <v>464</v>
      </c>
      <c r="K33" s="1048"/>
    </row>
    <row r="34" spans="2:24">
      <c r="B34" s="1049" t="s">
        <v>326</v>
      </c>
      <c r="C34" s="1050"/>
      <c r="D34" s="1051"/>
      <c r="F34" s="1049" t="s">
        <v>465</v>
      </c>
      <c r="G34" s="1050"/>
      <c r="H34" s="1051"/>
      <c r="J34" s="114" t="s">
        <v>466</v>
      </c>
      <c r="K34" s="114" t="s">
        <v>467</v>
      </c>
      <c r="M34" s="942" t="s">
        <v>468</v>
      </c>
      <c r="N34" s="942"/>
      <c r="Q34" s="1047" t="s">
        <v>469</v>
      </c>
      <c r="R34" s="1047"/>
      <c r="S34" s="1047"/>
      <c r="T34" s="1047"/>
    </row>
    <row r="35" spans="2:24">
      <c r="B35" s="64" t="s">
        <v>113</v>
      </c>
      <c r="C35" s="114" t="s">
        <v>470</v>
      </c>
      <c r="D35" s="114" t="s">
        <v>471</v>
      </c>
      <c r="F35" s="114" t="s">
        <v>470</v>
      </c>
      <c r="G35" s="64" t="s">
        <v>472</v>
      </c>
      <c r="H35" s="114" t="s">
        <v>473</v>
      </c>
      <c r="J35" s="84" t="s">
        <v>235</v>
      </c>
      <c r="K35" s="4">
        <v>1</v>
      </c>
      <c r="M35" s="114" t="s">
        <v>474</v>
      </c>
      <c r="N35" s="114" t="s">
        <v>473</v>
      </c>
      <c r="Q35" s="114" t="s">
        <v>475</v>
      </c>
      <c r="R35" s="114" t="s">
        <v>476</v>
      </c>
      <c r="S35" s="114" t="s">
        <v>477</v>
      </c>
      <c r="T35" s="114" t="s">
        <v>478</v>
      </c>
      <c r="W35" s="260" t="s">
        <v>479</v>
      </c>
      <c r="X35" s="261" t="s">
        <v>480</v>
      </c>
    </row>
    <row r="36" spans="2:24" ht="43.5" customHeight="1">
      <c r="B36" s="84" t="s">
        <v>354</v>
      </c>
      <c r="C36" s="84" t="s">
        <v>481</v>
      </c>
      <c r="D36" s="4">
        <v>1.1499999999999999</v>
      </c>
      <c r="F36" s="84" t="s">
        <v>126</v>
      </c>
      <c r="G36" s="84" t="s">
        <v>482</v>
      </c>
      <c r="H36" s="4">
        <v>1.1499999999999999</v>
      </c>
      <c r="J36" s="84" t="s">
        <v>237</v>
      </c>
      <c r="K36" s="4">
        <v>0.67</v>
      </c>
      <c r="M36" s="565" t="s">
        <v>483</v>
      </c>
      <c r="N36" s="565">
        <v>1</v>
      </c>
      <c r="Q36" s="4" t="s">
        <v>484</v>
      </c>
      <c r="R36" s="4">
        <v>0.3</v>
      </c>
      <c r="S36" s="4">
        <f>R36*12</f>
        <v>3.5999999999999996</v>
      </c>
      <c r="T36" s="85">
        <f>3.14*(S36*S36)/10000</f>
        <v>4.0694399999999997E-3</v>
      </c>
      <c r="W36" s="91" t="s">
        <v>485</v>
      </c>
      <c r="X36" s="91" t="s">
        <v>486</v>
      </c>
    </row>
    <row r="37" spans="2:24" ht="55.5" customHeight="1">
      <c r="B37" s="84" t="s">
        <v>237</v>
      </c>
      <c r="C37" s="84" t="s">
        <v>487</v>
      </c>
      <c r="D37" s="4">
        <v>1.1000000000000001</v>
      </c>
      <c r="F37" s="84" t="s">
        <v>121</v>
      </c>
      <c r="G37" s="84" t="s">
        <v>488</v>
      </c>
      <c r="H37" s="4">
        <v>1</v>
      </c>
      <c r="J37" s="84" t="s">
        <v>354</v>
      </c>
      <c r="K37" s="4">
        <v>0.33</v>
      </c>
      <c r="M37" s="565" t="s">
        <v>489</v>
      </c>
      <c r="N37" s="565">
        <v>0.75</v>
      </c>
      <c r="Q37" s="4" t="s">
        <v>237</v>
      </c>
      <c r="R37" s="4">
        <v>0.9</v>
      </c>
      <c r="S37" s="4">
        <f>R37*12</f>
        <v>10.8</v>
      </c>
      <c r="T37" s="85">
        <f>3.14*(S37*S37)/10000</f>
        <v>3.6624960000000005E-2</v>
      </c>
      <c r="W37" s="91" t="s">
        <v>490</v>
      </c>
      <c r="X37" s="91" t="s">
        <v>25</v>
      </c>
    </row>
    <row r="38" spans="2:24" ht="28.9" customHeight="1">
      <c r="B38" s="90" t="s">
        <v>235</v>
      </c>
      <c r="C38" s="84" t="s">
        <v>491</v>
      </c>
      <c r="D38" s="4">
        <v>1</v>
      </c>
      <c r="F38" s="84"/>
      <c r="G38" s="84"/>
      <c r="H38" s="4"/>
      <c r="J38" s="84" t="s">
        <v>492</v>
      </c>
      <c r="K38" s="4">
        <v>0.1</v>
      </c>
      <c r="M38" s="565" t="s">
        <v>493</v>
      </c>
      <c r="N38" s="565">
        <v>0.5</v>
      </c>
      <c r="Q38" s="4" t="s">
        <v>494</v>
      </c>
      <c r="R38" s="4">
        <v>1.3</v>
      </c>
      <c r="S38" s="4">
        <f>R38*12</f>
        <v>15.600000000000001</v>
      </c>
      <c r="T38" s="85">
        <f>3.14*(S38*S38)/10000</f>
        <v>7.6415040000000017E-2</v>
      </c>
      <c r="W38" s="91" t="s">
        <v>495</v>
      </c>
      <c r="X38" s="91" t="s">
        <v>496</v>
      </c>
    </row>
    <row r="39" spans="2:24">
      <c r="B39" s="90" t="s">
        <v>399</v>
      </c>
      <c r="C39" s="84" t="s">
        <v>497</v>
      </c>
      <c r="D39" s="4">
        <v>1</v>
      </c>
      <c r="W39" s="91" t="s">
        <v>498</v>
      </c>
      <c r="X39" s="91" t="s">
        <v>499</v>
      </c>
    </row>
    <row r="40" spans="2:24">
      <c r="W40" s="91" t="s">
        <v>500</v>
      </c>
      <c r="X40" s="91" t="s">
        <v>501</v>
      </c>
    </row>
    <row r="41" spans="2:24">
      <c r="W41" s="91" t="s">
        <v>502</v>
      </c>
      <c r="X41" s="91" t="s">
        <v>503</v>
      </c>
    </row>
    <row r="42" spans="2:24">
      <c r="W42" s="91" t="s">
        <v>504</v>
      </c>
      <c r="X42" s="91"/>
    </row>
    <row r="43" spans="2:24">
      <c r="W43" s="91" t="s">
        <v>505</v>
      </c>
      <c r="X43" s="91"/>
    </row>
    <row r="44" spans="2:24">
      <c r="W44" s="91" t="s">
        <v>506</v>
      </c>
      <c r="X44" s="91"/>
    </row>
    <row r="45" spans="2:24" ht="28.5" customHeight="1">
      <c r="B45" s="976" t="s">
        <v>507</v>
      </c>
      <c r="C45" s="1044"/>
      <c r="D45" s="1045"/>
      <c r="F45" s="976" t="s">
        <v>508</v>
      </c>
      <c r="G45" s="1045"/>
      <c r="I45" s="1046" t="s">
        <v>509</v>
      </c>
      <c r="J45" s="1046"/>
      <c r="K45" s="1046"/>
      <c r="M45" s="1047" t="s">
        <v>124</v>
      </c>
      <c r="N45" s="1047"/>
      <c r="O45" s="1047"/>
      <c r="P45" s="1047"/>
      <c r="S45" s="976" t="s">
        <v>510</v>
      </c>
      <c r="T45" s="1044"/>
      <c r="U45" s="1045"/>
      <c r="W45" s="91" t="s">
        <v>511</v>
      </c>
      <c r="X45" s="91"/>
    </row>
    <row r="46" spans="2:24" ht="43.15" customHeight="1">
      <c r="B46" s="64" t="s">
        <v>512</v>
      </c>
      <c r="C46" s="64" t="s">
        <v>513</v>
      </c>
      <c r="D46" s="64" t="s">
        <v>514</v>
      </c>
      <c r="F46" s="64" t="s">
        <v>515</v>
      </c>
      <c r="G46" s="64" t="s">
        <v>516</v>
      </c>
      <c r="I46" s="64" t="s">
        <v>517</v>
      </c>
      <c r="J46" s="64" t="s">
        <v>518</v>
      </c>
      <c r="K46" s="64" t="s">
        <v>519</v>
      </c>
      <c r="M46" s="114" t="s">
        <v>475</v>
      </c>
      <c r="N46" s="114" t="s">
        <v>476</v>
      </c>
      <c r="O46" s="114" t="s">
        <v>477</v>
      </c>
      <c r="P46" s="114" t="s">
        <v>520</v>
      </c>
      <c r="S46" s="64" t="s">
        <v>512</v>
      </c>
      <c r="T46" s="64" t="s">
        <v>513</v>
      </c>
      <c r="U46" s="64" t="s">
        <v>514</v>
      </c>
      <c r="W46" s="91" t="s">
        <v>521</v>
      </c>
      <c r="X46" s="91"/>
    </row>
    <row r="47" spans="2:24" ht="57.6" customHeight="1">
      <c r="B47" s="4" t="s">
        <v>237</v>
      </c>
      <c r="C47" s="4">
        <v>4</v>
      </c>
      <c r="D47" s="95" t="s">
        <v>328</v>
      </c>
      <c r="F47" s="4" t="s">
        <v>415</v>
      </c>
      <c r="G47" s="4">
        <v>3</v>
      </c>
      <c r="I47" s="97">
        <v>0</v>
      </c>
      <c r="J47" s="97">
        <v>100</v>
      </c>
      <c r="K47" s="98">
        <v>1</v>
      </c>
      <c r="M47" s="4" t="s">
        <v>484</v>
      </c>
      <c r="N47" s="4">
        <v>0.3</v>
      </c>
      <c r="O47" s="4">
        <f>N47*12</f>
        <v>3.5999999999999996</v>
      </c>
      <c r="P47" s="85">
        <f>3.14*(O47*O47)</f>
        <v>40.694399999999995</v>
      </c>
      <c r="S47" s="4" t="s">
        <v>237</v>
      </c>
      <c r="T47" s="4">
        <v>4</v>
      </c>
      <c r="U47" s="84" t="s">
        <v>328</v>
      </c>
      <c r="W47" s="91" t="s">
        <v>522</v>
      </c>
      <c r="X47" s="91"/>
    </row>
    <row r="48" spans="2:24" ht="43.15" customHeight="1">
      <c r="B48" s="4" t="s">
        <v>235</v>
      </c>
      <c r="C48" s="4">
        <v>2</v>
      </c>
      <c r="D48" s="95" t="s">
        <v>333</v>
      </c>
      <c r="F48" s="4" t="s">
        <v>147</v>
      </c>
      <c r="G48" s="4">
        <v>2</v>
      </c>
      <c r="I48" s="97">
        <v>1</v>
      </c>
      <c r="J48" s="97">
        <v>96.5</v>
      </c>
      <c r="K48" s="98">
        <v>0.96499999999999997</v>
      </c>
      <c r="M48" s="4" t="s">
        <v>237</v>
      </c>
      <c r="N48" s="4">
        <v>0.6</v>
      </c>
      <c r="O48" s="4">
        <v>7.2</v>
      </c>
      <c r="P48" s="85">
        <f>3.14*(O48*O48)</f>
        <v>162.77760000000001</v>
      </c>
      <c r="S48" s="4" t="s">
        <v>235</v>
      </c>
      <c r="T48" s="4">
        <v>2</v>
      </c>
      <c r="U48" s="84" t="s">
        <v>333</v>
      </c>
      <c r="W48" s="91" t="s">
        <v>523</v>
      </c>
      <c r="X48" s="91"/>
    </row>
    <row r="49" spans="2:24" ht="28.9" customHeight="1">
      <c r="B49" s="4" t="s">
        <v>361</v>
      </c>
      <c r="C49" s="4">
        <v>0</v>
      </c>
      <c r="D49" s="95" t="s">
        <v>362</v>
      </c>
      <c r="F49" s="84" t="s">
        <v>416</v>
      </c>
      <c r="G49" s="4">
        <v>1</v>
      </c>
      <c r="I49" s="97">
        <v>2</v>
      </c>
      <c r="J49" s="97">
        <v>93.122500000000002</v>
      </c>
      <c r="K49" s="98">
        <v>0.93122499999999997</v>
      </c>
      <c r="M49" s="4" t="s">
        <v>494</v>
      </c>
      <c r="N49" s="4">
        <v>0.9</v>
      </c>
      <c r="O49" s="4">
        <v>10.8</v>
      </c>
      <c r="P49" s="85">
        <f>3.14*(O49*O49)</f>
        <v>366.24960000000004</v>
      </c>
      <c r="S49" s="4" t="s">
        <v>361</v>
      </c>
      <c r="T49" s="4">
        <v>1</v>
      </c>
      <c r="U49" s="84" t="s">
        <v>362</v>
      </c>
      <c r="W49" s="91" t="s">
        <v>524</v>
      </c>
      <c r="X49" s="91"/>
    </row>
    <row r="50" spans="2:24" ht="57.6" customHeight="1">
      <c r="B50" s="4" t="s">
        <v>354</v>
      </c>
      <c r="C50" s="4">
        <v>6</v>
      </c>
      <c r="D50" s="95" t="s">
        <v>328</v>
      </c>
      <c r="F50" s="84" t="s">
        <v>417</v>
      </c>
      <c r="G50" s="4">
        <v>1</v>
      </c>
      <c r="I50" s="97">
        <v>3</v>
      </c>
      <c r="J50" s="97">
        <v>89.863212500000003</v>
      </c>
      <c r="K50" s="98">
        <v>0.898632125</v>
      </c>
      <c r="M50" s="4" t="s">
        <v>525</v>
      </c>
      <c r="N50" s="4">
        <v>1.3</v>
      </c>
      <c r="O50" s="4">
        <v>15.6</v>
      </c>
      <c r="P50" s="85">
        <f>3.14*(O50*O50)</f>
        <v>764.15039999999999</v>
      </c>
      <c r="S50" s="4" t="s">
        <v>354</v>
      </c>
      <c r="T50" s="4">
        <v>6</v>
      </c>
      <c r="U50" s="84" t="s">
        <v>328</v>
      </c>
      <c r="W50" s="91" t="s">
        <v>526</v>
      </c>
      <c r="X50" s="91"/>
    </row>
    <row r="51" spans="2:24">
      <c r="F51" s="4" t="s">
        <v>145</v>
      </c>
      <c r="G51" s="4">
        <v>0</v>
      </c>
      <c r="I51" s="97">
        <v>4</v>
      </c>
      <c r="J51" s="97">
        <v>86.718000059999994</v>
      </c>
      <c r="K51" s="98">
        <v>0.8671800006</v>
      </c>
      <c r="W51" s="91" t="s">
        <v>527</v>
      </c>
      <c r="X51" s="91"/>
    </row>
    <row r="52" spans="2:24">
      <c r="I52" s="97">
        <v>5</v>
      </c>
      <c r="J52" s="97">
        <v>83.682870059999999</v>
      </c>
      <c r="K52" s="98">
        <v>0.83682870060000003</v>
      </c>
      <c r="W52" s="91" t="s">
        <v>528</v>
      </c>
      <c r="X52" s="91"/>
    </row>
    <row r="53" spans="2:24">
      <c r="I53" s="97">
        <v>6</v>
      </c>
      <c r="J53" s="97">
        <v>80.753969609999999</v>
      </c>
      <c r="K53" s="98">
        <v>0.80753969609999998</v>
      </c>
      <c r="W53" s="91" t="s">
        <v>529</v>
      </c>
      <c r="X53" s="91"/>
    </row>
    <row r="54" spans="2:24">
      <c r="I54" s="97">
        <v>7</v>
      </c>
      <c r="J54" s="97">
        <v>77.927580669999998</v>
      </c>
      <c r="K54" s="98">
        <v>0.77927580669999996</v>
      </c>
      <c r="W54" s="91" t="s">
        <v>530</v>
      </c>
      <c r="X54" s="91"/>
    </row>
    <row r="55" spans="2:24" ht="14.65" customHeight="1">
      <c r="I55" s="97">
        <v>8</v>
      </c>
      <c r="J55" s="97">
        <v>75.200115350000004</v>
      </c>
      <c r="K55" s="98">
        <v>0.75200115349999996</v>
      </c>
      <c r="W55" s="91" t="s">
        <v>531</v>
      </c>
      <c r="X55" s="91"/>
    </row>
    <row r="56" spans="2:24">
      <c r="I56" s="97">
        <v>9</v>
      </c>
      <c r="J56" s="97">
        <v>72.568111310000006</v>
      </c>
      <c r="K56" s="98">
        <v>0.72568111310000005</v>
      </c>
      <c r="W56" s="91" t="s">
        <v>532</v>
      </c>
      <c r="X56" s="91"/>
    </row>
    <row r="57" spans="2:24">
      <c r="I57" s="97">
        <v>10</v>
      </c>
      <c r="J57" s="97">
        <v>70.028227419999993</v>
      </c>
      <c r="K57" s="98">
        <v>0.7002822742</v>
      </c>
      <c r="W57" s="91" t="s">
        <v>533</v>
      </c>
      <c r="X57" s="91"/>
    </row>
    <row r="58" spans="2:24">
      <c r="I58" s="97">
        <v>11</v>
      </c>
      <c r="J58" s="97">
        <v>67.577239460000001</v>
      </c>
      <c r="K58" s="98">
        <v>0.67577239460000005</v>
      </c>
      <c r="W58" s="91" t="s">
        <v>534</v>
      </c>
      <c r="X58" s="91"/>
    </row>
    <row r="59" spans="2:24">
      <c r="I59" s="97">
        <v>12</v>
      </c>
      <c r="J59" s="97">
        <v>65.212036069999996</v>
      </c>
      <c r="K59" s="98">
        <v>0.65212036070000001</v>
      </c>
      <c r="W59" s="91" t="s">
        <v>535</v>
      </c>
      <c r="X59" s="91"/>
    </row>
    <row r="60" spans="2:24">
      <c r="I60" s="97">
        <v>13</v>
      </c>
      <c r="J60" s="97">
        <v>62.929614809999997</v>
      </c>
      <c r="K60" s="98">
        <v>0.62929614810000001</v>
      </c>
      <c r="W60" s="91" t="s">
        <v>536</v>
      </c>
      <c r="X60" s="91"/>
    </row>
    <row r="61" spans="2:24">
      <c r="I61" s="97">
        <v>14</v>
      </c>
      <c r="J61" s="97">
        <v>60.727078290000001</v>
      </c>
      <c r="K61" s="98">
        <v>0.60727078290000003</v>
      </c>
      <c r="W61" s="91" t="s">
        <v>537</v>
      </c>
      <c r="X61" s="91"/>
    </row>
    <row r="62" spans="2:24">
      <c r="I62" s="97">
        <v>15</v>
      </c>
      <c r="J62" s="97">
        <v>58.601630550000003</v>
      </c>
      <c r="K62" s="98">
        <v>0.58601630549999995</v>
      </c>
      <c r="W62" s="91" t="s">
        <v>538</v>
      </c>
      <c r="X62" s="91"/>
    </row>
    <row r="63" spans="2:24">
      <c r="I63" s="97">
        <v>16</v>
      </c>
      <c r="J63" s="97">
        <v>56.550573479999997</v>
      </c>
      <c r="K63" s="98">
        <v>0.56550573479999999</v>
      </c>
      <c r="W63" s="91" t="s">
        <v>539</v>
      </c>
      <c r="X63" s="91"/>
    </row>
    <row r="64" spans="2:24">
      <c r="I64" s="97">
        <v>17</v>
      </c>
      <c r="J64" s="97">
        <v>54.571303409999999</v>
      </c>
      <c r="K64" s="98">
        <v>0.54571303410000005</v>
      </c>
      <c r="W64" s="91" t="s">
        <v>540</v>
      </c>
      <c r="X64" s="91"/>
    </row>
    <row r="65" spans="9:24">
      <c r="I65" s="97">
        <v>18</v>
      </c>
      <c r="J65" s="97">
        <v>52.661307790000002</v>
      </c>
      <c r="K65" s="98">
        <v>0.5266130779</v>
      </c>
      <c r="W65" s="91" t="s">
        <v>541</v>
      </c>
      <c r="X65" s="91"/>
    </row>
    <row r="66" spans="9:24">
      <c r="I66" s="97">
        <v>19</v>
      </c>
      <c r="J66" s="97">
        <v>50.818162020000003</v>
      </c>
      <c r="K66" s="98">
        <v>0.50818162020000002</v>
      </c>
      <c r="W66" s="91" t="s">
        <v>542</v>
      </c>
      <c r="X66" s="91"/>
    </row>
    <row r="67" spans="9:24">
      <c r="I67" s="97">
        <v>20</v>
      </c>
      <c r="J67" s="97">
        <v>49.039526350000003</v>
      </c>
      <c r="K67" s="98">
        <v>0.49039526350000001</v>
      </c>
      <c r="W67" s="91" t="s">
        <v>543</v>
      </c>
      <c r="X67" s="91"/>
    </row>
    <row r="68" spans="9:24">
      <c r="I68" s="97">
        <v>21</v>
      </c>
      <c r="J68" s="97">
        <v>47.323142930000003</v>
      </c>
      <c r="K68" s="98">
        <v>0.47323142930000001</v>
      </c>
      <c r="W68" s="91" t="s">
        <v>544</v>
      </c>
      <c r="X68" s="91"/>
    </row>
    <row r="69" spans="9:24">
      <c r="I69" s="97">
        <v>22</v>
      </c>
      <c r="J69" s="97">
        <v>45.666832919999997</v>
      </c>
      <c r="K69" s="98">
        <v>0.4566683292</v>
      </c>
      <c r="W69" s="91" t="s">
        <v>545</v>
      </c>
      <c r="X69" s="91"/>
    </row>
    <row r="70" spans="9:24">
      <c r="I70" s="97">
        <v>23</v>
      </c>
      <c r="J70" s="97">
        <v>44.068493770000003</v>
      </c>
      <c r="K70" s="98">
        <v>0.4406849377</v>
      </c>
      <c r="W70" s="91" t="s">
        <v>546</v>
      </c>
      <c r="X70" s="91"/>
    </row>
    <row r="71" spans="9:24">
      <c r="I71" s="97">
        <v>24</v>
      </c>
      <c r="J71" s="97">
        <v>42.52609649</v>
      </c>
      <c r="K71" s="98">
        <v>0.42526096489999998</v>
      </c>
      <c r="W71" s="91" t="s">
        <v>547</v>
      </c>
      <c r="X71" s="91"/>
    </row>
    <row r="72" spans="9:24">
      <c r="I72" s="97">
        <v>25</v>
      </c>
      <c r="J72" s="97">
        <v>41.037683110000003</v>
      </c>
      <c r="K72" s="98">
        <v>0.41037683110000001</v>
      </c>
      <c r="W72" s="91" t="s">
        <v>548</v>
      </c>
      <c r="X72" s="91"/>
    </row>
    <row r="73" spans="9:24">
      <c r="I73" s="97">
        <v>26</v>
      </c>
      <c r="J73" s="97">
        <v>39.601364199999999</v>
      </c>
      <c r="K73" s="98">
        <v>0.396013642</v>
      </c>
      <c r="W73" s="91" t="s">
        <v>549</v>
      </c>
      <c r="X73" s="91"/>
    </row>
    <row r="74" spans="9:24">
      <c r="I74" s="97">
        <v>27</v>
      </c>
      <c r="J74" s="97">
        <v>38.215316459999997</v>
      </c>
      <c r="K74" s="98">
        <v>0.38215316459999998</v>
      </c>
      <c r="W74" s="91" t="s">
        <v>550</v>
      </c>
      <c r="X74" s="91"/>
    </row>
    <row r="75" spans="9:24">
      <c r="I75" s="97">
        <v>28</v>
      </c>
      <c r="J75" s="97">
        <v>36.877780379999997</v>
      </c>
      <c r="K75" s="98">
        <v>0.36877780380000003</v>
      </c>
      <c r="W75" s="91" t="s">
        <v>551</v>
      </c>
      <c r="X75" s="91"/>
    </row>
    <row r="76" spans="9:24">
      <c r="I76" s="97">
        <v>29</v>
      </c>
      <c r="J76" s="97">
        <v>35.587058069999998</v>
      </c>
      <c r="K76" s="98">
        <v>0.35587058069999999</v>
      </c>
      <c r="W76" s="91" t="s">
        <v>552</v>
      </c>
      <c r="X76" s="91"/>
    </row>
    <row r="77" spans="9:24">
      <c r="I77" s="97">
        <v>30</v>
      </c>
      <c r="J77" s="97">
        <v>34.34151104</v>
      </c>
      <c r="K77" s="98">
        <v>0.3434151104</v>
      </c>
      <c r="W77" s="91" t="s">
        <v>553</v>
      </c>
      <c r="X77" s="91"/>
    </row>
    <row r="78" spans="9:24">
      <c r="I78" s="97">
        <v>31</v>
      </c>
      <c r="J78" s="97">
        <v>33.139558149999999</v>
      </c>
      <c r="K78" s="98">
        <v>0.33139558149999998</v>
      </c>
      <c r="W78" s="91" t="s">
        <v>554</v>
      </c>
      <c r="X78" s="91"/>
    </row>
    <row r="79" spans="9:24">
      <c r="I79" s="97" t="s">
        <v>436</v>
      </c>
      <c r="J79" s="93">
        <v>31.979673609999999</v>
      </c>
      <c r="K79" s="98">
        <v>0.31979673609999998</v>
      </c>
      <c r="W79" s="91" t="s">
        <v>555</v>
      </c>
      <c r="X79" s="91"/>
    </row>
    <row r="80" spans="9:24">
      <c r="I80" s="84" t="s">
        <v>419</v>
      </c>
      <c r="J80" s="84" t="s">
        <v>399</v>
      </c>
      <c r="K80" s="84" t="s">
        <v>399</v>
      </c>
      <c r="W80" s="91" t="s">
        <v>556</v>
      </c>
      <c r="X80" s="91"/>
    </row>
    <row r="81" spans="23:24">
      <c r="W81" s="91" t="s">
        <v>557</v>
      </c>
      <c r="X81" s="91"/>
    </row>
    <row r="82" spans="23:24">
      <c r="W82" s="91" t="s">
        <v>558</v>
      </c>
      <c r="X82" s="91"/>
    </row>
    <row r="83" spans="23:24">
      <c r="W83" s="91" t="s">
        <v>559</v>
      </c>
      <c r="X83" s="91"/>
    </row>
    <row r="84" spans="23:24">
      <c r="W84" s="91" t="s">
        <v>560</v>
      </c>
      <c r="X84" s="91"/>
    </row>
    <row r="85" spans="23:24">
      <c r="W85" s="91" t="s">
        <v>561</v>
      </c>
      <c r="X85" s="91"/>
    </row>
    <row r="86" spans="23:24">
      <c r="W86" s="91" t="s">
        <v>562</v>
      </c>
      <c r="X86" s="91"/>
    </row>
    <row r="87" spans="23:24">
      <c r="W87" s="91" t="s">
        <v>563</v>
      </c>
      <c r="X87" s="91"/>
    </row>
    <row r="88" spans="23:24">
      <c r="W88" s="91" t="s">
        <v>564</v>
      </c>
      <c r="X88" s="91"/>
    </row>
    <row r="89" spans="23:24">
      <c r="W89" s="91" t="s">
        <v>565</v>
      </c>
      <c r="X89" s="91"/>
    </row>
    <row r="90" spans="23:24">
      <c r="W90" s="91" t="s">
        <v>566</v>
      </c>
      <c r="X90" s="91"/>
    </row>
    <row r="91" spans="23:24">
      <c r="W91" s="91" t="s">
        <v>567</v>
      </c>
      <c r="X91" s="91"/>
    </row>
    <row r="92" spans="23:24">
      <c r="W92" s="91" t="s">
        <v>568</v>
      </c>
      <c r="X92" s="91"/>
    </row>
    <row r="93" spans="23:24">
      <c r="W93" s="91" t="s">
        <v>569</v>
      </c>
      <c r="X93" s="91"/>
    </row>
    <row r="94" spans="23:24">
      <c r="W94" s="91" t="s">
        <v>570</v>
      </c>
      <c r="X94" s="91"/>
    </row>
    <row r="95" spans="23:24">
      <c r="W95" s="91" t="s">
        <v>571</v>
      </c>
      <c r="X95" s="91"/>
    </row>
    <row r="96" spans="23:24">
      <c r="W96" s="91" t="s">
        <v>572</v>
      </c>
      <c r="X96" s="91"/>
    </row>
    <row r="97" spans="23:24">
      <c r="W97" s="91" t="s">
        <v>573</v>
      </c>
      <c r="X97" s="91"/>
    </row>
    <row r="98" spans="23:24">
      <c r="W98" s="91" t="s">
        <v>574</v>
      </c>
      <c r="X98" s="91"/>
    </row>
    <row r="99" spans="23:24">
      <c r="W99" s="91" t="s">
        <v>575</v>
      </c>
      <c r="X99" s="91"/>
    </row>
    <row r="100" spans="23:24">
      <c r="W100" s="91" t="s">
        <v>576</v>
      </c>
      <c r="X100" s="91"/>
    </row>
    <row r="101" spans="23:24">
      <c r="W101" s="91" t="s">
        <v>577</v>
      </c>
      <c r="X101" s="91"/>
    </row>
    <row r="102" spans="23:24">
      <c r="W102" s="91" t="s">
        <v>578</v>
      </c>
      <c r="X102" s="91"/>
    </row>
    <row r="103" spans="23:24">
      <c r="W103" s="91" t="s">
        <v>579</v>
      </c>
      <c r="X103" s="91"/>
    </row>
    <row r="104" spans="23:24">
      <c r="W104" s="91" t="s">
        <v>580</v>
      </c>
      <c r="X104" s="91"/>
    </row>
    <row r="105" spans="23:24">
      <c r="W105" s="91" t="s">
        <v>581</v>
      </c>
      <c r="X105" s="91"/>
    </row>
    <row r="106" spans="23:24">
      <c r="W106" s="91" t="s">
        <v>582</v>
      </c>
      <c r="X106" s="91"/>
    </row>
    <row r="107" spans="23:24">
      <c r="W107" s="91" t="s">
        <v>583</v>
      </c>
      <c r="X107" s="91"/>
    </row>
    <row r="108" spans="23:24">
      <c r="W108" s="91" t="s">
        <v>584</v>
      </c>
      <c r="X108" s="91"/>
    </row>
    <row r="109" spans="23:24">
      <c r="W109" s="91" t="s">
        <v>585</v>
      </c>
      <c r="X109" s="91"/>
    </row>
    <row r="110" spans="23:24">
      <c r="W110" s="91" t="s">
        <v>586</v>
      </c>
      <c r="X110" s="91"/>
    </row>
    <row r="111" spans="23:24">
      <c r="W111" s="91" t="s">
        <v>587</v>
      </c>
      <c r="X111" s="91"/>
    </row>
    <row r="112" spans="23:24">
      <c r="W112" s="91" t="s">
        <v>588</v>
      </c>
      <c r="X112" s="91"/>
    </row>
    <row r="113" spans="23:24">
      <c r="W113" s="91" t="s">
        <v>589</v>
      </c>
      <c r="X113" s="91"/>
    </row>
    <row r="114" spans="23:24">
      <c r="W114" s="91" t="s">
        <v>590</v>
      </c>
      <c r="X114" s="91"/>
    </row>
    <row r="115" spans="23:24">
      <c r="W115" s="91" t="s">
        <v>591</v>
      </c>
      <c r="X115" s="91"/>
    </row>
    <row r="116" spans="23:24">
      <c r="W116" s="91" t="s">
        <v>592</v>
      </c>
      <c r="X116" s="91"/>
    </row>
    <row r="117" spans="23:24">
      <c r="W117" s="91" t="s">
        <v>593</v>
      </c>
      <c r="X117" s="91"/>
    </row>
    <row r="118" spans="23:24">
      <c r="W118" s="91" t="s">
        <v>594</v>
      </c>
      <c r="X118" s="91"/>
    </row>
    <row r="119" spans="23:24">
      <c r="W119" s="91" t="s">
        <v>595</v>
      </c>
      <c r="X119" s="91"/>
    </row>
    <row r="120" spans="23:24">
      <c r="W120" s="91" t="s">
        <v>596</v>
      </c>
      <c r="X120" s="91"/>
    </row>
    <row r="121" spans="23:24">
      <c r="W121" s="91" t="s">
        <v>597</v>
      </c>
      <c r="X121" s="91"/>
    </row>
    <row r="122" spans="23:24">
      <c r="W122" s="91" t="s">
        <v>598</v>
      </c>
      <c r="X122" s="91"/>
    </row>
    <row r="123" spans="23:24">
      <c r="W123" s="91" t="s">
        <v>599</v>
      </c>
      <c r="X123" s="91"/>
    </row>
    <row r="124" spans="23:24">
      <c r="W124" s="91" t="s">
        <v>600</v>
      </c>
      <c r="X124" s="91"/>
    </row>
    <row r="125" spans="23:24">
      <c r="W125" s="91" t="s">
        <v>601</v>
      </c>
      <c r="X125" s="91"/>
    </row>
    <row r="126" spans="23:24">
      <c r="W126" s="91" t="s">
        <v>602</v>
      </c>
      <c r="X126" s="91"/>
    </row>
    <row r="127" spans="23:24">
      <c r="W127" s="91" t="s">
        <v>603</v>
      </c>
      <c r="X127" s="91"/>
    </row>
    <row r="128" spans="23:24">
      <c r="W128" s="91" t="s">
        <v>604</v>
      </c>
      <c r="X128" s="91"/>
    </row>
    <row r="129" spans="23:24">
      <c r="W129" s="91" t="s">
        <v>605</v>
      </c>
      <c r="X129" s="91"/>
    </row>
    <row r="130" spans="23:24">
      <c r="W130" s="91" t="s">
        <v>606</v>
      </c>
      <c r="X130" s="91"/>
    </row>
    <row r="131" spans="23:24">
      <c r="W131" s="91" t="s">
        <v>607</v>
      </c>
      <c r="X131" s="91"/>
    </row>
    <row r="132" spans="23:24">
      <c r="W132" s="91" t="s">
        <v>608</v>
      </c>
      <c r="X132" s="91"/>
    </row>
    <row r="133" spans="23:24">
      <c r="W133" s="91" t="s">
        <v>609</v>
      </c>
      <c r="X133" s="91"/>
    </row>
    <row r="134" spans="23:24">
      <c r="W134" s="91" t="s">
        <v>610</v>
      </c>
      <c r="X134" s="91"/>
    </row>
    <row r="135" spans="23:24">
      <c r="W135" s="91" t="s">
        <v>611</v>
      </c>
      <c r="X135" s="91"/>
    </row>
    <row r="136" spans="23:24">
      <c r="W136" s="91" t="s">
        <v>612</v>
      </c>
      <c r="X136" s="91"/>
    </row>
    <row r="137" spans="23:24">
      <c r="W137" s="91" t="s">
        <v>613</v>
      </c>
      <c r="X137" s="91"/>
    </row>
    <row r="138" spans="23:24">
      <c r="W138" s="91" t="s">
        <v>614</v>
      </c>
      <c r="X138" s="91"/>
    </row>
    <row r="139" spans="23:24">
      <c r="W139" s="91" t="s">
        <v>615</v>
      </c>
      <c r="X139" s="91"/>
    </row>
    <row r="140" spans="23:24">
      <c r="W140" s="91" t="s">
        <v>616</v>
      </c>
      <c r="X140" s="91"/>
    </row>
    <row r="141" spans="23:24">
      <c r="W141" s="91" t="s">
        <v>617</v>
      </c>
      <c r="X141" s="91"/>
    </row>
    <row r="142" spans="23:24">
      <c r="W142" s="91" t="s">
        <v>618</v>
      </c>
      <c r="X142" s="91"/>
    </row>
    <row r="143" spans="23:24">
      <c r="W143" s="91" t="s">
        <v>619</v>
      </c>
      <c r="X143" s="91"/>
    </row>
    <row r="144" spans="23:24">
      <c r="W144" s="91" t="s">
        <v>620</v>
      </c>
      <c r="X144" s="91"/>
    </row>
    <row r="145" spans="23:24">
      <c r="W145" s="91" t="s">
        <v>621</v>
      </c>
      <c r="X145" s="91"/>
    </row>
    <row r="146" spans="23:24">
      <c r="W146" s="91" t="s">
        <v>622</v>
      </c>
      <c r="X146" s="91"/>
    </row>
    <row r="147" spans="23:24">
      <c r="W147" s="91" t="s">
        <v>623</v>
      </c>
      <c r="X147" s="91"/>
    </row>
    <row r="148" spans="23:24">
      <c r="W148" s="91" t="s">
        <v>624</v>
      </c>
      <c r="X148" s="91"/>
    </row>
    <row r="149" spans="23:24">
      <c r="W149" s="91" t="s">
        <v>625</v>
      </c>
      <c r="X149" s="91"/>
    </row>
    <row r="150" spans="23:24">
      <c r="W150" s="91" t="s">
        <v>626</v>
      </c>
      <c r="X150" s="91"/>
    </row>
    <row r="151" spans="23:24">
      <c r="W151" s="91" t="s">
        <v>627</v>
      </c>
      <c r="X151" s="91"/>
    </row>
    <row r="152" spans="23:24">
      <c r="W152" s="91" t="s">
        <v>628</v>
      </c>
      <c r="X152" s="91"/>
    </row>
    <row r="153" spans="23:24">
      <c r="W153" s="91" t="s">
        <v>629</v>
      </c>
      <c r="X153" s="91"/>
    </row>
    <row r="154" spans="23:24">
      <c r="W154" s="91" t="s">
        <v>630</v>
      </c>
      <c r="X154" s="91"/>
    </row>
    <row r="155" spans="23:24">
      <c r="W155" s="91" t="s">
        <v>631</v>
      </c>
      <c r="X155" s="91"/>
    </row>
    <row r="156" spans="23:24">
      <c r="W156" s="91" t="s">
        <v>632</v>
      </c>
      <c r="X156" s="91"/>
    </row>
    <row r="157" spans="23:24">
      <c r="W157" s="91" t="s">
        <v>633</v>
      </c>
      <c r="X157" s="91"/>
    </row>
    <row r="158" spans="23:24">
      <c r="W158" s="91" t="s">
        <v>634</v>
      </c>
      <c r="X158" s="91"/>
    </row>
    <row r="159" spans="23:24">
      <c r="W159" s="91" t="s">
        <v>635</v>
      </c>
      <c r="X159" s="91"/>
    </row>
    <row r="160" spans="23:24">
      <c r="W160" s="91" t="s">
        <v>636</v>
      </c>
      <c r="X160" s="91"/>
    </row>
    <row r="161" spans="23:24">
      <c r="W161" s="91" t="s">
        <v>637</v>
      </c>
      <c r="X161" s="91"/>
    </row>
    <row r="162" spans="23:24">
      <c r="W162" s="91" t="s">
        <v>638</v>
      </c>
      <c r="X162" s="91"/>
    </row>
    <row r="163" spans="23:24">
      <c r="W163" s="91" t="s">
        <v>639</v>
      </c>
      <c r="X163" s="91"/>
    </row>
    <row r="164" spans="23:24">
      <c r="W164" s="91" t="s">
        <v>640</v>
      </c>
      <c r="X164" s="91"/>
    </row>
    <row r="165" spans="23:24">
      <c r="W165" s="91" t="s">
        <v>641</v>
      </c>
      <c r="X165" s="91"/>
    </row>
    <row r="166" spans="23:24">
      <c r="W166" s="91" t="s">
        <v>642</v>
      </c>
      <c r="X166" s="91"/>
    </row>
    <row r="167" spans="23:24">
      <c r="W167" s="91" t="s">
        <v>643</v>
      </c>
      <c r="X167" s="91"/>
    </row>
    <row r="168" spans="23:24">
      <c r="W168" s="91" t="s">
        <v>644</v>
      </c>
      <c r="X168" s="91"/>
    </row>
    <row r="169" spans="23:24">
      <c r="W169" s="91" t="s">
        <v>645</v>
      </c>
      <c r="X169" s="91"/>
    </row>
    <row r="170" spans="23:24">
      <c r="W170" s="91" t="s">
        <v>646</v>
      </c>
      <c r="X170" s="91"/>
    </row>
    <row r="171" spans="23:24">
      <c r="W171" s="91" t="s">
        <v>647</v>
      </c>
      <c r="X171" s="91"/>
    </row>
    <row r="172" spans="23:24">
      <c r="W172" s="91" t="s">
        <v>648</v>
      </c>
      <c r="X172" s="91"/>
    </row>
    <row r="173" spans="23:24">
      <c r="W173" s="91" t="s">
        <v>649</v>
      </c>
      <c r="X173" s="91"/>
    </row>
    <row r="174" spans="23:24">
      <c r="W174" s="91" t="s">
        <v>650</v>
      </c>
      <c r="X174" s="91"/>
    </row>
    <row r="175" spans="23:24">
      <c r="W175" s="91" t="s">
        <v>651</v>
      </c>
      <c r="X175" s="91"/>
    </row>
    <row r="176" spans="23:24">
      <c r="W176" s="91" t="s">
        <v>652</v>
      </c>
      <c r="X176" s="91"/>
    </row>
    <row r="177" spans="23:24">
      <c r="W177" s="91" t="s">
        <v>653</v>
      </c>
      <c r="X177" s="91"/>
    </row>
    <row r="178" spans="23:24">
      <c r="W178" s="91" t="s">
        <v>654</v>
      </c>
      <c r="X178" s="91"/>
    </row>
    <row r="179" spans="23:24">
      <c r="W179" s="91" t="s">
        <v>655</v>
      </c>
      <c r="X179" s="91"/>
    </row>
    <row r="180" spans="23:24">
      <c r="W180" s="91" t="s">
        <v>656</v>
      </c>
      <c r="X180" s="91"/>
    </row>
    <row r="181" spans="23:24">
      <c r="W181" s="91" t="s">
        <v>657</v>
      </c>
      <c r="X181" s="91"/>
    </row>
    <row r="182" spans="23:24">
      <c r="W182" s="91" t="s">
        <v>658</v>
      </c>
      <c r="X182" s="91"/>
    </row>
    <row r="183" spans="23:24">
      <c r="W183" s="91" t="s">
        <v>659</v>
      </c>
      <c r="X183" s="91"/>
    </row>
    <row r="184" spans="23:24">
      <c r="W184" s="91" t="s">
        <v>660</v>
      </c>
      <c r="X184" s="91"/>
    </row>
    <row r="185" spans="23:24">
      <c r="W185" s="91" t="s">
        <v>661</v>
      </c>
      <c r="X185" s="91"/>
    </row>
    <row r="186" spans="23:24">
      <c r="W186" s="91" t="s">
        <v>662</v>
      </c>
      <c r="X186" s="91"/>
    </row>
    <row r="187" spans="23:24">
      <c r="W187" s="91" t="s">
        <v>663</v>
      </c>
      <c r="X187" s="91"/>
    </row>
    <row r="188" spans="23:24">
      <c r="W188" s="91" t="s">
        <v>664</v>
      </c>
      <c r="X188" s="91"/>
    </row>
    <row r="189" spans="23:24">
      <c r="W189" s="91" t="s">
        <v>665</v>
      </c>
      <c r="X189" s="91"/>
    </row>
    <row r="190" spans="23:24">
      <c r="W190" s="91" t="s">
        <v>666</v>
      </c>
      <c r="X190" s="91"/>
    </row>
    <row r="191" spans="23:24">
      <c r="W191" s="91" t="s">
        <v>667</v>
      </c>
      <c r="X191" s="91"/>
    </row>
    <row r="192" spans="23:24">
      <c r="W192" s="91" t="s">
        <v>668</v>
      </c>
      <c r="X192" s="91"/>
    </row>
    <row r="193" spans="23:24">
      <c r="W193" s="91" t="s">
        <v>669</v>
      </c>
      <c r="X193" s="91"/>
    </row>
    <row r="194" spans="23:24">
      <c r="W194" s="91" t="s">
        <v>670</v>
      </c>
      <c r="X194" s="91"/>
    </row>
    <row r="195" spans="23:24">
      <c r="W195" s="91" t="s">
        <v>671</v>
      </c>
      <c r="X195" s="91"/>
    </row>
    <row r="196" spans="23:24">
      <c r="W196" s="91" t="s">
        <v>672</v>
      </c>
      <c r="X196" s="91"/>
    </row>
    <row r="197" spans="23:24">
      <c r="W197" s="91" t="s">
        <v>673</v>
      </c>
      <c r="X197" s="91"/>
    </row>
    <row r="198" spans="23:24">
      <c r="W198" s="91" t="s">
        <v>674</v>
      </c>
      <c r="X198" s="91"/>
    </row>
    <row r="199" spans="23:24">
      <c r="W199" s="91" t="s">
        <v>675</v>
      </c>
      <c r="X199" s="91"/>
    </row>
    <row r="200" spans="23:24">
      <c r="W200" s="91" t="s">
        <v>676</v>
      </c>
      <c r="X200" s="91"/>
    </row>
    <row r="201" spans="23:24">
      <c r="W201" s="91" t="s">
        <v>677</v>
      </c>
      <c r="X201" s="91"/>
    </row>
    <row r="202" spans="23:24">
      <c r="W202" s="91" t="s">
        <v>678</v>
      </c>
      <c r="X202" s="91"/>
    </row>
    <row r="203" spans="23:24">
      <c r="W203" s="91" t="s">
        <v>679</v>
      </c>
      <c r="X203" s="91"/>
    </row>
    <row r="204" spans="23:24">
      <c r="W204" s="91" t="s">
        <v>680</v>
      </c>
      <c r="X204" s="91"/>
    </row>
    <row r="205" spans="23:24">
      <c r="W205" s="91" t="s">
        <v>681</v>
      </c>
      <c r="X205" s="91"/>
    </row>
    <row r="206" spans="23:24">
      <c r="W206" s="91" t="s">
        <v>682</v>
      </c>
      <c r="X206" s="91"/>
    </row>
    <row r="207" spans="23:24">
      <c r="W207" s="91" t="s">
        <v>683</v>
      </c>
      <c r="X207" s="91"/>
    </row>
    <row r="208" spans="23:24">
      <c r="W208" s="91" t="s">
        <v>684</v>
      </c>
      <c r="X208" s="91"/>
    </row>
    <row r="209" spans="23:24">
      <c r="W209" s="91" t="s">
        <v>685</v>
      </c>
      <c r="X209" s="91"/>
    </row>
    <row r="210" spans="23:24">
      <c r="W210" s="91" t="s">
        <v>686</v>
      </c>
      <c r="X210" s="91"/>
    </row>
    <row r="211" spans="23:24">
      <c r="W211" s="91" t="s">
        <v>687</v>
      </c>
      <c r="X211" s="91"/>
    </row>
    <row r="212" spans="23:24">
      <c r="W212" s="91" t="s">
        <v>688</v>
      </c>
      <c r="X212" s="91"/>
    </row>
    <row r="213" spans="23:24">
      <c r="W213" s="91" t="s">
        <v>689</v>
      </c>
      <c r="X213" s="91"/>
    </row>
    <row r="214" spans="23:24">
      <c r="W214" s="91" t="s">
        <v>690</v>
      </c>
      <c r="X214" s="91"/>
    </row>
    <row r="215" spans="23:24">
      <c r="W215" s="91" t="s">
        <v>691</v>
      </c>
      <c r="X215" s="91"/>
    </row>
    <row r="216" spans="23:24">
      <c r="W216" s="91" t="s">
        <v>692</v>
      </c>
      <c r="X216" s="91"/>
    </row>
    <row r="217" spans="23:24">
      <c r="W217" s="91" t="s">
        <v>693</v>
      </c>
      <c r="X217" s="91"/>
    </row>
    <row r="218" spans="23:24">
      <c r="W218" s="91" t="s">
        <v>694</v>
      </c>
      <c r="X218" s="91"/>
    </row>
    <row r="219" spans="23:24">
      <c r="W219" s="91" t="s">
        <v>695</v>
      </c>
      <c r="X219" s="91"/>
    </row>
    <row r="220" spans="23:24">
      <c r="W220" s="91" t="s">
        <v>696</v>
      </c>
      <c r="X220" s="91"/>
    </row>
    <row r="221" spans="23:24">
      <c r="W221" s="91" t="s">
        <v>697</v>
      </c>
      <c r="X221" s="91"/>
    </row>
    <row r="222" spans="23:24">
      <c r="W222" s="91" t="s">
        <v>698</v>
      </c>
      <c r="X222" s="91"/>
    </row>
    <row r="223" spans="23:24">
      <c r="W223" s="91" t="s">
        <v>699</v>
      </c>
      <c r="X223" s="91"/>
    </row>
    <row r="224" spans="23:24">
      <c r="W224" s="91" t="s">
        <v>700</v>
      </c>
      <c r="X224" s="91"/>
    </row>
    <row r="225" spans="23:24">
      <c r="W225" s="91" t="s">
        <v>701</v>
      </c>
      <c r="X225" s="91"/>
    </row>
    <row r="226" spans="23:24">
      <c r="W226" s="91" t="s">
        <v>702</v>
      </c>
      <c r="X226" s="91"/>
    </row>
    <row r="227" spans="23:24">
      <c r="W227" s="91" t="s">
        <v>703</v>
      </c>
      <c r="X227" s="91"/>
    </row>
    <row r="228" spans="23:24">
      <c r="W228" s="91" t="s">
        <v>704</v>
      </c>
      <c r="X228" s="91"/>
    </row>
    <row r="229" spans="23:24">
      <c r="W229" s="91" t="s">
        <v>705</v>
      </c>
      <c r="X229" s="91"/>
    </row>
    <row r="230" spans="23:24">
      <c r="W230" s="91" t="s">
        <v>706</v>
      </c>
      <c r="X230" s="91"/>
    </row>
    <row r="231" spans="23:24">
      <c r="W231" s="91" t="s">
        <v>707</v>
      </c>
      <c r="X231" s="91"/>
    </row>
    <row r="232" spans="23:24">
      <c r="W232" s="91" t="s">
        <v>708</v>
      </c>
      <c r="X232" s="91"/>
    </row>
    <row r="233" spans="23:24">
      <c r="W233" s="91" t="s">
        <v>709</v>
      </c>
      <c r="X233" s="91"/>
    </row>
    <row r="234" spans="23:24">
      <c r="W234" s="91" t="s">
        <v>710</v>
      </c>
      <c r="X234" s="91"/>
    </row>
    <row r="235" spans="23:24">
      <c r="W235" s="91" t="s">
        <v>711</v>
      </c>
      <c r="X235" s="91"/>
    </row>
    <row r="236" spans="23:24">
      <c r="W236" s="91" t="s">
        <v>712</v>
      </c>
      <c r="X236" s="91"/>
    </row>
    <row r="237" spans="23:24">
      <c r="W237" s="91" t="s">
        <v>713</v>
      </c>
      <c r="X237" s="91"/>
    </row>
    <row r="238" spans="23:24">
      <c r="W238" s="91" t="s">
        <v>714</v>
      </c>
      <c r="X238" s="91"/>
    </row>
    <row r="239" spans="23:24">
      <c r="W239" s="91" t="s">
        <v>715</v>
      </c>
      <c r="X239" s="91"/>
    </row>
    <row r="240" spans="23:24">
      <c r="W240" s="91" t="s">
        <v>716</v>
      </c>
      <c r="X240" s="91"/>
    </row>
    <row r="241" spans="23:24">
      <c r="W241" s="91" t="s">
        <v>717</v>
      </c>
      <c r="X241" s="91"/>
    </row>
    <row r="242" spans="23:24">
      <c r="W242" s="91" t="s">
        <v>718</v>
      </c>
      <c r="X242" s="91"/>
    </row>
    <row r="243" spans="23:24">
      <c r="W243" s="91" t="s">
        <v>719</v>
      </c>
      <c r="X243" s="91"/>
    </row>
    <row r="244" spans="23:24">
      <c r="W244" s="91" t="s">
        <v>720</v>
      </c>
      <c r="X244" s="91"/>
    </row>
    <row r="245" spans="23:24">
      <c r="W245" s="91" t="s">
        <v>721</v>
      </c>
      <c r="X245" s="91"/>
    </row>
    <row r="246" spans="23:24">
      <c r="W246" s="91" t="s">
        <v>722</v>
      </c>
      <c r="X246" s="91"/>
    </row>
    <row r="247" spans="23:24">
      <c r="W247" s="91" t="s">
        <v>723</v>
      </c>
      <c r="X247" s="91"/>
    </row>
    <row r="248" spans="23:24">
      <c r="W248" s="91" t="s">
        <v>724</v>
      </c>
      <c r="X248" s="91"/>
    </row>
    <row r="249" spans="23:24">
      <c r="W249" s="91" t="s">
        <v>725</v>
      </c>
      <c r="X249" s="91"/>
    </row>
    <row r="250" spans="23:24">
      <c r="W250" s="91" t="s">
        <v>726</v>
      </c>
      <c r="X250" s="91"/>
    </row>
    <row r="251" spans="23:24">
      <c r="W251" s="91" t="s">
        <v>727</v>
      </c>
      <c r="X251" s="91"/>
    </row>
    <row r="252" spans="23:24">
      <c r="W252" s="91" t="s">
        <v>728</v>
      </c>
      <c r="X252" s="91"/>
    </row>
    <row r="253" spans="23:24">
      <c r="W253" s="91" t="s">
        <v>729</v>
      </c>
      <c r="X253" s="91"/>
    </row>
    <row r="254" spans="23:24">
      <c r="W254" s="91" t="s">
        <v>730</v>
      </c>
      <c r="X254" s="91"/>
    </row>
    <row r="255" spans="23:24">
      <c r="W255" s="91" t="s">
        <v>731</v>
      </c>
      <c r="X255" s="91"/>
    </row>
    <row r="256" spans="23:24">
      <c r="W256" s="91" t="s">
        <v>732</v>
      </c>
      <c r="X256" s="91"/>
    </row>
    <row r="257" spans="23:24">
      <c r="W257" s="91" t="s">
        <v>733</v>
      </c>
      <c r="X257" s="91"/>
    </row>
    <row r="258" spans="23:24">
      <c r="W258" s="91" t="s">
        <v>734</v>
      </c>
      <c r="X258" s="91"/>
    </row>
    <row r="259" spans="23:24">
      <c r="W259" s="91" t="s">
        <v>735</v>
      </c>
      <c r="X259" s="91"/>
    </row>
    <row r="260" spans="23:24">
      <c r="W260" s="91" t="s">
        <v>736</v>
      </c>
      <c r="X260" s="91"/>
    </row>
    <row r="261" spans="23:24">
      <c r="W261" s="91" t="s">
        <v>737</v>
      </c>
      <c r="X261" s="91"/>
    </row>
    <row r="262" spans="23:24">
      <c r="W262" s="91" t="s">
        <v>738</v>
      </c>
      <c r="X262" s="91"/>
    </row>
    <row r="263" spans="23:24">
      <c r="W263" s="91" t="s">
        <v>739</v>
      </c>
      <c r="X263" s="91"/>
    </row>
    <row r="264" spans="23:24">
      <c r="W264" s="91" t="s">
        <v>740</v>
      </c>
      <c r="X264" s="91"/>
    </row>
    <row r="265" spans="23:24">
      <c r="W265" s="91" t="s">
        <v>741</v>
      </c>
      <c r="X265" s="91"/>
    </row>
    <row r="266" spans="23:24">
      <c r="W266" s="91" t="s">
        <v>742</v>
      </c>
      <c r="X266" s="91"/>
    </row>
    <row r="267" spans="23:24">
      <c r="W267" s="91" t="s">
        <v>743</v>
      </c>
      <c r="X267" s="91"/>
    </row>
    <row r="268" spans="23:24">
      <c r="W268" s="91" t="s">
        <v>744</v>
      </c>
      <c r="X268" s="91"/>
    </row>
    <row r="269" spans="23:24">
      <c r="W269" s="91" t="s">
        <v>745</v>
      </c>
      <c r="X269" s="91"/>
    </row>
    <row r="270" spans="23:24">
      <c r="W270" s="91" t="s">
        <v>746</v>
      </c>
      <c r="X270" s="91"/>
    </row>
    <row r="271" spans="23:24">
      <c r="W271" s="91" t="s">
        <v>747</v>
      </c>
      <c r="X271" s="91"/>
    </row>
    <row r="272" spans="23:24">
      <c r="W272" s="91" t="s">
        <v>748</v>
      </c>
      <c r="X272" s="91"/>
    </row>
    <row r="273" spans="23:24">
      <c r="W273" s="91" t="s">
        <v>749</v>
      </c>
      <c r="X273" s="91"/>
    </row>
    <row r="274" spans="23:24">
      <c r="W274" s="91" t="s">
        <v>750</v>
      </c>
      <c r="X274" s="91"/>
    </row>
    <row r="275" spans="23:24">
      <c r="W275" s="91" t="s">
        <v>751</v>
      </c>
      <c r="X275" s="91"/>
    </row>
    <row r="276" spans="23:24">
      <c r="W276" s="91" t="s">
        <v>752</v>
      </c>
      <c r="X276" s="91"/>
    </row>
    <row r="277" spans="23:24">
      <c r="W277" s="91" t="s">
        <v>753</v>
      </c>
      <c r="X277" s="91"/>
    </row>
    <row r="278" spans="23:24">
      <c r="W278" s="91" t="s">
        <v>754</v>
      </c>
      <c r="X278" s="91"/>
    </row>
    <row r="279" spans="23:24">
      <c r="W279" s="91" t="s">
        <v>755</v>
      </c>
      <c r="X279" s="91"/>
    </row>
    <row r="280" spans="23:24">
      <c r="W280" s="91" t="s">
        <v>756</v>
      </c>
      <c r="X280" s="91"/>
    </row>
    <row r="281" spans="23:24">
      <c r="W281" s="91" t="s">
        <v>757</v>
      </c>
      <c r="X281" s="91"/>
    </row>
    <row r="282" spans="23:24">
      <c r="W282" s="91" t="s">
        <v>758</v>
      </c>
      <c r="X282" s="91"/>
    </row>
    <row r="283" spans="23:24">
      <c r="W283" s="91" t="s">
        <v>759</v>
      </c>
      <c r="X283" s="91"/>
    </row>
    <row r="284" spans="23:24">
      <c r="W284" s="91" t="s">
        <v>760</v>
      </c>
      <c r="X284" s="91"/>
    </row>
    <row r="285" spans="23:24">
      <c r="W285" s="91" t="s">
        <v>761</v>
      </c>
      <c r="X285" s="91"/>
    </row>
    <row r="286" spans="23:24">
      <c r="W286" s="91" t="s">
        <v>762</v>
      </c>
      <c r="X286" s="91"/>
    </row>
    <row r="287" spans="23:24">
      <c r="W287" s="91" t="s">
        <v>763</v>
      </c>
      <c r="X287" s="91"/>
    </row>
    <row r="288" spans="23:24">
      <c r="W288" s="91" t="s">
        <v>764</v>
      </c>
      <c r="X288" s="91"/>
    </row>
    <row r="289" spans="23:24">
      <c r="W289" s="91" t="s">
        <v>765</v>
      </c>
      <c r="X289" s="91"/>
    </row>
    <row r="290" spans="23:24">
      <c r="W290" s="91" t="s">
        <v>766</v>
      </c>
      <c r="X290" s="91"/>
    </row>
    <row r="291" spans="23:24">
      <c r="W291" s="91" t="s">
        <v>767</v>
      </c>
      <c r="X291" s="91"/>
    </row>
    <row r="292" spans="23:24">
      <c r="W292" s="91" t="s">
        <v>768</v>
      </c>
      <c r="X292" s="91"/>
    </row>
    <row r="293" spans="23:24">
      <c r="W293" s="91" t="s">
        <v>769</v>
      </c>
      <c r="X293" s="91"/>
    </row>
    <row r="294" spans="23:24">
      <c r="W294" s="91" t="s">
        <v>770</v>
      </c>
      <c r="X294" s="91"/>
    </row>
    <row r="295" spans="23:24">
      <c r="W295" s="91" t="s">
        <v>771</v>
      </c>
      <c r="X295" s="91"/>
    </row>
    <row r="296" spans="23:24">
      <c r="W296" s="91" t="s">
        <v>772</v>
      </c>
      <c r="X296" s="91"/>
    </row>
    <row r="297" spans="23:24">
      <c r="W297" s="91" t="s">
        <v>773</v>
      </c>
      <c r="X297" s="91"/>
    </row>
    <row r="298" spans="23:24">
      <c r="W298" s="91" t="s">
        <v>774</v>
      </c>
      <c r="X298" s="91"/>
    </row>
    <row r="299" spans="23:24">
      <c r="W299" s="91" t="s">
        <v>775</v>
      </c>
      <c r="X299" s="91"/>
    </row>
    <row r="300" spans="23:24">
      <c r="W300" s="91" t="s">
        <v>776</v>
      </c>
      <c r="X300" s="91"/>
    </row>
    <row r="301" spans="23:24">
      <c r="W301" s="91" t="s">
        <v>777</v>
      </c>
      <c r="X301" s="91"/>
    </row>
    <row r="302" spans="23:24">
      <c r="W302" s="91" t="s">
        <v>778</v>
      </c>
      <c r="X302" s="91"/>
    </row>
    <row r="303" spans="23:24">
      <c r="W303" s="91" t="s">
        <v>779</v>
      </c>
      <c r="X303" s="91"/>
    </row>
    <row r="304" spans="23:24">
      <c r="W304" s="91" t="s">
        <v>780</v>
      </c>
      <c r="X304" s="91"/>
    </row>
    <row r="305" spans="23:24">
      <c r="W305" s="91" t="s">
        <v>781</v>
      </c>
      <c r="X305" s="91"/>
    </row>
    <row r="306" spans="23:24">
      <c r="W306" s="91" t="s">
        <v>782</v>
      </c>
      <c r="X306" s="91"/>
    </row>
    <row r="307" spans="23:24">
      <c r="W307" s="91" t="s">
        <v>783</v>
      </c>
      <c r="X307" s="91"/>
    </row>
    <row r="308" spans="23:24">
      <c r="W308" s="91" t="s">
        <v>784</v>
      </c>
      <c r="X308" s="91"/>
    </row>
    <row r="309" spans="23:24">
      <c r="W309" s="91" t="s">
        <v>785</v>
      </c>
      <c r="X309" s="91"/>
    </row>
    <row r="310" spans="23:24">
      <c r="W310" s="91" t="s">
        <v>786</v>
      </c>
      <c r="X310" s="91"/>
    </row>
    <row r="311" spans="23:24">
      <c r="W311" s="91" t="s">
        <v>787</v>
      </c>
      <c r="X311" s="91"/>
    </row>
    <row r="312" spans="23:24">
      <c r="W312" s="91" t="s">
        <v>788</v>
      </c>
      <c r="X312" s="91"/>
    </row>
    <row r="313" spans="23:24">
      <c r="W313" s="91" t="s">
        <v>789</v>
      </c>
      <c r="X313" s="91"/>
    </row>
    <row r="314" spans="23:24">
      <c r="W314" s="91" t="s">
        <v>790</v>
      </c>
      <c r="X314" s="91"/>
    </row>
    <row r="315" spans="23:24">
      <c r="W315" s="91" t="s">
        <v>791</v>
      </c>
      <c r="X315" s="91"/>
    </row>
    <row r="316" spans="23:24">
      <c r="W316" s="91" t="s">
        <v>792</v>
      </c>
      <c r="X316" s="91"/>
    </row>
    <row r="317" spans="23:24">
      <c r="W317" s="91" t="s">
        <v>793</v>
      </c>
      <c r="X317" s="91"/>
    </row>
    <row r="318" spans="23:24">
      <c r="W318" s="91" t="s">
        <v>794</v>
      </c>
      <c r="X318" s="91"/>
    </row>
    <row r="319" spans="23:24">
      <c r="W319" s="91" t="s">
        <v>795</v>
      </c>
      <c r="X319" s="91"/>
    </row>
    <row r="320" spans="23:24">
      <c r="W320" s="91" t="s">
        <v>796</v>
      </c>
      <c r="X320" s="91"/>
    </row>
    <row r="321" spans="23:24">
      <c r="W321" s="91" t="s">
        <v>797</v>
      </c>
      <c r="X321" s="91"/>
    </row>
    <row r="322" spans="23:24">
      <c r="W322" s="91" t="s">
        <v>798</v>
      </c>
      <c r="X322" s="91"/>
    </row>
    <row r="323" spans="23:24">
      <c r="W323" s="91" t="s">
        <v>799</v>
      </c>
      <c r="X323" s="91"/>
    </row>
    <row r="324" spans="23:24">
      <c r="W324" s="91" t="s">
        <v>800</v>
      </c>
      <c r="X324" s="91"/>
    </row>
    <row r="325" spans="23:24">
      <c r="W325" s="91" t="s">
        <v>801</v>
      </c>
      <c r="X325" s="91"/>
    </row>
    <row r="326" spans="23:24">
      <c r="W326" s="91" t="s">
        <v>802</v>
      </c>
      <c r="X326" s="91"/>
    </row>
    <row r="327" spans="23:24">
      <c r="W327" s="91" t="s">
        <v>803</v>
      </c>
      <c r="X327" s="91"/>
    </row>
    <row r="328" spans="23:24">
      <c r="W328" s="91" t="s">
        <v>804</v>
      </c>
      <c r="X328" s="91"/>
    </row>
    <row r="329" spans="23:24">
      <c r="W329" s="91" t="s">
        <v>805</v>
      </c>
      <c r="X329" s="91"/>
    </row>
    <row r="330" spans="23:24">
      <c r="W330" s="91" t="s">
        <v>806</v>
      </c>
      <c r="X330" s="91"/>
    </row>
    <row r="331" spans="23:24">
      <c r="W331" s="91" t="s">
        <v>807</v>
      </c>
      <c r="X331" s="91"/>
    </row>
    <row r="332" spans="23:24">
      <c r="W332" s="91" t="s">
        <v>808</v>
      </c>
      <c r="X332" s="91"/>
    </row>
    <row r="333" spans="23:24">
      <c r="W333" s="91" t="s">
        <v>809</v>
      </c>
      <c r="X333" s="91"/>
    </row>
    <row r="334" spans="23:24">
      <c r="W334" s="91" t="s">
        <v>810</v>
      </c>
      <c r="X334" s="91"/>
    </row>
    <row r="335" spans="23:24">
      <c r="W335" s="91" t="s">
        <v>811</v>
      </c>
      <c r="X335" s="91"/>
    </row>
    <row r="336" spans="23:24">
      <c r="W336" s="91" t="s">
        <v>812</v>
      </c>
      <c r="X336" s="91"/>
    </row>
    <row r="337" spans="23:24">
      <c r="W337" s="91" t="s">
        <v>813</v>
      </c>
      <c r="X337" s="91"/>
    </row>
    <row r="338" spans="23:24">
      <c r="W338" s="91" t="s">
        <v>814</v>
      </c>
      <c r="X338" s="91"/>
    </row>
    <row r="339" spans="23:24">
      <c r="W339" s="91" t="s">
        <v>815</v>
      </c>
      <c r="X339" s="91"/>
    </row>
    <row r="340" spans="23:24">
      <c r="W340" s="91" t="s">
        <v>816</v>
      </c>
      <c r="X340" s="91"/>
    </row>
    <row r="341" spans="23:24">
      <c r="W341" s="91" t="s">
        <v>817</v>
      </c>
      <c r="X341" s="91"/>
    </row>
    <row r="342" spans="23:24">
      <c r="W342" s="91" t="s">
        <v>818</v>
      </c>
      <c r="X342" s="91"/>
    </row>
    <row r="343" spans="23:24">
      <c r="W343" s="91" t="s">
        <v>819</v>
      </c>
      <c r="X343" s="91"/>
    </row>
    <row r="344" spans="23:24">
      <c r="W344" s="91" t="s">
        <v>820</v>
      </c>
      <c r="X344" s="91"/>
    </row>
    <row r="345" spans="23:24">
      <c r="W345" s="91" t="s">
        <v>821</v>
      </c>
      <c r="X345" s="91"/>
    </row>
    <row r="346" spans="23:24">
      <c r="W346" s="91" t="s">
        <v>822</v>
      </c>
      <c r="X346" s="91"/>
    </row>
    <row r="347" spans="23:24">
      <c r="W347" s="91" t="s">
        <v>823</v>
      </c>
      <c r="X347" s="91"/>
    </row>
    <row r="348" spans="23:24">
      <c r="W348" s="91" t="s">
        <v>824</v>
      </c>
      <c r="X348" s="91"/>
    </row>
    <row r="349" spans="23:24">
      <c r="W349" s="91" t="s">
        <v>825</v>
      </c>
      <c r="X349" s="91"/>
    </row>
    <row r="350" spans="23:24">
      <c r="W350" s="91" t="s">
        <v>826</v>
      </c>
      <c r="X350" s="91"/>
    </row>
    <row r="351" spans="23:24">
      <c r="W351" s="91" t="s">
        <v>827</v>
      </c>
      <c r="X351" s="91"/>
    </row>
    <row r="352" spans="23:24">
      <c r="W352" s="91" t="s">
        <v>828</v>
      </c>
      <c r="X352" s="91"/>
    </row>
    <row r="353" spans="23:24">
      <c r="W353" s="91" t="s">
        <v>829</v>
      </c>
      <c r="X353" s="91"/>
    </row>
    <row r="354" spans="23:24">
      <c r="W354" s="91" t="s">
        <v>830</v>
      </c>
      <c r="X354" s="91"/>
    </row>
    <row r="355" spans="23:24">
      <c r="W355" s="91" t="s">
        <v>831</v>
      </c>
      <c r="X355" s="91"/>
    </row>
    <row r="356" spans="23:24">
      <c r="W356" s="91" t="s">
        <v>832</v>
      </c>
      <c r="X356" s="91"/>
    </row>
    <row r="357" spans="23:24">
      <c r="W357" s="91" t="s">
        <v>833</v>
      </c>
      <c r="X357" s="91"/>
    </row>
    <row r="358" spans="23:24">
      <c r="W358" s="91" t="s">
        <v>834</v>
      </c>
      <c r="X358" s="91"/>
    </row>
    <row r="359" spans="23:24">
      <c r="W359" s="91" t="s">
        <v>835</v>
      </c>
      <c r="X359" s="91"/>
    </row>
    <row r="360" spans="23:24">
      <c r="W360" s="91" t="s">
        <v>836</v>
      </c>
      <c r="X360" s="91"/>
    </row>
    <row r="361" spans="23:24">
      <c r="W361" s="91" t="s">
        <v>837</v>
      </c>
      <c r="X361" s="91"/>
    </row>
    <row r="362" spans="23:24">
      <c r="W362" s="91" t="s">
        <v>838</v>
      </c>
      <c r="X362" s="91"/>
    </row>
    <row r="363" spans="23:24">
      <c r="W363" s="91" t="s">
        <v>839</v>
      </c>
      <c r="X363" s="91"/>
    </row>
    <row r="364" spans="23:24">
      <c r="W364" s="91" t="s">
        <v>840</v>
      </c>
      <c r="X364" s="91"/>
    </row>
    <row r="365" spans="23:24">
      <c r="W365" s="91" t="s">
        <v>841</v>
      </c>
      <c r="X365" s="91"/>
    </row>
    <row r="366" spans="23:24">
      <c r="W366" s="91" t="s">
        <v>842</v>
      </c>
      <c r="X366" s="91"/>
    </row>
    <row r="367" spans="23:24">
      <c r="W367" s="91" t="s">
        <v>843</v>
      </c>
      <c r="X367" s="91"/>
    </row>
    <row r="368" spans="23:24">
      <c r="W368" s="91" t="s">
        <v>844</v>
      </c>
      <c r="X368" s="91"/>
    </row>
    <row r="369" spans="23:24">
      <c r="W369" s="91" t="s">
        <v>845</v>
      </c>
      <c r="X369" s="91"/>
    </row>
    <row r="370" spans="23:24">
      <c r="W370" s="91" t="s">
        <v>846</v>
      </c>
      <c r="X370" s="91"/>
    </row>
    <row r="371" spans="23:24">
      <c r="W371" s="91" t="s">
        <v>847</v>
      </c>
      <c r="X371" s="91"/>
    </row>
    <row r="372" spans="23:24">
      <c r="W372" s="91" t="s">
        <v>848</v>
      </c>
      <c r="X372" s="91"/>
    </row>
    <row r="373" spans="23:24">
      <c r="W373" s="91" t="s">
        <v>849</v>
      </c>
      <c r="X373" s="91"/>
    </row>
    <row r="374" spans="23:24">
      <c r="W374" s="91" t="s">
        <v>850</v>
      </c>
      <c r="X374" s="91"/>
    </row>
    <row r="375" spans="23:24">
      <c r="W375" s="91" t="s">
        <v>851</v>
      </c>
      <c r="X375" s="91"/>
    </row>
    <row r="376" spans="23:24">
      <c r="W376" s="91" t="s">
        <v>852</v>
      </c>
      <c r="X376" s="91"/>
    </row>
    <row r="377" spans="23:24">
      <c r="W377" s="91" t="s">
        <v>853</v>
      </c>
      <c r="X377" s="91"/>
    </row>
    <row r="378" spans="23:24">
      <c r="W378" s="91" t="s">
        <v>854</v>
      </c>
      <c r="X378" s="91"/>
    </row>
    <row r="379" spans="23:24">
      <c r="W379" s="91" t="s">
        <v>855</v>
      </c>
      <c r="X379" s="91"/>
    </row>
    <row r="380" spans="23:24">
      <c r="W380" s="91" t="s">
        <v>856</v>
      </c>
      <c r="X380" s="91"/>
    </row>
    <row r="381" spans="23:24">
      <c r="W381" s="91" t="s">
        <v>857</v>
      </c>
      <c r="X381" s="91"/>
    </row>
    <row r="382" spans="23:24">
      <c r="W382" s="91" t="s">
        <v>858</v>
      </c>
      <c r="X382" s="91"/>
    </row>
    <row r="383" spans="23:24">
      <c r="W383" s="91" t="s">
        <v>859</v>
      </c>
      <c r="X383" s="91"/>
    </row>
    <row r="384" spans="23:24">
      <c r="W384" s="91" t="s">
        <v>860</v>
      </c>
      <c r="X384" s="91"/>
    </row>
    <row r="385" spans="23:24">
      <c r="W385" s="91" t="s">
        <v>861</v>
      </c>
      <c r="X385" s="91"/>
    </row>
    <row r="386" spans="23:24">
      <c r="W386" s="91" t="s">
        <v>862</v>
      </c>
      <c r="X386" s="91"/>
    </row>
    <row r="387" spans="23:24">
      <c r="W387" s="91" t="s">
        <v>863</v>
      </c>
      <c r="X387" s="91"/>
    </row>
    <row r="388" spans="23:24">
      <c r="W388" s="91" t="s">
        <v>864</v>
      </c>
      <c r="X388" s="91"/>
    </row>
    <row r="389" spans="23:24">
      <c r="W389" s="91" t="s">
        <v>865</v>
      </c>
      <c r="X389" s="91"/>
    </row>
    <row r="390" spans="23:24">
      <c r="W390" s="91" t="s">
        <v>866</v>
      </c>
      <c r="X390" s="91"/>
    </row>
    <row r="391" spans="23:24">
      <c r="W391" s="91" t="s">
        <v>867</v>
      </c>
      <c r="X391" s="91"/>
    </row>
    <row r="392" spans="23:24">
      <c r="W392" s="91" t="s">
        <v>868</v>
      </c>
      <c r="X392" s="91"/>
    </row>
    <row r="393" spans="23:24">
      <c r="W393" s="91" t="s">
        <v>869</v>
      </c>
      <c r="X393" s="91"/>
    </row>
    <row r="394" spans="23:24">
      <c r="W394" s="91" t="s">
        <v>870</v>
      </c>
      <c r="X394" s="91"/>
    </row>
    <row r="395" spans="23:24">
      <c r="W395" s="91" t="s">
        <v>871</v>
      </c>
      <c r="X395" s="91"/>
    </row>
    <row r="396" spans="23:24">
      <c r="W396" s="91" t="s">
        <v>872</v>
      </c>
      <c r="X396" s="91"/>
    </row>
    <row r="397" spans="23:24">
      <c r="W397" s="91" t="s">
        <v>873</v>
      </c>
      <c r="X397" s="91"/>
    </row>
    <row r="398" spans="23:24">
      <c r="W398" s="91" t="s">
        <v>874</v>
      </c>
      <c r="X398" s="91"/>
    </row>
    <row r="399" spans="23:24">
      <c r="W399" s="91" t="s">
        <v>875</v>
      </c>
      <c r="X399" s="91"/>
    </row>
    <row r="400" spans="23:24">
      <c r="W400" s="91" t="s">
        <v>876</v>
      </c>
      <c r="X400" s="91"/>
    </row>
    <row r="401" spans="23:24">
      <c r="W401" s="91" t="s">
        <v>877</v>
      </c>
      <c r="X401" s="91"/>
    </row>
    <row r="402" spans="23:24">
      <c r="W402" s="91" t="s">
        <v>878</v>
      </c>
      <c r="X402" s="91"/>
    </row>
    <row r="403" spans="23:24">
      <c r="W403" s="91" t="s">
        <v>879</v>
      </c>
      <c r="X403" s="91"/>
    </row>
    <row r="404" spans="23:24">
      <c r="W404" s="91" t="s">
        <v>880</v>
      </c>
      <c r="X404" s="91"/>
    </row>
    <row r="405" spans="23:24">
      <c r="W405" s="91" t="s">
        <v>881</v>
      </c>
      <c r="X405" s="91"/>
    </row>
    <row r="406" spans="23:24">
      <c r="W406" s="91" t="s">
        <v>882</v>
      </c>
      <c r="X406" s="91"/>
    </row>
    <row r="407" spans="23:24">
      <c r="W407" s="91" t="s">
        <v>883</v>
      </c>
      <c r="X407" s="91"/>
    </row>
    <row r="408" spans="23:24">
      <c r="W408" s="91" t="s">
        <v>884</v>
      </c>
      <c r="X408" s="91"/>
    </row>
    <row r="409" spans="23:24">
      <c r="W409" s="91" t="s">
        <v>885</v>
      </c>
      <c r="X409" s="91"/>
    </row>
    <row r="410" spans="23:24">
      <c r="W410" s="91" t="s">
        <v>886</v>
      </c>
      <c r="X410" s="91"/>
    </row>
    <row r="411" spans="23:24">
      <c r="W411" s="91" t="s">
        <v>887</v>
      </c>
      <c r="X411" s="91"/>
    </row>
    <row r="412" spans="23:24">
      <c r="W412" s="91" t="s">
        <v>888</v>
      </c>
      <c r="X412" s="91"/>
    </row>
  </sheetData>
  <sheetProtection algorithmName="SHA-512" hashValue="sTyZUH2w23bECiGdNL7tu5V5850QJMIA0mqHH0V8YYpwUT6ClUdWmIn535Vio/WDiXZDYfs3IsMZ8v2SzMfKWA==" saltValue="uMV4o0pCuM++sO/2eUCxxA==" spinCount="100000" sheet="1" objects="1"/>
  <sortState xmlns:xlrd2="http://schemas.microsoft.com/office/spreadsheetml/2017/richdata2" ref="A2:A13">
    <sortCondition ref="A2"/>
  </sortState>
  <mergeCells count="10">
    <mergeCell ref="J33:K33"/>
    <mergeCell ref="B34:D34"/>
    <mergeCell ref="F34:H34"/>
    <mergeCell ref="M34:N34"/>
    <mergeCell ref="Q34:T34"/>
    <mergeCell ref="B45:D45"/>
    <mergeCell ref="F45:G45"/>
    <mergeCell ref="I45:K45"/>
    <mergeCell ref="M45:P45"/>
    <mergeCell ref="S45:U45"/>
  </mergeCells>
  <phoneticPr fontId="19" type="noConversion"/>
  <pageMargins left="0.7" right="0.7" top="0.75" bottom="0.75" header="0.3" footer="0.3"/>
  <pageSetup paperSize="9" orientation="portrait" horizontalDpi="1200" verticalDpi="12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393B-ECA0-4F50-840B-46E8375748A9}">
  <sheetPr>
    <tabColor rgb="FF005E5C"/>
  </sheetPr>
  <dimension ref="C2:E9"/>
  <sheetViews>
    <sheetView topLeftCell="B1" workbookViewId="0">
      <selection activeCell="B1" sqref="B1"/>
    </sheetView>
  </sheetViews>
  <sheetFormatPr defaultColWidth="9.28515625" defaultRowHeight="14.45"/>
  <cols>
    <col min="1" max="2" width="9.28515625" style="99" customWidth="1"/>
    <col min="3" max="3" width="34.28515625" style="99" customWidth="1"/>
    <col min="4" max="4" width="45.42578125" style="99" customWidth="1"/>
    <col min="5" max="5" width="38.7109375" style="99" customWidth="1"/>
    <col min="6" max="6" width="9.28515625" style="99" customWidth="1"/>
    <col min="7" max="16384" width="9.28515625" style="99"/>
  </cols>
  <sheetData>
    <row r="2" spans="3:5" ht="15" customHeight="1"/>
    <row r="3" spans="3:5">
      <c r="C3" s="1052" t="s">
        <v>889</v>
      </c>
      <c r="D3" s="782"/>
      <c r="E3" s="783"/>
    </row>
    <row r="4" spans="3:5">
      <c r="C4" s="65" t="s">
        <v>890</v>
      </c>
      <c r="D4" s="64" t="s">
        <v>891</v>
      </c>
      <c r="E4" s="43" t="s">
        <v>892</v>
      </c>
    </row>
    <row r="5" spans="3:5">
      <c r="C5" s="7" t="s">
        <v>893</v>
      </c>
      <c r="D5" s="4" t="s">
        <v>894</v>
      </c>
      <c r="E5" s="257" t="s">
        <v>895</v>
      </c>
    </row>
    <row r="6" spans="3:5" ht="28.9" customHeight="1">
      <c r="C6" s="7" t="s">
        <v>896</v>
      </c>
      <c r="D6" s="84" t="s">
        <v>897</v>
      </c>
      <c r="E6" s="257" t="s">
        <v>898</v>
      </c>
    </row>
    <row r="7" spans="3:5" ht="28.9" customHeight="1">
      <c r="C7" s="7" t="s">
        <v>899</v>
      </c>
      <c r="D7" s="84" t="s">
        <v>900</v>
      </c>
      <c r="E7" s="257" t="s">
        <v>901</v>
      </c>
    </row>
    <row r="8" spans="3:5" ht="101.45" customHeight="1">
      <c r="C8" s="6" t="s">
        <v>902</v>
      </c>
      <c r="D8" s="266" t="s">
        <v>903</v>
      </c>
      <c r="E8" s="546" t="s">
        <v>904</v>
      </c>
    </row>
    <row r="9" spans="3:5" ht="29.45" customHeight="1">
      <c r="C9" s="6" t="s">
        <v>905</v>
      </c>
      <c r="D9" s="266" t="s">
        <v>906</v>
      </c>
      <c r="E9" s="546" t="s">
        <v>907</v>
      </c>
    </row>
  </sheetData>
  <sheetProtection algorithmName="SHA-512" hashValue="h7EAyTGcJW4x85LyhDw8hSw4yB6SKfXvLTQfLsF3uUpRUWt7B+en9dC1ftN3jZRLbS+BDBVD7O9u9vUdhG7uCA==" saltValue="/GbdPGqcowRRPsuePv7mDQ==" spinCount="100000" sheet="1" objects="1"/>
  <mergeCells count="1">
    <mergeCell ref="C3:E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4745-101B-4227-8424-445FB5189DA1}">
  <sheetPr codeName="Sheet39">
    <tabColor rgb="FF7030A0"/>
  </sheetPr>
  <dimension ref="A1:H157"/>
  <sheetViews>
    <sheetView zoomScale="80" zoomScaleNormal="80" workbookViewId="0"/>
  </sheetViews>
  <sheetFormatPr defaultColWidth="0" defaultRowHeight="14.45" zeroHeight="1"/>
  <cols>
    <col min="1" max="1" width="3.28515625" customWidth="1"/>
    <col min="2" max="2" width="24.42578125" bestFit="1" customWidth="1"/>
    <col min="3" max="3" width="34.28515625" bestFit="1" customWidth="1"/>
    <col min="4" max="4" width="41.7109375" bestFit="1" customWidth="1"/>
    <col min="5" max="5" width="50.28515625" customWidth="1"/>
    <col min="6" max="6" width="20.42578125" customWidth="1"/>
    <col min="7" max="8" width="8.7109375" customWidth="1"/>
    <col min="9" max="9" width="8.7109375" hidden="1" customWidth="1"/>
    <col min="10" max="16384" width="8.7109375" hidden="1"/>
  </cols>
  <sheetData>
    <row r="1" spans="1:8" ht="15" customHeight="1">
      <c r="A1" s="124"/>
      <c r="B1" s="124"/>
      <c r="C1" s="124"/>
      <c r="D1" s="124"/>
      <c r="E1" s="124"/>
      <c r="F1" s="124"/>
      <c r="G1" s="124"/>
      <c r="H1" s="124"/>
    </row>
    <row r="2" spans="1:8" ht="19.149999999999999" customHeight="1">
      <c r="A2" s="99"/>
      <c r="B2" s="276" t="s">
        <v>908</v>
      </c>
      <c r="C2" s="277" t="s">
        <v>909</v>
      </c>
      <c r="D2" s="277" t="s">
        <v>910</v>
      </c>
      <c r="E2" s="278" t="s">
        <v>911</v>
      </c>
      <c r="F2" s="279" t="s">
        <v>112</v>
      </c>
      <c r="G2" s="124"/>
      <c r="H2" s="124"/>
    </row>
    <row r="3" spans="1:8" ht="21.6" customHeight="1">
      <c r="A3" s="99"/>
      <c r="B3" s="272" t="s">
        <v>912</v>
      </c>
      <c r="C3" s="280" t="s">
        <v>913</v>
      </c>
      <c r="D3" s="280" t="s">
        <v>914</v>
      </c>
      <c r="E3" s="273" t="s">
        <v>915</v>
      </c>
      <c r="F3" s="274" t="s">
        <v>237</v>
      </c>
      <c r="G3" s="99"/>
      <c r="H3" s="99"/>
    </row>
    <row r="4" spans="1:8">
      <c r="A4" s="99"/>
      <c r="B4" s="1053" t="s">
        <v>234</v>
      </c>
      <c r="C4" s="1057" t="s">
        <v>234</v>
      </c>
      <c r="D4" s="5" t="s">
        <v>916</v>
      </c>
      <c r="E4" s="263" t="s">
        <v>332</v>
      </c>
      <c r="F4" s="264" t="s">
        <v>235</v>
      </c>
      <c r="G4" s="99"/>
      <c r="H4" s="99"/>
    </row>
    <row r="5" spans="1:8">
      <c r="A5" s="99"/>
      <c r="B5" s="1054"/>
      <c r="C5" s="1056"/>
      <c r="D5" s="4" t="s">
        <v>917</v>
      </c>
      <c r="E5" s="84" t="s">
        <v>918</v>
      </c>
      <c r="F5" s="265" t="s">
        <v>235</v>
      </c>
      <c r="G5" s="99"/>
      <c r="H5" s="99"/>
    </row>
    <row r="6" spans="1:8">
      <c r="A6" s="99"/>
      <c r="B6" s="1054"/>
      <c r="C6" s="1056"/>
      <c r="D6" s="4" t="s">
        <v>919</v>
      </c>
      <c r="E6" s="84" t="s">
        <v>337</v>
      </c>
      <c r="F6" s="265" t="s">
        <v>235</v>
      </c>
      <c r="G6" s="99"/>
      <c r="H6" s="99"/>
    </row>
    <row r="7" spans="1:8">
      <c r="A7" s="99"/>
      <c r="B7" s="1054"/>
      <c r="C7" s="1056"/>
      <c r="D7" s="4" t="s">
        <v>920</v>
      </c>
      <c r="E7" s="84" t="s">
        <v>338</v>
      </c>
      <c r="F7" s="265" t="s">
        <v>235</v>
      </c>
      <c r="G7" s="99"/>
      <c r="H7" s="99"/>
    </row>
    <row r="8" spans="1:8">
      <c r="A8" s="99"/>
      <c r="B8" s="1054"/>
      <c r="C8" s="1056" t="s">
        <v>921</v>
      </c>
      <c r="D8" s="4" t="s">
        <v>922</v>
      </c>
      <c r="E8" s="84" t="s">
        <v>327</v>
      </c>
      <c r="F8" s="269" t="s">
        <v>237</v>
      </c>
      <c r="G8" s="99"/>
      <c r="H8" s="99"/>
    </row>
    <row r="9" spans="1:8">
      <c r="A9" s="99"/>
      <c r="B9" s="1054"/>
      <c r="C9" s="1056"/>
      <c r="D9" s="4" t="s">
        <v>923</v>
      </c>
      <c r="E9" s="84" t="s">
        <v>329</v>
      </c>
      <c r="F9" s="269" t="s">
        <v>237</v>
      </c>
      <c r="G9" s="99"/>
      <c r="H9" s="99"/>
    </row>
    <row r="10" spans="1:8">
      <c r="A10" s="99"/>
      <c r="B10" s="1054"/>
      <c r="C10" s="1056"/>
      <c r="D10" s="4" t="s">
        <v>924</v>
      </c>
      <c r="E10" s="84" t="s">
        <v>925</v>
      </c>
      <c r="F10" s="269" t="s">
        <v>237</v>
      </c>
      <c r="G10" s="99"/>
      <c r="H10" s="99"/>
    </row>
    <row r="11" spans="1:8">
      <c r="A11" s="99"/>
      <c r="B11" s="1054"/>
      <c r="C11" s="1056"/>
      <c r="D11" s="4" t="s">
        <v>926</v>
      </c>
      <c r="E11" s="84" t="s">
        <v>331</v>
      </c>
      <c r="F11" s="269" t="s">
        <v>237</v>
      </c>
      <c r="G11" s="99"/>
      <c r="H11" s="99"/>
    </row>
    <row r="12" spans="1:8">
      <c r="A12" s="99"/>
      <c r="B12" s="1054"/>
      <c r="C12" s="1056"/>
      <c r="D12" s="4" t="s">
        <v>927</v>
      </c>
      <c r="E12" s="84" t="s">
        <v>928</v>
      </c>
      <c r="F12" s="269" t="s">
        <v>237</v>
      </c>
      <c r="G12" s="99"/>
      <c r="H12" s="99"/>
    </row>
    <row r="13" spans="1:8">
      <c r="A13" s="99"/>
      <c r="B13" s="1054"/>
      <c r="C13" s="4" t="s">
        <v>335</v>
      </c>
      <c r="D13" s="4" t="s">
        <v>929</v>
      </c>
      <c r="E13" s="84" t="s">
        <v>335</v>
      </c>
      <c r="F13" s="265" t="s">
        <v>235</v>
      </c>
      <c r="G13" s="99"/>
      <c r="H13" s="99"/>
    </row>
    <row r="14" spans="1:8" ht="15" customHeight="1">
      <c r="A14" s="99"/>
      <c r="B14" s="1055"/>
      <c r="C14" s="3" t="s">
        <v>930</v>
      </c>
      <c r="D14" s="3" t="s">
        <v>931</v>
      </c>
      <c r="E14" s="266" t="s">
        <v>336</v>
      </c>
      <c r="F14" s="267" t="s">
        <v>235</v>
      </c>
      <c r="G14" s="99"/>
      <c r="H14" s="99"/>
    </row>
    <row r="15" spans="1:8">
      <c r="A15" s="99"/>
      <c r="B15" s="1053" t="s">
        <v>932</v>
      </c>
      <c r="C15" s="5" t="s">
        <v>933</v>
      </c>
      <c r="D15" s="5" t="s">
        <v>934</v>
      </c>
      <c r="E15" s="263" t="s">
        <v>340</v>
      </c>
      <c r="F15" s="264" t="s">
        <v>235</v>
      </c>
      <c r="G15" s="99"/>
      <c r="H15" s="99"/>
    </row>
    <row r="16" spans="1:8">
      <c r="A16" s="99"/>
      <c r="B16" s="1054"/>
      <c r="C16" s="4" t="s">
        <v>339</v>
      </c>
      <c r="D16" s="4" t="s">
        <v>935</v>
      </c>
      <c r="E16" s="84" t="s">
        <v>339</v>
      </c>
      <c r="F16" s="265" t="s">
        <v>235</v>
      </c>
      <c r="G16" s="99"/>
      <c r="H16" s="99"/>
    </row>
    <row r="17" spans="1:8">
      <c r="A17" s="99"/>
      <c r="B17" s="1054"/>
      <c r="C17" s="1056" t="s">
        <v>936</v>
      </c>
      <c r="D17" s="4" t="s">
        <v>937</v>
      </c>
      <c r="E17" s="84" t="s">
        <v>341</v>
      </c>
      <c r="F17" s="269" t="s">
        <v>237</v>
      </c>
      <c r="G17" s="99"/>
      <c r="H17" s="99"/>
    </row>
    <row r="18" spans="1:8">
      <c r="A18" s="99"/>
      <c r="B18" s="1054"/>
      <c r="C18" s="1056"/>
      <c r="D18" s="4" t="s">
        <v>938</v>
      </c>
      <c r="E18" s="84" t="s">
        <v>342</v>
      </c>
      <c r="F18" s="269" t="s">
        <v>237</v>
      </c>
      <c r="G18" s="99"/>
      <c r="H18" s="99"/>
    </row>
    <row r="19" spans="1:8" ht="15" customHeight="1">
      <c r="A19" s="99"/>
      <c r="B19" s="1055"/>
      <c r="C19" s="1061"/>
      <c r="D19" s="3" t="s">
        <v>939</v>
      </c>
      <c r="E19" s="266" t="s">
        <v>343</v>
      </c>
      <c r="F19" s="270" t="s">
        <v>237</v>
      </c>
      <c r="G19" s="99"/>
      <c r="H19" s="99"/>
    </row>
    <row r="20" spans="1:8">
      <c r="A20" s="99"/>
      <c r="B20" s="1053" t="s">
        <v>239</v>
      </c>
      <c r="C20" s="5" t="s">
        <v>940</v>
      </c>
      <c r="D20" s="5" t="s">
        <v>941</v>
      </c>
      <c r="E20" s="263" t="s">
        <v>350</v>
      </c>
      <c r="F20" s="264" t="s">
        <v>235</v>
      </c>
      <c r="G20" s="99"/>
      <c r="H20" s="99"/>
    </row>
    <row r="21" spans="1:8">
      <c r="A21" s="99"/>
      <c r="B21" s="1054"/>
      <c r="C21" s="1056" t="s">
        <v>942</v>
      </c>
      <c r="D21" s="4" t="s">
        <v>943</v>
      </c>
      <c r="E21" s="84" t="s">
        <v>344</v>
      </c>
      <c r="F21" s="269" t="s">
        <v>237</v>
      </c>
      <c r="G21" s="99"/>
      <c r="H21" s="99"/>
    </row>
    <row r="22" spans="1:8">
      <c r="A22" s="99"/>
      <c r="B22" s="1054"/>
      <c r="C22" s="1056"/>
      <c r="D22" s="4" t="s">
        <v>944</v>
      </c>
      <c r="E22" s="84" t="s">
        <v>345</v>
      </c>
      <c r="F22" s="269" t="s">
        <v>237</v>
      </c>
      <c r="G22" s="99"/>
      <c r="H22" s="99"/>
    </row>
    <row r="23" spans="1:8">
      <c r="A23" s="99"/>
      <c r="B23" s="1054"/>
      <c r="C23" s="1056"/>
      <c r="D23" s="4" t="s">
        <v>945</v>
      </c>
      <c r="E23" s="84" t="s">
        <v>346</v>
      </c>
      <c r="F23" s="269" t="s">
        <v>237</v>
      </c>
      <c r="G23" s="99"/>
      <c r="H23" s="99"/>
    </row>
    <row r="24" spans="1:8">
      <c r="A24" s="99"/>
      <c r="B24" s="1054"/>
      <c r="C24" s="1056"/>
      <c r="D24" s="4" t="s">
        <v>946</v>
      </c>
      <c r="E24" s="84" t="s">
        <v>347</v>
      </c>
      <c r="F24" s="269" t="s">
        <v>237</v>
      </c>
      <c r="G24" s="99"/>
      <c r="H24" s="99"/>
    </row>
    <row r="25" spans="1:8">
      <c r="A25" s="99"/>
      <c r="B25" s="1054"/>
      <c r="C25" s="1056"/>
      <c r="D25" s="4" t="s">
        <v>947</v>
      </c>
      <c r="E25" s="84" t="s">
        <v>348</v>
      </c>
      <c r="F25" s="269" t="s">
        <v>237</v>
      </c>
      <c r="G25" s="99"/>
      <c r="H25" s="99"/>
    </row>
    <row r="26" spans="1:8">
      <c r="A26" s="99"/>
      <c r="B26" s="1054"/>
      <c r="C26" s="1056"/>
      <c r="D26" s="4" t="s">
        <v>948</v>
      </c>
      <c r="E26" s="84" t="s">
        <v>349</v>
      </c>
      <c r="F26" s="269" t="s">
        <v>237</v>
      </c>
      <c r="G26" s="99"/>
      <c r="H26" s="99"/>
    </row>
    <row r="27" spans="1:8" ht="15" customHeight="1">
      <c r="A27" s="99"/>
      <c r="B27" s="1055"/>
      <c r="C27" s="1061"/>
      <c r="D27" s="3" t="s">
        <v>949</v>
      </c>
      <c r="E27" s="266" t="s">
        <v>950</v>
      </c>
      <c r="F27" s="270" t="s">
        <v>237</v>
      </c>
      <c r="G27" s="99"/>
      <c r="H27" s="99"/>
    </row>
    <row r="28" spans="1:8">
      <c r="A28" s="99"/>
      <c r="B28" s="1053" t="s">
        <v>951</v>
      </c>
      <c r="C28" s="1057" t="s">
        <v>952</v>
      </c>
      <c r="D28" s="5" t="s">
        <v>953</v>
      </c>
      <c r="E28" s="263" t="s">
        <v>954</v>
      </c>
      <c r="F28" s="264" t="s">
        <v>235</v>
      </c>
      <c r="G28" s="99"/>
      <c r="H28" s="99"/>
    </row>
    <row r="29" spans="1:8">
      <c r="A29" s="99"/>
      <c r="B29" s="1054"/>
      <c r="C29" s="1056"/>
      <c r="D29" s="4" t="s">
        <v>955</v>
      </c>
      <c r="E29" s="84" t="s">
        <v>956</v>
      </c>
      <c r="F29" s="269" t="s">
        <v>237</v>
      </c>
      <c r="G29" s="99"/>
      <c r="H29" s="99"/>
    </row>
    <row r="30" spans="1:8">
      <c r="A30" s="99"/>
      <c r="B30" s="1054"/>
      <c r="C30" s="1056"/>
      <c r="D30" s="4" t="s">
        <v>957</v>
      </c>
      <c r="E30" s="84" t="s">
        <v>958</v>
      </c>
      <c r="F30" s="269" t="s">
        <v>237</v>
      </c>
      <c r="G30" s="99"/>
      <c r="H30" s="99"/>
    </row>
    <row r="31" spans="1:8">
      <c r="A31" s="99"/>
      <c r="B31" s="1054"/>
      <c r="C31" s="1056" t="s">
        <v>959</v>
      </c>
      <c r="D31" s="4" t="s">
        <v>960</v>
      </c>
      <c r="E31" s="84" t="s">
        <v>961</v>
      </c>
      <c r="F31" s="265" t="s">
        <v>235</v>
      </c>
      <c r="G31" s="99"/>
      <c r="H31" s="99"/>
    </row>
    <row r="32" spans="1:8">
      <c r="A32" s="99"/>
      <c r="B32" s="1054"/>
      <c r="C32" s="1056"/>
      <c r="D32" s="4" t="s">
        <v>962</v>
      </c>
      <c r="E32" s="84" t="s">
        <v>963</v>
      </c>
      <c r="F32" s="269" t="s">
        <v>237</v>
      </c>
      <c r="G32" s="99"/>
      <c r="H32" s="99"/>
    </row>
    <row r="33" spans="1:8">
      <c r="A33" s="99"/>
      <c r="B33" s="1054"/>
      <c r="C33" s="1056"/>
      <c r="D33" s="4" t="s">
        <v>964</v>
      </c>
      <c r="E33" s="84" t="s">
        <v>965</v>
      </c>
      <c r="F33" s="269" t="s">
        <v>237</v>
      </c>
      <c r="G33" s="99"/>
      <c r="H33" s="99"/>
    </row>
    <row r="34" spans="1:8">
      <c r="A34" s="99"/>
      <c r="B34" s="1054"/>
      <c r="C34" s="4" t="s">
        <v>966</v>
      </c>
      <c r="D34" s="4" t="s">
        <v>967</v>
      </c>
      <c r="E34" s="84" t="s">
        <v>968</v>
      </c>
      <c r="F34" s="271" t="s">
        <v>361</v>
      </c>
      <c r="G34" s="99"/>
      <c r="H34" s="99"/>
    </row>
    <row r="35" spans="1:8">
      <c r="A35" s="99"/>
      <c r="B35" s="1054"/>
      <c r="C35" s="1056" t="s">
        <v>969</v>
      </c>
      <c r="D35" s="4" t="s">
        <v>970</v>
      </c>
      <c r="E35" s="84" t="s">
        <v>971</v>
      </c>
      <c r="F35" s="265" t="s">
        <v>235</v>
      </c>
      <c r="G35" s="99"/>
      <c r="H35" s="99"/>
    </row>
    <row r="36" spans="1:8">
      <c r="A36" s="99"/>
      <c r="B36" s="1054"/>
      <c r="C36" s="1056"/>
      <c r="D36" s="4" t="s">
        <v>972</v>
      </c>
      <c r="E36" s="84" t="s">
        <v>973</v>
      </c>
      <c r="F36" s="265" t="s">
        <v>235</v>
      </c>
      <c r="G36" s="99"/>
      <c r="H36" s="99"/>
    </row>
    <row r="37" spans="1:8">
      <c r="A37" s="99"/>
      <c r="B37" s="1054"/>
      <c r="C37" s="1056"/>
      <c r="D37" s="4" t="s">
        <v>974</v>
      </c>
      <c r="E37" s="84" t="s">
        <v>975</v>
      </c>
      <c r="F37" s="269" t="s">
        <v>237</v>
      </c>
      <c r="G37" s="99"/>
      <c r="H37" s="99"/>
    </row>
    <row r="38" spans="1:8" ht="15" customHeight="1">
      <c r="A38" s="99"/>
      <c r="B38" s="1055"/>
      <c r="C38" s="1061"/>
      <c r="D38" s="3" t="s">
        <v>976</v>
      </c>
      <c r="E38" s="266" t="s">
        <v>977</v>
      </c>
      <c r="F38" s="270" t="s">
        <v>237</v>
      </c>
      <c r="G38" s="99"/>
      <c r="H38" s="99"/>
    </row>
    <row r="39" spans="1:8">
      <c r="A39" s="99"/>
      <c r="B39" s="1058" t="s">
        <v>978</v>
      </c>
      <c r="C39" s="5" t="s">
        <v>979</v>
      </c>
      <c r="D39" s="5" t="s">
        <v>980</v>
      </c>
      <c r="E39" s="263" t="s">
        <v>394</v>
      </c>
      <c r="F39" s="264" t="s">
        <v>981</v>
      </c>
      <c r="G39" s="99"/>
      <c r="H39" s="99"/>
    </row>
    <row r="40" spans="1:8">
      <c r="A40" s="99"/>
      <c r="B40" s="1059"/>
      <c r="C40" s="4" t="s">
        <v>979</v>
      </c>
      <c r="D40" s="4" t="s">
        <v>982</v>
      </c>
      <c r="E40" s="84" t="s">
        <v>393</v>
      </c>
      <c r="F40" s="265" t="s">
        <v>981</v>
      </c>
      <c r="G40" s="99"/>
      <c r="H40" s="99"/>
    </row>
    <row r="41" spans="1:8" ht="29.45" customHeight="1">
      <c r="A41" s="99"/>
      <c r="B41" s="1060"/>
      <c r="C41" s="3" t="s">
        <v>979</v>
      </c>
      <c r="D41" s="3" t="s">
        <v>983</v>
      </c>
      <c r="E41" s="266" t="s">
        <v>984</v>
      </c>
      <c r="F41" s="270" t="s">
        <v>237</v>
      </c>
      <c r="G41" s="99"/>
      <c r="H41" s="99"/>
    </row>
    <row r="42" spans="1:8">
      <c r="A42" s="99"/>
      <c r="B42" s="1053" t="s">
        <v>241</v>
      </c>
      <c r="C42" s="5" t="s">
        <v>979</v>
      </c>
      <c r="D42" s="5" t="s">
        <v>985</v>
      </c>
      <c r="E42" s="263" t="s">
        <v>391</v>
      </c>
      <c r="F42" s="264" t="s">
        <v>981</v>
      </c>
      <c r="G42" s="99"/>
      <c r="H42" s="99"/>
    </row>
    <row r="43" spans="1:8">
      <c r="A43" s="99"/>
      <c r="B43" s="1054"/>
      <c r="C43" s="4" t="s">
        <v>979</v>
      </c>
      <c r="D43" s="4" t="s">
        <v>986</v>
      </c>
      <c r="E43" s="84" t="s">
        <v>385</v>
      </c>
      <c r="F43" s="265" t="s">
        <v>981</v>
      </c>
      <c r="G43" s="99"/>
      <c r="H43" s="99"/>
    </row>
    <row r="44" spans="1:8">
      <c r="A44" s="99"/>
      <c r="B44" s="1054"/>
      <c r="C44" s="4" t="s">
        <v>979</v>
      </c>
      <c r="D44" s="4" t="s">
        <v>987</v>
      </c>
      <c r="E44" s="84" t="s">
        <v>389</v>
      </c>
      <c r="F44" s="265" t="s">
        <v>981</v>
      </c>
      <c r="G44" s="99"/>
      <c r="H44" s="99"/>
    </row>
    <row r="45" spans="1:8">
      <c r="A45" s="99"/>
      <c r="B45" s="1054"/>
      <c r="C45" s="4" t="s">
        <v>979</v>
      </c>
      <c r="D45" s="4" t="s">
        <v>988</v>
      </c>
      <c r="E45" s="84" t="s">
        <v>386</v>
      </c>
      <c r="F45" s="265" t="s">
        <v>235</v>
      </c>
      <c r="G45" s="99"/>
      <c r="H45" s="99"/>
    </row>
    <row r="46" spans="1:8">
      <c r="A46" s="99"/>
      <c r="B46" s="1054"/>
      <c r="C46" s="4" t="s">
        <v>979</v>
      </c>
      <c r="D46" s="4" t="s">
        <v>989</v>
      </c>
      <c r="E46" s="84" t="s">
        <v>388</v>
      </c>
      <c r="F46" s="265" t="s">
        <v>981</v>
      </c>
      <c r="G46" s="99"/>
      <c r="H46" s="99"/>
    </row>
    <row r="47" spans="1:8">
      <c r="A47" s="99"/>
      <c r="B47" s="1054"/>
      <c r="C47" s="4" t="s">
        <v>979</v>
      </c>
      <c r="D47" s="4" t="s">
        <v>990</v>
      </c>
      <c r="E47" s="84" t="s">
        <v>387</v>
      </c>
      <c r="F47" s="265" t="s">
        <v>235</v>
      </c>
      <c r="G47" s="99"/>
      <c r="H47" s="99"/>
    </row>
    <row r="48" spans="1:8">
      <c r="A48" s="99"/>
      <c r="B48" s="1054"/>
      <c r="C48" s="4" t="s">
        <v>979</v>
      </c>
      <c r="D48" s="4" t="s">
        <v>991</v>
      </c>
      <c r="E48" s="84" t="s">
        <v>390</v>
      </c>
      <c r="F48" s="265" t="s">
        <v>981</v>
      </c>
      <c r="G48" s="99"/>
      <c r="H48" s="99"/>
    </row>
    <row r="49" spans="1:8">
      <c r="A49" s="99"/>
      <c r="B49" s="1054"/>
      <c r="C49" s="4" t="s">
        <v>979</v>
      </c>
      <c r="D49" s="4" t="s">
        <v>992</v>
      </c>
      <c r="E49" s="84" t="s">
        <v>993</v>
      </c>
      <c r="F49" s="265" t="s">
        <v>235</v>
      </c>
      <c r="G49" s="99"/>
      <c r="H49" s="99"/>
    </row>
    <row r="50" spans="1:8">
      <c r="A50" s="99"/>
      <c r="B50" s="1054"/>
      <c r="C50" s="4" t="s">
        <v>979</v>
      </c>
      <c r="D50" s="4" t="s">
        <v>994</v>
      </c>
      <c r="E50" s="84" t="s">
        <v>995</v>
      </c>
      <c r="F50" s="269" t="s">
        <v>237</v>
      </c>
      <c r="G50" s="99"/>
      <c r="H50" s="99"/>
    </row>
    <row r="51" spans="1:8" ht="15" customHeight="1">
      <c r="A51" s="99"/>
      <c r="B51" s="1055"/>
      <c r="C51" s="3" t="s">
        <v>979</v>
      </c>
      <c r="D51" s="3" t="s">
        <v>996</v>
      </c>
      <c r="E51" s="266" t="s">
        <v>392</v>
      </c>
      <c r="F51" s="270" t="s">
        <v>237</v>
      </c>
      <c r="G51" s="99"/>
      <c r="H51" s="99"/>
    </row>
    <row r="52" spans="1:8">
      <c r="A52" s="99"/>
      <c r="B52" s="1053" t="s">
        <v>242</v>
      </c>
      <c r="C52" s="5" t="s">
        <v>356</v>
      </c>
      <c r="D52" s="5" t="s">
        <v>997</v>
      </c>
      <c r="E52" s="263" t="s">
        <v>356</v>
      </c>
      <c r="F52" s="268" t="s">
        <v>237</v>
      </c>
      <c r="G52" s="99"/>
      <c r="H52" s="99"/>
    </row>
    <row r="53" spans="1:8" ht="15" customHeight="1">
      <c r="A53" s="99"/>
      <c r="B53" s="1055"/>
      <c r="C53" s="3" t="s">
        <v>998</v>
      </c>
      <c r="D53" s="3" t="s">
        <v>999</v>
      </c>
      <c r="E53" s="266" t="s">
        <v>1000</v>
      </c>
      <c r="F53" s="270" t="s">
        <v>237</v>
      </c>
      <c r="G53" s="99"/>
      <c r="H53" s="99"/>
    </row>
    <row r="54" spans="1:8">
      <c r="A54" s="99"/>
      <c r="B54" s="1053" t="s">
        <v>1001</v>
      </c>
      <c r="C54" s="5" t="s">
        <v>1002</v>
      </c>
      <c r="D54" s="5" t="s">
        <v>1003</v>
      </c>
      <c r="E54" s="263" t="s">
        <v>290</v>
      </c>
      <c r="F54" s="268" t="s">
        <v>237</v>
      </c>
      <c r="G54" s="99"/>
      <c r="H54" s="99"/>
    </row>
    <row r="55" spans="1:8">
      <c r="A55" s="99"/>
      <c r="B55" s="1054"/>
      <c r="C55" s="4" t="s">
        <v>292</v>
      </c>
      <c r="D55" s="4" t="s">
        <v>1004</v>
      </c>
      <c r="E55" s="84" t="s">
        <v>292</v>
      </c>
      <c r="F55" s="265" t="s">
        <v>235</v>
      </c>
      <c r="G55" s="99"/>
      <c r="H55" s="99"/>
    </row>
    <row r="56" spans="1:8" ht="15" customHeight="1">
      <c r="A56" s="99"/>
      <c r="B56" s="1055"/>
      <c r="C56" s="3" t="s">
        <v>1005</v>
      </c>
      <c r="D56" s="3" t="s">
        <v>1006</v>
      </c>
      <c r="E56" s="266" t="s">
        <v>291</v>
      </c>
      <c r="F56" s="270" t="s">
        <v>237</v>
      </c>
      <c r="G56" s="99"/>
      <c r="H56" s="99"/>
    </row>
    <row r="57" spans="1:8">
      <c r="A57" s="99"/>
      <c r="B57" s="1053" t="s">
        <v>243</v>
      </c>
      <c r="C57" s="5" t="s">
        <v>1007</v>
      </c>
      <c r="D57" s="5" t="s">
        <v>1008</v>
      </c>
      <c r="E57" s="263" t="s">
        <v>357</v>
      </c>
      <c r="F57" s="264" t="s">
        <v>235</v>
      </c>
      <c r="G57" s="99"/>
      <c r="H57" s="99"/>
    </row>
    <row r="58" spans="1:8" ht="15" customHeight="1">
      <c r="A58" s="99"/>
      <c r="B58" s="1055"/>
      <c r="C58" s="3" t="s">
        <v>1009</v>
      </c>
      <c r="D58" s="3" t="s">
        <v>1010</v>
      </c>
      <c r="E58" s="266" t="s">
        <v>358</v>
      </c>
      <c r="F58" s="270" t="s">
        <v>237</v>
      </c>
      <c r="G58" s="99"/>
      <c r="H58" s="99"/>
    </row>
    <row r="59" spans="1:8">
      <c r="A59" s="99"/>
      <c r="B59" s="1053" t="s">
        <v>119</v>
      </c>
      <c r="C59" s="5" t="s">
        <v>360</v>
      </c>
      <c r="D59" s="5" t="s">
        <v>1011</v>
      </c>
      <c r="E59" s="263" t="s">
        <v>360</v>
      </c>
      <c r="F59" s="264" t="s">
        <v>235</v>
      </c>
      <c r="G59" s="99"/>
      <c r="H59" s="99"/>
    </row>
    <row r="60" spans="1:8">
      <c r="A60" s="99"/>
      <c r="B60" s="1054"/>
      <c r="C60" s="4" t="s">
        <v>1012</v>
      </c>
      <c r="D60" s="4" t="s">
        <v>1013</v>
      </c>
      <c r="E60" s="84" t="s">
        <v>1014</v>
      </c>
      <c r="F60" s="265" t="s">
        <v>235</v>
      </c>
      <c r="G60" s="99"/>
      <c r="H60" s="99"/>
    </row>
    <row r="61" spans="1:8">
      <c r="A61" s="99"/>
      <c r="B61" s="1054"/>
      <c r="C61" s="4" t="s">
        <v>1015</v>
      </c>
      <c r="D61" s="4" t="s">
        <v>1016</v>
      </c>
      <c r="E61" s="84" t="s">
        <v>1017</v>
      </c>
      <c r="F61" s="269" t="s">
        <v>237</v>
      </c>
      <c r="G61" s="99"/>
      <c r="H61" s="99"/>
    </row>
    <row r="62" spans="1:8">
      <c r="A62" s="99"/>
      <c r="B62" s="1054"/>
      <c r="C62" s="4" t="s">
        <v>363</v>
      </c>
      <c r="D62" s="4" t="s">
        <v>1018</v>
      </c>
      <c r="E62" s="84" t="s">
        <v>363</v>
      </c>
      <c r="F62" s="265" t="s">
        <v>235</v>
      </c>
      <c r="G62" s="99"/>
      <c r="H62" s="99"/>
    </row>
    <row r="63" spans="1:8">
      <c r="A63" s="99"/>
      <c r="B63" s="1054"/>
      <c r="C63" s="4" t="s">
        <v>1019</v>
      </c>
      <c r="D63" s="4" t="s">
        <v>1020</v>
      </c>
      <c r="E63" s="84" t="s">
        <v>366</v>
      </c>
      <c r="F63" s="269" t="s">
        <v>237</v>
      </c>
      <c r="G63" s="99"/>
      <c r="H63" s="99"/>
    </row>
    <row r="64" spans="1:8">
      <c r="A64" s="99"/>
      <c r="B64" s="1054"/>
      <c r="C64" s="1056" t="s">
        <v>1021</v>
      </c>
      <c r="D64" s="4" t="s">
        <v>1022</v>
      </c>
      <c r="E64" s="84" t="s">
        <v>378</v>
      </c>
      <c r="F64" s="265" t="s">
        <v>235</v>
      </c>
      <c r="G64" s="99"/>
      <c r="H64" s="99"/>
    </row>
    <row r="65" spans="1:8">
      <c r="A65" s="99"/>
      <c r="B65" s="1054"/>
      <c r="C65" s="1056"/>
      <c r="D65" s="4" t="s">
        <v>1023</v>
      </c>
      <c r="E65" s="84" t="s">
        <v>1024</v>
      </c>
      <c r="F65" s="271" t="s">
        <v>361</v>
      </c>
      <c r="G65" s="99"/>
      <c r="H65" s="99"/>
    </row>
    <row r="66" spans="1:8">
      <c r="A66" s="99"/>
      <c r="B66" s="1054"/>
      <c r="C66" s="4" t="s">
        <v>1025</v>
      </c>
      <c r="D66" s="4" t="s">
        <v>1026</v>
      </c>
      <c r="E66" s="84" t="s">
        <v>1027</v>
      </c>
      <c r="F66" s="269" t="s">
        <v>237</v>
      </c>
      <c r="G66" s="99"/>
      <c r="H66" s="99"/>
    </row>
    <row r="67" spans="1:8">
      <c r="A67" s="99"/>
      <c r="B67" s="1054"/>
      <c r="C67" s="4" t="s">
        <v>1028</v>
      </c>
      <c r="D67" s="4" t="s">
        <v>1029</v>
      </c>
      <c r="E67" s="84" t="s">
        <v>367</v>
      </c>
      <c r="F67" s="265" t="s">
        <v>235</v>
      </c>
      <c r="G67" s="99"/>
      <c r="H67" s="99"/>
    </row>
    <row r="68" spans="1:8">
      <c r="A68" s="99"/>
      <c r="B68" s="1054"/>
      <c r="C68" s="1056" t="s">
        <v>1030</v>
      </c>
      <c r="D68" s="4" t="s">
        <v>1031</v>
      </c>
      <c r="E68" s="84" t="s">
        <v>368</v>
      </c>
      <c r="F68" s="265" t="s">
        <v>235</v>
      </c>
      <c r="G68" s="99"/>
      <c r="H68" s="99"/>
    </row>
    <row r="69" spans="1:8">
      <c r="A69" s="99"/>
      <c r="B69" s="1054"/>
      <c r="C69" s="1056"/>
      <c r="D69" s="4" t="s">
        <v>1032</v>
      </c>
      <c r="E69" s="84" t="s">
        <v>369</v>
      </c>
      <c r="F69" s="265" t="s">
        <v>235</v>
      </c>
      <c r="G69" s="99"/>
      <c r="H69" s="99"/>
    </row>
    <row r="70" spans="1:8">
      <c r="A70" s="99"/>
      <c r="B70" s="1054"/>
      <c r="C70" s="4" t="s">
        <v>1033</v>
      </c>
      <c r="D70" s="4" t="s">
        <v>1034</v>
      </c>
      <c r="E70" s="84" t="s">
        <v>120</v>
      </c>
      <c r="F70" s="271" t="s">
        <v>361</v>
      </c>
      <c r="G70" s="99"/>
      <c r="H70" s="99"/>
    </row>
    <row r="71" spans="1:8">
      <c r="A71" s="99"/>
      <c r="B71" s="1054"/>
      <c r="C71" s="4" t="s">
        <v>1035</v>
      </c>
      <c r="D71" s="4" t="s">
        <v>1036</v>
      </c>
      <c r="E71" s="84" t="s">
        <v>353</v>
      </c>
      <c r="F71" s="265" t="s">
        <v>235</v>
      </c>
      <c r="G71" s="99"/>
      <c r="H71" s="99"/>
    </row>
    <row r="72" spans="1:8">
      <c r="A72" s="99"/>
      <c r="B72" s="1054"/>
      <c r="C72" s="4" t="s">
        <v>1037</v>
      </c>
      <c r="D72" s="4" t="s">
        <v>1038</v>
      </c>
      <c r="E72" s="84" t="s">
        <v>372</v>
      </c>
      <c r="F72" s="265" t="s">
        <v>235</v>
      </c>
      <c r="G72" s="99"/>
      <c r="H72" s="99"/>
    </row>
    <row r="73" spans="1:8">
      <c r="A73" s="99"/>
      <c r="B73" s="1054"/>
      <c r="C73" s="4" t="s">
        <v>1039</v>
      </c>
      <c r="D73" s="4" t="s">
        <v>1040</v>
      </c>
      <c r="E73" s="84" t="s">
        <v>146</v>
      </c>
      <c r="F73" s="271" t="s">
        <v>361</v>
      </c>
      <c r="G73" s="99"/>
      <c r="H73" s="99"/>
    </row>
    <row r="74" spans="1:8">
      <c r="A74" s="99"/>
      <c r="B74" s="1054"/>
      <c r="C74" s="4" t="s">
        <v>1041</v>
      </c>
      <c r="D74" s="4" t="s">
        <v>1042</v>
      </c>
      <c r="E74" s="84" t="s">
        <v>370</v>
      </c>
      <c r="F74" s="265" t="s">
        <v>235</v>
      </c>
      <c r="G74" s="99"/>
      <c r="H74" s="99"/>
    </row>
    <row r="75" spans="1:8">
      <c r="A75" s="99"/>
      <c r="B75" s="1054"/>
      <c r="C75" s="4" t="s">
        <v>1043</v>
      </c>
      <c r="D75" s="4" t="s">
        <v>1044</v>
      </c>
      <c r="E75" s="84" t="s">
        <v>1045</v>
      </c>
      <c r="F75" s="265" t="s">
        <v>235</v>
      </c>
      <c r="G75" s="99"/>
      <c r="H75" s="99"/>
    </row>
    <row r="76" spans="1:8">
      <c r="A76" s="99"/>
      <c r="B76" s="1054"/>
      <c r="C76" s="4" t="s">
        <v>1046</v>
      </c>
      <c r="D76" s="4" t="s">
        <v>1047</v>
      </c>
      <c r="E76" s="84" t="s">
        <v>1048</v>
      </c>
      <c r="F76" s="265" t="s">
        <v>235</v>
      </c>
      <c r="G76" s="99"/>
      <c r="H76" s="99"/>
    </row>
    <row r="77" spans="1:8">
      <c r="A77" s="99"/>
      <c r="B77" s="1054"/>
      <c r="C77" s="1056" t="s">
        <v>1049</v>
      </c>
      <c r="D77" s="4" t="s">
        <v>1050</v>
      </c>
      <c r="E77" s="84" t="s">
        <v>373</v>
      </c>
      <c r="F77" s="265" t="s">
        <v>235</v>
      </c>
      <c r="G77" s="99"/>
      <c r="H77" s="99"/>
    </row>
    <row r="78" spans="1:8">
      <c r="A78" s="99"/>
      <c r="B78" s="1054"/>
      <c r="C78" s="1056"/>
      <c r="D78" s="4" t="s">
        <v>1051</v>
      </c>
      <c r="E78" s="84" t="s">
        <v>1052</v>
      </c>
      <c r="F78" s="265" t="s">
        <v>235</v>
      </c>
      <c r="G78" s="99"/>
      <c r="H78" s="99"/>
    </row>
    <row r="79" spans="1:8" ht="15" customHeight="1">
      <c r="A79" s="99"/>
      <c r="B79" s="1055"/>
      <c r="C79" s="3" t="s">
        <v>1053</v>
      </c>
      <c r="D79" s="3" t="s">
        <v>1054</v>
      </c>
      <c r="E79" s="266" t="s">
        <v>365</v>
      </c>
      <c r="F79" s="275" t="s">
        <v>361</v>
      </c>
      <c r="G79" s="99"/>
      <c r="H79" s="99"/>
    </row>
    <row r="80" spans="1:8">
      <c r="A80" s="99"/>
      <c r="B80" s="1053" t="s">
        <v>244</v>
      </c>
      <c r="C80" s="1057" t="s">
        <v>1055</v>
      </c>
      <c r="D80" s="5" t="s">
        <v>1056</v>
      </c>
      <c r="E80" s="263" t="s">
        <v>379</v>
      </c>
      <c r="F80" s="264" t="s">
        <v>235</v>
      </c>
      <c r="G80" s="99"/>
      <c r="H80" s="99"/>
    </row>
    <row r="81" spans="1:8">
      <c r="A81" s="99"/>
      <c r="B81" s="1054"/>
      <c r="C81" s="1056"/>
      <c r="D81" s="4" t="s">
        <v>1057</v>
      </c>
      <c r="E81" s="84" t="s">
        <v>1058</v>
      </c>
      <c r="F81" s="269" t="s">
        <v>237</v>
      </c>
      <c r="G81" s="99"/>
      <c r="H81" s="99"/>
    </row>
    <row r="82" spans="1:8">
      <c r="A82" s="99"/>
      <c r="B82" s="1054"/>
      <c r="C82" s="4" t="s">
        <v>1059</v>
      </c>
      <c r="D82" s="4" t="s">
        <v>1060</v>
      </c>
      <c r="E82" s="84" t="s">
        <v>381</v>
      </c>
      <c r="F82" s="269" t="s">
        <v>237</v>
      </c>
      <c r="G82" s="99"/>
      <c r="H82" s="99"/>
    </row>
    <row r="83" spans="1:8" ht="15" customHeight="1">
      <c r="A83" s="99"/>
      <c r="B83" s="1055"/>
      <c r="C83" s="3" t="s">
        <v>1061</v>
      </c>
      <c r="D83" s="3" t="s">
        <v>1062</v>
      </c>
      <c r="E83" s="266" t="s">
        <v>382</v>
      </c>
      <c r="F83" s="270" t="s">
        <v>237</v>
      </c>
      <c r="G83" s="99"/>
      <c r="H83" s="99"/>
    </row>
    <row r="84" spans="1:8">
      <c r="A84" s="99"/>
      <c r="B84" s="99"/>
      <c r="C84" s="99"/>
      <c r="D84" s="99"/>
      <c r="E84" s="99"/>
      <c r="F84" s="99"/>
      <c r="G84" s="99"/>
      <c r="H84" s="99"/>
    </row>
    <row r="85" spans="1:8">
      <c r="A85" s="99"/>
      <c r="B85" s="99"/>
      <c r="C85" s="99"/>
      <c r="D85" s="99"/>
      <c r="E85" s="99"/>
      <c r="F85" s="99"/>
      <c r="G85" s="99"/>
      <c r="H85" s="99"/>
    </row>
    <row r="86" spans="1:8">
      <c r="A86" s="99"/>
      <c r="B86" s="99"/>
      <c r="C86" s="99"/>
      <c r="D86" s="99"/>
      <c r="E86" s="99"/>
      <c r="F86" s="99"/>
      <c r="G86" s="99"/>
      <c r="H86" s="99"/>
    </row>
    <row r="87" spans="1:8">
      <c r="A87" s="99"/>
      <c r="B87" s="99"/>
      <c r="C87" s="99"/>
      <c r="D87" s="99"/>
      <c r="E87" s="99"/>
      <c r="F87" s="99"/>
      <c r="G87" s="99"/>
      <c r="H87" s="99"/>
    </row>
    <row r="88" spans="1:8">
      <c r="A88" s="99"/>
      <c r="B88" s="99"/>
      <c r="C88" s="99"/>
      <c r="D88" s="99"/>
      <c r="E88" s="99"/>
      <c r="F88" s="99"/>
      <c r="G88" s="99"/>
      <c r="H88" s="99"/>
    </row>
    <row r="89" spans="1:8" hidden="1">
      <c r="A89" s="99"/>
      <c r="B89" s="99"/>
      <c r="C89" s="99"/>
      <c r="D89" s="99"/>
      <c r="E89" s="99"/>
      <c r="F89" s="99"/>
      <c r="G89" s="99"/>
      <c r="H89" s="99"/>
    </row>
    <row r="90" spans="1:8" hidden="1">
      <c r="A90" s="99"/>
      <c r="B90" s="99"/>
      <c r="C90" s="99"/>
      <c r="D90" s="99"/>
      <c r="E90" s="99"/>
      <c r="F90" s="99"/>
      <c r="G90" s="99"/>
      <c r="H90" s="99"/>
    </row>
    <row r="91" spans="1:8" hidden="1">
      <c r="A91" s="99"/>
      <c r="B91" s="99"/>
      <c r="C91" s="99"/>
      <c r="D91" s="99"/>
      <c r="E91" s="99"/>
      <c r="F91" s="99"/>
      <c r="G91" s="99"/>
      <c r="H91" s="99"/>
    </row>
    <row r="92" spans="1:8" hidden="1">
      <c r="A92" s="99"/>
      <c r="B92" s="99"/>
      <c r="C92" s="99"/>
      <c r="D92" s="99"/>
      <c r="E92" s="99"/>
      <c r="F92" s="99"/>
      <c r="G92" s="99"/>
      <c r="H92" s="99"/>
    </row>
    <row r="93" spans="1:8" hidden="1">
      <c r="A93" s="99"/>
      <c r="B93" s="99"/>
      <c r="C93" s="99"/>
      <c r="D93" s="99"/>
      <c r="E93" s="99"/>
      <c r="F93" s="99"/>
      <c r="G93" s="99"/>
      <c r="H93" s="99"/>
    </row>
    <row r="94" spans="1:8" hidden="1">
      <c r="A94" s="99"/>
      <c r="B94" s="99"/>
      <c r="C94" s="99"/>
      <c r="D94" s="99"/>
      <c r="E94" s="99"/>
      <c r="F94" s="99"/>
      <c r="G94" s="99"/>
      <c r="H94" s="99"/>
    </row>
    <row r="95" spans="1:8" hidden="1">
      <c r="A95" s="99"/>
      <c r="B95" s="99"/>
      <c r="C95" s="99"/>
      <c r="D95" s="99"/>
      <c r="E95" s="99"/>
      <c r="F95" s="99"/>
      <c r="G95" s="99"/>
      <c r="H95" s="99"/>
    </row>
    <row r="96" spans="1:8" hidden="1">
      <c r="A96" s="99"/>
      <c r="B96" s="99"/>
      <c r="C96" s="99"/>
      <c r="D96" s="99"/>
      <c r="E96" s="99"/>
      <c r="F96" s="99"/>
      <c r="G96" s="99"/>
      <c r="H96" s="99"/>
    </row>
    <row r="97" spans="1:8" hidden="1">
      <c r="A97" s="99"/>
      <c r="B97" s="99"/>
      <c r="C97" s="99"/>
      <c r="D97" s="99"/>
      <c r="E97" s="99"/>
      <c r="F97" s="99"/>
      <c r="G97" s="99"/>
      <c r="H97" s="99"/>
    </row>
    <row r="98" spans="1:8" hidden="1">
      <c r="A98" s="99"/>
      <c r="B98" s="99"/>
      <c r="C98" s="99"/>
      <c r="D98" s="99"/>
      <c r="E98" s="99"/>
      <c r="F98" s="99"/>
      <c r="G98" s="99"/>
      <c r="H98" s="99"/>
    </row>
    <row r="99" spans="1:8" hidden="1">
      <c r="A99" s="99"/>
      <c r="B99" s="99"/>
      <c r="C99" s="99"/>
      <c r="D99" s="99"/>
      <c r="E99" s="99"/>
      <c r="F99" s="99"/>
      <c r="G99" s="99"/>
      <c r="H99" s="99"/>
    </row>
    <row r="100" spans="1:8" hidden="1">
      <c r="A100" s="99"/>
      <c r="B100" s="99"/>
      <c r="C100" s="99"/>
      <c r="D100" s="99"/>
      <c r="E100" s="99"/>
      <c r="F100" s="99"/>
      <c r="G100" s="99"/>
      <c r="H100" s="99"/>
    </row>
    <row r="101" spans="1:8" hidden="1">
      <c r="A101" s="99"/>
      <c r="B101" s="99"/>
      <c r="C101" s="99"/>
      <c r="D101" s="99"/>
      <c r="E101" s="99"/>
      <c r="F101" s="99"/>
      <c r="G101" s="99"/>
      <c r="H101" s="99"/>
    </row>
    <row r="102" spans="1:8" hidden="1">
      <c r="A102" s="99"/>
      <c r="B102" s="99"/>
      <c r="C102" s="99"/>
      <c r="D102" s="99"/>
      <c r="E102" s="99"/>
      <c r="F102" s="99"/>
      <c r="G102" s="99"/>
      <c r="H102" s="99"/>
    </row>
    <row r="103" spans="1:8" hidden="1">
      <c r="A103" s="99"/>
      <c r="B103" s="99"/>
      <c r="C103" s="99"/>
      <c r="D103" s="99"/>
      <c r="E103" s="99"/>
      <c r="F103" s="99"/>
      <c r="G103" s="99"/>
      <c r="H103" s="99"/>
    </row>
    <row r="104" spans="1:8" hidden="1">
      <c r="A104" s="99"/>
      <c r="B104" s="99"/>
      <c r="C104" s="99"/>
      <c r="D104" s="99"/>
      <c r="E104" s="99"/>
      <c r="F104" s="99"/>
      <c r="G104" s="99"/>
      <c r="H104" s="99"/>
    </row>
    <row r="105" spans="1:8" hidden="1">
      <c r="A105" s="99"/>
      <c r="B105" s="99"/>
      <c r="C105" s="99"/>
      <c r="D105" s="99"/>
      <c r="E105" s="99"/>
      <c r="F105" s="99"/>
      <c r="G105" s="99"/>
      <c r="H105" s="99"/>
    </row>
    <row r="106" spans="1:8" hidden="1">
      <c r="A106" s="99"/>
      <c r="B106" s="99"/>
      <c r="C106" s="99"/>
      <c r="D106" s="99"/>
      <c r="E106" s="99"/>
      <c r="F106" s="99"/>
      <c r="G106" s="99"/>
      <c r="H106" s="99"/>
    </row>
    <row r="107" spans="1:8" hidden="1">
      <c r="A107" s="99"/>
      <c r="B107" s="99"/>
      <c r="C107" s="99"/>
      <c r="D107" s="99"/>
      <c r="E107" s="99"/>
      <c r="F107" s="99"/>
      <c r="G107" s="99"/>
      <c r="H107" s="99"/>
    </row>
    <row r="108" spans="1:8" hidden="1">
      <c r="A108" s="99"/>
      <c r="B108" s="99"/>
      <c r="C108" s="99"/>
      <c r="D108" s="99"/>
      <c r="E108" s="99"/>
      <c r="F108" s="99"/>
      <c r="G108" s="99"/>
      <c r="H108" s="99"/>
    </row>
    <row r="109" spans="1:8" hidden="1">
      <c r="A109" s="99"/>
      <c r="B109" s="99"/>
      <c r="C109" s="99"/>
      <c r="D109" s="99"/>
      <c r="E109" s="99"/>
      <c r="F109" s="99"/>
      <c r="G109" s="99"/>
      <c r="H109" s="99"/>
    </row>
    <row r="110" spans="1:8" hidden="1">
      <c r="A110" s="99"/>
      <c r="B110" s="99"/>
      <c r="C110" s="99"/>
      <c r="D110" s="99"/>
      <c r="E110" s="99"/>
      <c r="F110" s="99"/>
      <c r="G110" s="99"/>
      <c r="H110" s="99"/>
    </row>
    <row r="111" spans="1:8" hidden="1">
      <c r="A111" s="99"/>
      <c r="B111" s="99"/>
      <c r="C111" s="99"/>
      <c r="D111" s="99"/>
      <c r="E111" s="99"/>
      <c r="F111" s="99"/>
      <c r="G111" s="99"/>
      <c r="H111" s="99"/>
    </row>
    <row r="112" spans="1:8" hidden="1">
      <c r="A112" s="99"/>
      <c r="B112" s="99"/>
      <c r="C112" s="99"/>
      <c r="D112" s="99"/>
      <c r="E112" s="99"/>
      <c r="F112" s="99"/>
      <c r="G112" s="99"/>
      <c r="H112" s="99"/>
    </row>
    <row r="113" spans="1:8" hidden="1">
      <c r="A113" s="99"/>
      <c r="B113" s="99"/>
      <c r="C113" s="99"/>
      <c r="D113" s="99"/>
      <c r="E113" s="99"/>
      <c r="F113" s="99"/>
      <c r="G113" s="99"/>
      <c r="H113" s="99"/>
    </row>
    <row r="114" spans="1:8" hidden="1">
      <c r="A114" s="99"/>
      <c r="B114" s="99"/>
      <c r="C114" s="99"/>
      <c r="D114" s="99"/>
      <c r="E114" s="99"/>
      <c r="F114" s="99"/>
      <c r="G114" s="99"/>
      <c r="H114" s="99"/>
    </row>
    <row r="115" spans="1:8" hidden="1">
      <c r="A115" s="99"/>
      <c r="B115" s="99"/>
      <c r="C115" s="99"/>
      <c r="D115" s="99"/>
      <c r="E115" s="99"/>
      <c r="F115" s="99"/>
      <c r="G115" s="99"/>
      <c r="H115" s="99"/>
    </row>
    <row r="116" spans="1:8" hidden="1">
      <c r="A116" s="99"/>
      <c r="B116" s="99"/>
      <c r="C116" s="99"/>
      <c r="D116" s="99"/>
      <c r="E116" s="99"/>
      <c r="F116" s="99"/>
      <c r="G116" s="99"/>
      <c r="H116" s="99"/>
    </row>
    <row r="117" spans="1:8" hidden="1">
      <c r="A117" s="99"/>
      <c r="B117" s="99"/>
      <c r="C117" s="99"/>
      <c r="D117" s="99"/>
      <c r="E117" s="99"/>
      <c r="F117" s="99"/>
      <c r="G117" s="99"/>
      <c r="H117" s="99"/>
    </row>
    <row r="118" spans="1:8" hidden="1">
      <c r="A118" s="99"/>
      <c r="B118" s="99"/>
      <c r="C118" s="99"/>
      <c r="D118" s="99"/>
      <c r="E118" s="99"/>
      <c r="F118" s="99"/>
      <c r="G118" s="99"/>
      <c r="H118" s="99"/>
    </row>
    <row r="119" spans="1:8" hidden="1">
      <c r="A119" s="99"/>
      <c r="B119" s="99"/>
      <c r="C119" s="99"/>
      <c r="D119" s="99"/>
      <c r="E119" s="99"/>
      <c r="F119" s="99"/>
      <c r="G119" s="99"/>
      <c r="H119" s="99"/>
    </row>
    <row r="120" spans="1:8" hidden="1">
      <c r="A120" s="99"/>
      <c r="B120" s="99"/>
      <c r="C120" s="99"/>
      <c r="D120" s="99"/>
      <c r="E120" s="99"/>
      <c r="F120" s="99"/>
      <c r="G120" s="99"/>
      <c r="H120" s="99"/>
    </row>
    <row r="121" spans="1:8" hidden="1">
      <c r="A121" s="99"/>
      <c r="B121" s="99"/>
      <c r="C121" s="99"/>
      <c r="D121" s="99"/>
      <c r="E121" s="99"/>
      <c r="F121" s="99"/>
      <c r="G121" s="99"/>
      <c r="H121" s="99"/>
    </row>
    <row r="122" spans="1:8" hidden="1">
      <c r="A122" s="99"/>
      <c r="B122" s="99"/>
      <c r="C122" s="99"/>
      <c r="D122" s="99"/>
      <c r="E122" s="99"/>
      <c r="F122" s="99"/>
      <c r="G122" s="99"/>
      <c r="H122" s="99"/>
    </row>
    <row r="123" spans="1:8" hidden="1">
      <c r="A123" s="99"/>
      <c r="B123" s="99"/>
      <c r="C123" s="99"/>
      <c r="D123" s="99"/>
      <c r="E123" s="99"/>
      <c r="F123" s="99"/>
      <c r="G123" s="99"/>
      <c r="H123" s="99"/>
    </row>
    <row r="124" spans="1:8" hidden="1">
      <c r="A124" s="99"/>
      <c r="B124" s="99"/>
      <c r="C124" s="99"/>
      <c r="D124" s="99"/>
      <c r="E124" s="99"/>
      <c r="F124" s="99"/>
      <c r="G124" s="99"/>
      <c r="H124" s="99"/>
    </row>
    <row r="125" spans="1:8" hidden="1">
      <c r="A125" s="99"/>
      <c r="B125" s="99"/>
      <c r="C125" s="99"/>
      <c r="D125" s="99"/>
      <c r="E125" s="99"/>
      <c r="F125" s="99"/>
      <c r="G125" s="99"/>
      <c r="H125" s="99"/>
    </row>
    <row r="126" spans="1:8" hidden="1">
      <c r="A126" s="99"/>
      <c r="B126" s="99"/>
      <c r="C126" s="99"/>
      <c r="D126" s="99"/>
      <c r="E126" s="99"/>
      <c r="F126" s="99"/>
      <c r="G126" s="99"/>
      <c r="H126" s="99"/>
    </row>
    <row r="127" spans="1:8" hidden="1">
      <c r="A127" s="99"/>
      <c r="B127" s="99"/>
      <c r="C127" s="99"/>
      <c r="D127" s="99"/>
      <c r="E127" s="99"/>
      <c r="F127" s="99"/>
      <c r="G127" s="99"/>
      <c r="H127" s="99"/>
    </row>
    <row r="128" spans="1:8" hidden="1">
      <c r="A128" s="99"/>
      <c r="B128" s="99"/>
      <c r="C128" s="99"/>
      <c r="D128" s="99"/>
      <c r="E128" s="99"/>
      <c r="F128" s="99"/>
      <c r="G128" s="99"/>
      <c r="H128" s="99"/>
    </row>
    <row r="129" spans="1:8" hidden="1">
      <c r="A129" s="99"/>
      <c r="B129" s="99"/>
      <c r="C129" s="99"/>
      <c r="D129" s="99"/>
      <c r="E129" s="99"/>
      <c r="F129" s="99"/>
      <c r="G129" s="99"/>
      <c r="H129" s="99"/>
    </row>
    <row r="130" spans="1:8" hidden="1">
      <c r="A130" s="99"/>
      <c r="B130" s="99"/>
      <c r="C130" s="99"/>
      <c r="D130" s="99"/>
      <c r="E130" s="99"/>
      <c r="F130" s="99"/>
      <c r="G130" s="99"/>
      <c r="H130" s="99"/>
    </row>
    <row r="131" spans="1:8" hidden="1">
      <c r="A131" s="99"/>
      <c r="B131" s="99"/>
      <c r="C131" s="99"/>
      <c r="D131" s="99"/>
      <c r="E131" s="99"/>
      <c r="F131" s="99"/>
      <c r="G131" s="99"/>
      <c r="H131" s="99"/>
    </row>
    <row r="132" spans="1:8" hidden="1">
      <c r="A132" s="99"/>
      <c r="B132" s="99"/>
      <c r="C132" s="99"/>
      <c r="D132" s="99"/>
      <c r="E132" s="99"/>
      <c r="F132" s="99"/>
      <c r="G132" s="99"/>
      <c r="H132" s="99"/>
    </row>
    <row r="133" spans="1:8" hidden="1">
      <c r="A133" s="99"/>
      <c r="B133" s="99"/>
      <c r="C133" s="99"/>
      <c r="D133" s="99"/>
      <c r="E133" s="99"/>
      <c r="F133" s="99"/>
      <c r="G133" s="99"/>
      <c r="H133" s="99"/>
    </row>
    <row r="134" spans="1:8" hidden="1">
      <c r="A134" s="99"/>
      <c r="B134" s="99"/>
      <c r="C134" s="99"/>
      <c r="D134" s="99"/>
      <c r="E134" s="99"/>
      <c r="F134" s="99"/>
      <c r="G134" s="99"/>
      <c r="H134" s="99"/>
    </row>
    <row r="135" spans="1:8" hidden="1">
      <c r="A135" s="99"/>
      <c r="B135" s="99"/>
      <c r="C135" s="99"/>
      <c r="D135" s="99"/>
      <c r="E135" s="99"/>
      <c r="F135" s="99"/>
      <c r="G135" s="99"/>
      <c r="H135" s="99"/>
    </row>
    <row r="136" spans="1:8" hidden="1">
      <c r="A136" s="99"/>
      <c r="B136" s="99"/>
      <c r="C136" s="99"/>
      <c r="D136" s="99"/>
      <c r="E136" s="99"/>
      <c r="F136" s="99"/>
      <c r="G136" s="99"/>
      <c r="H136" s="99"/>
    </row>
    <row r="137" spans="1:8" hidden="1">
      <c r="A137" s="99"/>
      <c r="B137" s="99"/>
      <c r="C137" s="99"/>
      <c r="D137" s="99"/>
      <c r="E137" s="99"/>
      <c r="F137" s="99"/>
      <c r="G137" s="99"/>
      <c r="H137" s="99"/>
    </row>
    <row r="138" spans="1:8" hidden="1">
      <c r="A138" s="99"/>
      <c r="B138" s="99"/>
      <c r="C138" s="99"/>
      <c r="D138" s="99"/>
      <c r="E138" s="99"/>
      <c r="F138" s="99"/>
      <c r="G138" s="99"/>
      <c r="H138" s="99"/>
    </row>
    <row r="139" spans="1:8" hidden="1">
      <c r="A139" s="99"/>
      <c r="B139" s="99"/>
      <c r="C139" s="99"/>
      <c r="D139" s="99"/>
      <c r="E139" s="99"/>
      <c r="F139" s="99"/>
      <c r="G139" s="99"/>
      <c r="H139" s="99"/>
    </row>
    <row r="140" spans="1:8" hidden="1">
      <c r="A140" s="99"/>
      <c r="B140" s="99"/>
      <c r="C140" s="99"/>
      <c r="D140" s="99"/>
      <c r="E140" s="99"/>
      <c r="F140" s="99"/>
      <c r="G140" s="99"/>
      <c r="H140" s="99"/>
    </row>
    <row r="141" spans="1:8" hidden="1">
      <c r="A141" s="99"/>
      <c r="B141" s="99"/>
      <c r="C141" s="99"/>
      <c r="D141" s="99"/>
      <c r="E141" s="99"/>
      <c r="F141" s="99"/>
      <c r="G141" s="99"/>
      <c r="H141" s="99"/>
    </row>
    <row r="142" spans="1:8" hidden="1">
      <c r="A142" s="99"/>
      <c r="B142" s="99"/>
      <c r="C142" s="99"/>
      <c r="D142" s="99"/>
      <c r="E142" s="99"/>
      <c r="F142" s="99"/>
      <c r="G142" s="99"/>
      <c r="H142" s="99"/>
    </row>
    <row r="143" spans="1:8" hidden="1">
      <c r="A143" s="99"/>
      <c r="B143" s="99"/>
      <c r="C143" s="99"/>
      <c r="D143" s="99"/>
      <c r="E143" s="99"/>
      <c r="F143" s="99"/>
      <c r="G143" s="99"/>
      <c r="H143" s="99"/>
    </row>
    <row r="144" spans="1:8" hidden="1">
      <c r="A144" s="99"/>
      <c r="B144" s="99"/>
      <c r="C144" s="99"/>
      <c r="D144" s="99"/>
      <c r="E144" s="99"/>
      <c r="F144" s="99"/>
      <c r="G144" s="99"/>
      <c r="H144" s="99"/>
    </row>
    <row r="145" spans="1:8" hidden="1">
      <c r="A145" s="99"/>
      <c r="B145" s="99"/>
      <c r="C145" s="99"/>
      <c r="D145" s="99"/>
      <c r="E145" s="99"/>
      <c r="F145" s="99"/>
      <c r="G145" s="99"/>
      <c r="H145" s="99"/>
    </row>
    <row r="146" spans="1:8" hidden="1">
      <c r="A146" s="99"/>
      <c r="B146" s="99"/>
      <c r="C146" s="99"/>
      <c r="D146" s="99"/>
      <c r="E146" s="99"/>
      <c r="F146" s="99"/>
      <c r="G146" s="99"/>
      <c r="H146" s="99"/>
    </row>
    <row r="147" spans="1:8" hidden="1">
      <c r="A147" s="99"/>
      <c r="B147" s="99"/>
      <c r="C147" s="99"/>
      <c r="D147" s="99"/>
      <c r="E147" s="99"/>
      <c r="F147" s="99"/>
      <c r="G147" s="99"/>
      <c r="H147" s="99"/>
    </row>
    <row r="148" spans="1:8" hidden="1">
      <c r="A148" s="99"/>
      <c r="B148" s="99"/>
      <c r="C148" s="99"/>
      <c r="D148" s="99"/>
      <c r="E148" s="99"/>
      <c r="F148" s="99"/>
      <c r="G148" s="99"/>
      <c r="H148" s="99"/>
    </row>
    <row r="149" spans="1:8" hidden="1">
      <c r="A149" s="99"/>
      <c r="B149" s="99"/>
      <c r="C149" s="99"/>
      <c r="D149" s="99"/>
      <c r="E149" s="99"/>
      <c r="F149" s="99"/>
      <c r="G149" s="99"/>
      <c r="H149" s="99"/>
    </row>
    <row r="150" spans="1:8" hidden="1">
      <c r="A150" s="99"/>
      <c r="B150" s="99"/>
      <c r="C150" s="99"/>
      <c r="D150" s="99"/>
      <c r="E150" s="99"/>
      <c r="F150" s="99"/>
      <c r="G150" s="99"/>
      <c r="H150" s="99"/>
    </row>
    <row r="151" spans="1:8" hidden="1">
      <c r="A151" s="99"/>
      <c r="B151" s="99"/>
      <c r="C151" s="99"/>
    </row>
    <row r="152" spans="1:8" hidden="1">
      <c r="A152" s="99"/>
      <c r="B152" s="99"/>
      <c r="C152" s="99"/>
    </row>
    <row r="153" spans="1:8" hidden="1">
      <c r="A153" s="99"/>
      <c r="B153" s="99"/>
      <c r="C153" s="99"/>
    </row>
    <row r="154" spans="1:8" hidden="1">
      <c r="A154" s="99"/>
      <c r="B154" s="99"/>
      <c r="C154" s="99"/>
    </row>
    <row r="155" spans="1:8" hidden="1">
      <c r="A155" s="99"/>
      <c r="B155" s="99"/>
      <c r="C155" s="99"/>
    </row>
    <row r="156" spans="1:8" hidden="1">
      <c r="A156" s="99"/>
      <c r="B156" s="99"/>
      <c r="C156" s="99"/>
    </row>
    <row r="157" spans="1:8" hidden="1">
      <c r="A157" s="99"/>
      <c r="B157" s="99"/>
      <c r="C157" s="99"/>
    </row>
  </sheetData>
  <sheetProtection algorithmName="SHA-512" hashValue="EmqrClNIRDnSxrV/2MQgHeJifKtVm0+/6N01XW+bfpiDhMztKlscttsSL6HPPG2Uwv0GS+6K/y971SbZpwRhVg==" saltValue="dWdqNwtSu44KuHj9+KImXQ==" spinCount="100000" sheet="1" autoFilter="0"/>
  <autoFilter ref="B2:F83" xr:uid="{00000000-0009-0000-0000-00000C000000}"/>
  <mergeCells count="22">
    <mergeCell ref="B4:B14"/>
    <mergeCell ref="C4:C7"/>
    <mergeCell ref="C8:C12"/>
    <mergeCell ref="B15:B19"/>
    <mergeCell ref="C17:C19"/>
    <mergeCell ref="B20:B27"/>
    <mergeCell ref="C21:C27"/>
    <mergeCell ref="B28:B38"/>
    <mergeCell ref="C28:C30"/>
    <mergeCell ref="C31:C33"/>
    <mergeCell ref="C35:C38"/>
    <mergeCell ref="B39:B41"/>
    <mergeCell ref="B42:B51"/>
    <mergeCell ref="B52:B53"/>
    <mergeCell ref="B54:B56"/>
    <mergeCell ref="B57:B58"/>
    <mergeCell ref="B59:B79"/>
    <mergeCell ref="C64:C65"/>
    <mergeCell ref="C68:C69"/>
    <mergeCell ref="C77:C78"/>
    <mergeCell ref="B80:B83"/>
    <mergeCell ref="C80:C8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C1FC-599F-4926-A32A-1E367FA2FBD2}">
  <sheetPr codeName="Sheet6">
    <tabColor theme="0" tint="-0.249977111117893"/>
    <pageSetUpPr fitToPage="1"/>
  </sheetPr>
  <dimension ref="A1:K39"/>
  <sheetViews>
    <sheetView zoomScale="80" zoomScaleNormal="80" workbookViewId="0"/>
  </sheetViews>
  <sheetFormatPr defaultColWidth="0" defaultRowHeight="0" customHeight="1" zeroHeight="1"/>
  <cols>
    <col min="1" max="1" width="4.5703125" customWidth="1"/>
    <col min="2" max="3" width="39.28515625" customWidth="1"/>
    <col min="4" max="4" width="70.7109375" customWidth="1"/>
    <col min="5" max="5" width="6" customWidth="1"/>
    <col min="6" max="6" width="13.7109375" customWidth="1"/>
    <col min="7" max="11" width="8.7109375" customWidth="1"/>
    <col min="12" max="12" width="8.7109375" hidden="1" customWidth="1"/>
    <col min="13" max="16384" width="8.7109375" hidden="1"/>
  </cols>
  <sheetData>
    <row r="1" spans="1:11" ht="15" customHeight="1">
      <c r="A1" s="99"/>
      <c r="B1" s="99"/>
      <c r="C1" s="99"/>
      <c r="D1" s="99"/>
      <c r="E1" s="99"/>
      <c r="F1" s="99"/>
      <c r="G1" s="99"/>
      <c r="H1" s="99"/>
      <c r="I1" s="99"/>
      <c r="J1" s="99"/>
      <c r="K1" s="99"/>
    </row>
    <row r="2" spans="1:11" ht="32.65" customHeight="1">
      <c r="A2" s="99"/>
      <c r="B2" s="630" t="s">
        <v>16</v>
      </c>
      <c r="C2" s="631"/>
      <c r="D2" s="283" t="s">
        <v>17</v>
      </c>
      <c r="E2" s="109"/>
      <c r="F2" s="99"/>
      <c r="G2" s="99"/>
      <c r="H2" s="99"/>
      <c r="I2" s="99"/>
      <c r="J2" s="99"/>
      <c r="K2" s="99"/>
    </row>
    <row r="3" spans="1:11" ht="42" customHeight="1">
      <c r="A3" s="99"/>
      <c r="B3" s="618" t="s">
        <v>18</v>
      </c>
      <c r="C3" s="619"/>
      <c r="D3" s="547" t="s">
        <v>19</v>
      </c>
      <c r="E3" s="99"/>
      <c r="F3" s="99"/>
      <c r="G3" s="99"/>
      <c r="H3" s="99"/>
      <c r="I3" s="99"/>
      <c r="J3" s="99"/>
      <c r="K3" s="99"/>
    </row>
    <row r="4" spans="1:11" ht="42" customHeight="1">
      <c r="A4" s="99"/>
      <c r="B4" s="628" t="s">
        <v>20</v>
      </c>
      <c r="C4" s="629"/>
      <c r="D4" s="548" t="s">
        <v>21</v>
      </c>
      <c r="E4" s="99"/>
      <c r="F4" s="99"/>
      <c r="G4" s="99"/>
      <c r="H4" s="99"/>
      <c r="I4" s="99"/>
      <c r="J4" s="99"/>
      <c r="K4" s="99"/>
    </row>
    <row r="5" spans="1:11" ht="42" customHeight="1">
      <c r="A5" s="99"/>
      <c r="B5" s="628" t="s">
        <v>22</v>
      </c>
      <c r="C5" s="629"/>
      <c r="D5" s="548" t="s">
        <v>23</v>
      </c>
      <c r="E5" s="99"/>
      <c r="F5" s="99"/>
      <c r="G5" s="99"/>
      <c r="H5" s="99"/>
      <c r="I5" s="99"/>
      <c r="J5" s="99"/>
      <c r="K5" s="99"/>
    </row>
    <row r="6" spans="1:11" ht="42" customHeight="1">
      <c r="A6" s="99"/>
      <c r="B6" s="628" t="s">
        <v>24</v>
      </c>
      <c r="C6" s="629"/>
      <c r="D6" s="548" t="s">
        <v>25</v>
      </c>
      <c r="E6" s="99"/>
      <c r="F6" s="99"/>
      <c r="G6" s="99"/>
      <c r="H6" s="99"/>
      <c r="I6" s="99"/>
      <c r="J6" s="99"/>
      <c r="K6" s="99"/>
    </row>
    <row r="7" spans="1:11" ht="42" customHeight="1">
      <c r="A7" s="99"/>
      <c r="B7" s="628" t="s">
        <v>26</v>
      </c>
      <c r="C7" s="629"/>
      <c r="D7" s="548" t="s">
        <v>27</v>
      </c>
      <c r="E7" s="99"/>
      <c r="F7" s="99"/>
      <c r="G7" s="99"/>
      <c r="H7" s="99"/>
      <c r="I7" s="99"/>
      <c r="J7" s="99"/>
      <c r="K7" s="99"/>
    </row>
    <row r="8" spans="1:11" ht="42" customHeight="1">
      <c r="A8" s="99"/>
      <c r="B8" s="628" t="s">
        <v>28</v>
      </c>
      <c r="C8" s="629"/>
      <c r="D8" s="548" t="s">
        <v>29</v>
      </c>
      <c r="E8" s="99"/>
      <c r="F8" s="99"/>
      <c r="G8" s="99"/>
      <c r="H8" s="99"/>
      <c r="I8" s="99"/>
      <c r="J8" s="99"/>
      <c r="K8" s="99"/>
    </row>
    <row r="9" spans="1:11" ht="42" customHeight="1">
      <c r="A9" s="99"/>
      <c r="B9" s="628" t="s">
        <v>30</v>
      </c>
      <c r="C9" s="629"/>
      <c r="D9" s="307" t="s">
        <v>31</v>
      </c>
      <c r="E9" s="99"/>
      <c r="F9" s="99"/>
      <c r="G9" s="99"/>
      <c r="H9" s="99"/>
      <c r="I9" s="99"/>
      <c r="J9" s="99"/>
      <c r="K9" s="99"/>
    </row>
    <row r="10" spans="1:11" ht="42" customHeight="1">
      <c r="A10" s="99"/>
      <c r="B10" s="628" t="s">
        <v>32</v>
      </c>
      <c r="C10" s="629"/>
      <c r="D10" s="548"/>
      <c r="E10" s="99"/>
      <c r="F10" s="99"/>
      <c r="G10" s="99"/>
      <c r="H10" s="99"/>
      <c r="I10" s="99"/>
      <c r="J10" s="99"/>
      <c r="K10" s="99"/>
    </row>
    <row r="11" spans="1:11" ht="42" customHeight="1">
      <c r="A11" s="99"/>
      <c r="B11" s="620" t="s">
        <v>33</v>
      </c>
      <c r="C11" s="621"/>
      <c r="D11" s="549" t="s">
        <v>21</v>
      </c>
      <c r="E11" s="99"/>
      <c r="F11" s="99"/>
      <c r="G11" s="99"/>
      <c r="H11" s="99"/>
      <c r="I11" s="99"/>
      <c r="J11" s="99"/>
      <c r="K11" s="99"/>
    </row>
    <row r="12" spans="1:11" ht="42" customHeight="1">
      <c r="A12" s="99"/>
      <c r="B12" s="120" t="s">
        <v>34</v>
      </c>
      <c r="C12" s="189"/>
      <c r="D12" s="190"/>
      <c r="E12" s="99"/>
      <c r="F12" s="99"/>
      <c r="G12" s="99"/>
      <c r="H12" s="99"/>
      <c r="I12" s="99"/>
      <c r="J12" s="99"/>
      <c r="K12" s="99"/>
    </row>
    <row r="13" spans="1:11" ht="42" customHeight="1">
      <c r="A13" s="99"/>
      <c r="B13" s="622" t="s">
        <v>35</v>
      </c>
      <c r="C13" s="191" t="s">
        <v>36</v>
      </c>
      <c r="D13" s="550">
        <v>10</v>
      </c>
      <c r="E13" s="625" t="str">
        <f>IF(D13&lt;10,"Caution - % target reduced below default ▲",IF(D13&gt;10,"Caution -Target increased above default ⚠",""))</f>
        <v/>
      </c>
      <c r="F13" s="626"/>
      <c r="G13" s="626"/>
      <c r="H13" s="626"/>
      <c r="I13" s="626"/>
      <c r="J13" s="428"/>
      <c r="K13" s="99"/>
    </row>
    <row r="14" spans="1:11" ht="42" customHeight="1">
      <c r="A14" s="99"/>
      <c r="B14" s="623"/>
      <c r="C14" s="192" t="s">
        <v>37</v>
      </c>
      <c r="D14" s="551">
        <v>10</v>
      </c>
      <c r="E14" s="625" t="str">
        <f>IF(D14&lt;10,"Caution - % target reduced below default ▲",IF(D14&gt;10,"Caution -Target increased above default ⚠",""))</f>
        <v/>
      </c>
      <c r="F14" s="626"/>
      <c r="G14" s="626"/>
      <c r="H14" s="626"/>
      <c r="I14" s="626"/>
      <c r="J14" s="99"/>
      <c r="K14" s="99"/>
    </row>
    <row r="15" spans="1:11" ht="42" customHeight="1">
      <c r="A15" s="99"/>
      <c r="B15" s="624"/>
      <c r="C15" s="193" t="s">
        <v>38</v>
      </c>
      <c r="D15" s="552">
        <v>10</v>
      </c>
      <c r="E15" s="625" t="str">
        <f>IF(D15&lt;10,"Caution - % target reduced below default ▲",IF(D15&gt;10,"Caution -Target increased above default ⚠",""))</f>
        <v/>
      </c>
      <c r="F15" s="626"/>
      <c r="G15" s="626"/>
      <c r="H15" s="626"/>
      <c r="I15" s="626"/>
      <c r="J15" s="99"/>
      <c r="K15" s="99"/>
    </row>
    <row r="16" spans="1:11" ht="36.6" customHeight="1">
      <c r="A16" s="99"/>
      <c r="B16" s="76"/>
      <c r="C16" s="76"/>
      <c r="D16" s="488"/>
      <c r="E16" s="99"/>
      <c r="F16" s="99"/>
      <c r="G16" s="99"/>
      <c r="H16" s="99"/>
      <c r="I16" s="99"/>
      <c r="J16" s="99"/>
      <c r="K16" s="99"/>
    </row>
    <row r="17" spans="1:11" ht="40.9" customHeight="1">
      <c r="A17" s="99"/>
      <c r="B17" s="622" t="s">
        <v>39</v>
      </c>
      <c r="C17" s="191" t="s">
        <v>40</v>
      </c>
      <c r="D17" s="550">
        <v>0</v>
      </c>
      <c r="E17" s="627" t="str">
        <f>IF(D17=0,"","Unit increase Targets must be agreed with LPA ⚠")</f>
        <v/>
      </c>
      <c r="F17" s="627"/>
      <c r="G17" s="627"/>
      <c r="H17" s="627"/>
      <c r="I17" s="627"/>
      <c r="J17" s="99"/>
      <c r="K17" s="99"/>
    </row>
    <row r="18" spans="1:11" ht="40.9" customHeight="1">
      <c r="A18" s="99"/>
      <c r="B18" s="623"/>
      <c r="C18" s="192" t="s">
        <v>41</v>
      </c>
      <c r="D18" s="551">
        <v>0</v>
      </c>
      <c r="E18" s="627" t="str">
        <f>IF(D18=0,"","Unit increase Targets must be agreed with LPA ⚠")</f>
        <v/>
      </c>
      <c r="F18" s="627"/>
      <c r="G18" s="627"/>
      <c r="H18" s="627"/>
      <c r="I18" s="627"/>
      <c r="J18" s="99"/>
      <c r="K18" s="99"/>
    </row>
    <row r="19" spans="1:11" ht="40.9" customHeight="1">
      <c r="A19" s="99"/>
      <c r="B19" s="624"/>
      <c r="C19" s="193" t="s">
        <v>42</v>
      </c>
      <c r="D19" s="552">
        <v>0</v>
      </c>
      <c r="E19" s="627" t="str">
        <f>IF(D19=0,"","Unit increase Targets must be agreed with LPA ⚠")</f>
        <v/>
      </c>
      <c r="F19" s="627"/>
      <c r="G19" s="627"/>
      <c r="H19" s="627"/>
      <c r="I19" s="627"/>
      <c r="J19" s="99"/>
      <c r="K19" s="99"/>
    </row>
    <row r="20" spans="1:11" ht="23.65" customHeight="1">
      <c r="A20" s="99"/>
      <c r="B20" s="99"/>
      <c r="C20" s="99"/>
      <c r="D20" s="99"/>
      <c r="E20" s="76"/>
      <c r="F20" s="76"/>
      <c r="G20" s="76"/>
      <c r="H20" s="76"/>
      <c r="I20" s="76"/>
      <c r="J20" s="99"/>
      <c r="K20" s="99"/>
    </row>
    <row r="21" spans="1:11" ht="34.15" customHeight="1">
      <c r="A21" s="99"/>
      <c r="B21" s="617" t="s">
        <v>43</v>
      </c>
      <c r="C21" s="617"/>
      <c r="D21" s="617"/>
      <c r="E21" s="76"/>
      <c r="F21" s="76"/>
      <c r="G21" s="76"/>
      <c r="H21" s="76"/>
      <c r="I21" s="76"/>
      <c r="J21" s="99"/>
      <c r="K21" s="99"/>
    </row>
    <row r="22" spans="1:11" ht="40.9" customHeight="1">
      <c r="A22" s="99"/>
      <c r="B22" s="618" t="s">
        <v>44</v>
      </c>
      <c r="C22" s="619"/>
      <c r="D22" s="547"/>
      <c r="E22" s="76"/>
      <c r="F22" s="76"/>
      <c r="G22" s="76"/>
      <c r="H22" s="76"/>
      <c r="I22" s="76"/>
      <c r="J22" s="99"/>
      <c r="K22" s="99"/>
    </row>
    <row r="23" spans="1:11" ht="40.9" customHeight="1">
      <c r="A23" s="99"/>
      <c r="B23" s="620" t="s">
        <v>45</v>
      </c>
      <c r="C23" s="621"/>
      <c r="D23" s="308"/>
      <c r="E23" s="76"/>
      <c r="F23" s="76"/>
      <c r="G23" s="76"/>
      <c r="H23" s="76"/>
      <c r="I23" s="76"/>
      <c r="J23" s="99"/>
      <c r="K23" s="99"/>
    </row>
    <row r="24" spans="1:11" ht="40.9" customHeight="1">
      <c r="A24" s="99"/>
      <c r="B24" s="99"/>
      <c r="C24" s="99"/>
      <c r="D24" s="99"/>
      <c r="E24" s="99"/>
      <c r="F24" s="75"/>
      <c r="G24" s="75"/>
      <c r="H24" s="75"/>
      <c r="I24" s="75"/>
      <c r="J24" s="99"/>
      <c r="K24" s="99"/>
    </row>
    <row r="25" spans="1:11" ht="40.9" hidden="1" customHeight="1">
      <c r="A25" s="99"/>
      <c r="B25" s="99"/>
      <c r="C25" s="99"/>
      <c r="D25" s="99"/>
      <c r="E25" s="99"/>
      <c r="F25" s="75"/>
      <c r="G25" s="75"/>
      <c r="H25" s="75"/>
      <c r="I25" s="75"/>
      <c r="J25" s="99"/>
      <c r="K25" s="99"/>
    </row>
    <row r="26" spans="1:11" ht="40.9" hidden="1" customHeight="1">
      <c r="A26" s="99"/>
      <c r="B26" s="99"/>
      <c r="C26" s="99"/>
      <c r="D26" s="99"/>
      <c r="E26" s="99"/>
      <c r="F26" s="75"/>
      <c r="G26" s="75"/>
      <c r="H26" s="75"/>
      <c r="I26" s="75"/>
      <c r="J26" s="99"/>
      <c r="K26" s="99"/>
    </row>
    <row r="27" spans="1:11" ht="40.9" hidden="1" customHeight="1">
      <c r="A27" s="99"/>
      <c r="B27" s="99"/>
      <c r="C27" s="99"/>
      <c r="D27" s="99"/>
      <c r="E27" s="99"/>
      <c r="F27" s="75"/>
      <c r="G27" s="75"/>
      <c r="H27" s="75"/>
      <c r="I27" s="75"/>
      <c r="J27" s="99"/>
      <c r="K27" s="99"/>
    </row>
    <row r="28" spans="1:11" ht="36.6" hidden="1" customHeight="1">
      <c r="A28" s="99"/>
      <c r="B28" s="99"/>
      <c r="C28" s="99"/>
      <c r="D28" s="99"/>
      <c r="E28" s="99"/>
      <c r="F28" s="99"/>
      <c r="G28" s="99"/>
      <c r="H28" s="99"/>
      <c r="I28" s="99"/>
      <c r="J28" s="99"/>
      <c r="K28" s="99"/>
    </row>
    <row r="29" spans="1:11" ht="14.65" hidden="1" customHeight="1">
      <c r="A29" s="99"/>
      <c r="B29" s="99"/>
      <c r="C29" s="99"/>
      <c r="D29" s="99"/>
      <c r="E29" s="99"/>
      <c r="F29" s="99"/>
      <c r="G29" s="99"/>
      <c r="H29" s="99"/>
      <c r="I29" s="99"/>
      <c r="J29" s="99"/>
      <c r="K29" s="99"/>
    </row>
    <row r="30" spans="1:11" ht="14.65" hidden="1" customHeight="1">
      <c r="A30" s="99"/>
      <c r="B30" s="99"/>
      <c r="C30" s="99"/>
      <c r="D30" s="99"/>
      <c r="E30" s="99"/>
      <c r="F30" s="99"/>
      <c r="G30" s="99"/>
      <c r="H30" s="99"/>
      <c r="I30" s="99"/>
      <c r="J30" s="99"/>
      <c r="K30" s="99"/>
    </row>
    <row r="31" spans="1:11" ht="14.65" hidden="1" customHeight="1">
      <c r="A31" s="99"/>
      <c r="B31" s="99"/>
      <c r="C31" s="99"/>
      <c r="D31" s="99"/>
      <c r="E31" s="99"/>
      <c r="F31" s="99"/>
      <c r="G31" s="99"/>
      <c r="H31" s="99"/>
      <c r="I31" s="99"/>
      <c r="J31" s="99"/>
      <c r="K31" s="99"/>
    </row>
    <row r="32" spans="1:11" ht="14.65" hidden="1" customHeight="1">
      <c r="A32" s="99"/>
      <c r="B32" s="99"/>
      <c r="C32" s="99"/>
      <c r="D32" s="99"/>
      <c r="E32" s="99"/>
      <c r="F32" s="99"/>
      <c r="G32" s="99"/>
      <c r="H32" s="99"/>
      <c r="I32" s="99"/>
      <c r="J32" s="99"/>
      <c r="K32" s="99"/>
    </row>
    <row r="33" spans="1:11" ht="15" hidden="1" customHeight="1">
      <c r="A33" s="99"/>
      <c r="B33" s="99"/>
      <c r="C33" s="99"/>
      <c r="D33" s="99"/>
      <c r="E33" s="99"/>
      <c r="F33" s="99"/>
      <c r="G33" s="99"/>
      <c r="H33" s="99"/>
      <c r="I33" s="99"/>
      <c r="J33" s="99"/>
      <c r="K33" s="99"/>
    </row>
    <row r="34" spans="1:11" ht="14.45" hidden="1" customHeight="1">
      <c r="A34" s="99"/>
      <c r="B34" s="99"/>
      <c r="C34" s="99"/>
      <c r="D34" s="99"/>
      <c r="E34" s="99"/>
      <c r="F34" s="99"/>
      <c r="G34" s="99"/>
      <c r="H34" s="99"/>
      <c r="I34" s="99"/>
      <c r="J34" s="99"/>
      <c r="K34" s="99"/>
    </row>
    <row r="35" spans="1:11" ht="14.45" hidden="1" customHeight="1">
      <c r="A35" s="99"/>
      <c r="B35" s="99"/>
      <c r="C35" s="99"/>
      <c r="D35" s="99"/>
      <c r="E35" s="99"/>
      <c r="F35" s="99"/>
      <c r="G35" s="99"/>
      <c r="H35" s="99"/>
      <c r="I35" s="99"/>
      <c r="J35" s="99"/>
      <c r="K35" s="99"/>
    </row>
    <row r="36" spans="1:11" ht="14.45" hidden="1" customHeight="1">
      <c r="A36" s="99"/>
      <c r="B36" s="99"/>
      <c r="C36" s="99"/>
      <c r="D36" s="99"/>
      <c r="E36" s="99"/>
      <c r="F36" s="99"/>
      <c r="G36" s="99"/>
      <c r="H36" s="99"/>
      <c r="I36" s="99"/>
      <c r="J36" s="99"/>
      <c r="K36" s="99"/>
    </row>
    <row r="37" spans="1:11" ht="14.45" hidden="1" customHeight="1">
      <c r="A37" s="99"/>
      <c r="B37" s="99"/>
      <c r="C37" s="99"/>
      <c r="D37" s="99"/>
      <c r="E37" s="99"/>
      <c r="F37" s="99"/>
      <c r="G37" s="99"/>
      <c r="H37" s="99"/>
      <c r="I37" s="99"/>
      <c r="J37" s="99"/>
      <c r="K37" s="99"/>
    </row>
    <row r="38" spans="1:11" ht="14.45" hidden="1" customHeight="1"/>
    <row r="39" spans="1:11" ht="14.45" hidden="1" customHeight="1"/>
  </sheetData>
  <sheetProtection algorithmName="SHA-512" hashValue="5Jv+7qiEd2bDFm3OcE24MygvZkql1/AfRhQuozpsc+p8XnhHThwcsqjN82goL/jbjAu3hrjG4UeBrVNK7rCQfA==" saltValue="Wt1ywmZuMp4y7MfaHQIrag==" spinCount="100000" sheet="1" objects="1"/>
  <mergeCells count="21">
    <mergeCell ref="B2:C2"/>
    <mergeCell ref="B3:C3"/>
    <mergeCell ref="B4:C4"/>
    <mergeCell ref="B5:C5"/>
    <mergeCell ref="B6:C6"/>
    <mergeCell ref="B7:C7"/>
    <mergeCell ref="B8:C8"/>
    <mergeCell ref="B9:C9"/>
    <mergeCell ref="B10:C10"/>
    <mergeCell ref="B11:C11"/>
    <mergeCell ref="B21:D21"/>
    <mergeCell ref="B22:C22"/>
    <mergeCell ref="B23:C23"/>
    <mergeCell ref="B13:B15"/>
    <mergeCell ref="E13:I13"/>
    <mergeCell ref="E14:I14"/>
    <mergeCell ref="E15:I15"/>
    <mergeCell ref="B17:B19"/>
    <mergeCell ref="E17:I17"/>
    <mergeCell ref="E18:I18"/>
    <mergeCell ref="E19:I19"/>
  </mergeCells>
  <conditionalFormatting sqref="E17:I19 F24:I27">
    <cfRule type="containsText" dxfId="282" priority="1" operator="containsText" text="LPA">
      <formula>NOT(ISERROR(SEARCH("LPA",E17)))</formula>
    </cfRule>
    <cfRule type="containsText" dxfId="281" priority="3" operator="containsText" text="Caution - % changed from default">
      <formula>NOT(ISERROR(SEARCH("Caution - % changed from default",E17)))</formula>
    </cfRule>
  </conditionalFormatting>
  <conditionalFormatting sqref="D17:D19">
    <cfRule type="cellIs" dxfId="280" priority="2" operator="lessThan">
      <formula>0</formula>
    </cfRule>
  </conditionalFormatting>
  <conditionalFormatting sqref="D13:D15">
    <cfRule type="cellIs" dxfId="279" priority="4" operator="greaterThan">
      <formula>10</formula>
    </cfRule>
    <cfRule type="cellIs" dxfId="278" priority="5" operator="lessThan">
      <formula>10</formula>
    </cfRule>
  </conditionalFormatting>
  <conditionalFormatting sqref="E13:I15">
    <cfRule type="expression" dxfId="277" priority="6">
      <formula>$D13&gt;10</formula>
    </cfRule>
    <cfRule type="expression" dxfId="276" priority="7">
      <formula>$D13&lt;10</formula>
    </cfRule>
  </conditionalFormatting>
  <dataValidations count="3">
    <dataValidation type="date" operator="lessThanOrEqual" allowBlank="1" showInputMessage="1" showErrorMessage="1" errorTitle="Error" error="Future dates cannot be added" sqref="D9 D23" xr:uid="{00000000-0002-0000-0100-000000000000}">
      <formula1>TODAY()</formula1>
    </dataValidation>
    <dataValidation errorStyle="warning" allowBlank="1" showInputMessage="1" showErrorMessage="1" errorTitle="Caution" error="Please chek full list before entering non standrad LPA." sqref="D3" xr:uid="{00000000-0002-0000-0100-000001000000}"/>
    <dataValidation type="whole" allowBlank="1" showInputMessage="1" showErrorMessage="1" sqref="D13:D19" xr:uid="{00000000-0002-0000-0100-000002000000}">
      <formula1>0</formula1>
      <formula2>10000000000</formula2>
    </dataValidation>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6E98-0B16-42D9-B147-2811A844B476}">
  <sheetPr codeName="Sheet7">
    <tabColor theme="0" tint="-0.249977111117893"/>
    <pageSetUpPr fitToPage="1"/>
  </sheetPr>
  <dimension ref="A1:R39"/>
  <sheetViews>
    <sheetView zoomScale="80" zoomScaleNormal="80" workbookViewId="0"/>
  </sheetViews>
  <sheetFormatPr defaultColWidth="0" defaultRowHeight="14.45" zeroHeight="1"/>
  <cols>
    <col min="1" max="1" width="4.5703125" customWidth="1"/>
    <col min="2" max="2" width="63.28515625" customWidth="1"/>
    <col min="3" max="3" width="48.7109375" bestFit="1" customWidth="1"/>
    <col min="4" max="4" width="46.7109375" customWidth="1"/>
    <col min="5" max="8" width="8.7109375" customWidth="1"/>
    <col min="9" max="13" width="8.7109375" hidden="1" customWidth="1"/>
    <col min="14" max="18" width="0" hidden="1" customWidth="1"/>
    <col min="19" max="19" width="8.7109375" hidden="1" customWidth="1"/>
    <col min="20" max="16384" width="8.7109375" hidden="1"/>
  </cols>
  <sheetData>
    <row r="1" spans="1:14" ht="15" customHeight="1">
      <c r="A1" s="99"/>
      <c r="B1" s="99"/>
      <c r="C1" s="99"/>
      <c r="D1" s="99"/>
      <c r="E1" s="99"/>
      <c r="F1" s="99"/>
      <c r="G1" s="99"/>
      <c r="H1" s="99"/>
      <c r="I1" s="99"/>
      <c r="J1" s="99"/>
      <c r="K1" s="99"/>
      <c r="L1" s="99"/>
      <c r="M1" s="99"/>
      <c r="N1" s="99"/>
    </row>
    <row r="2" spans="1:14" ht="24" customHeight="1">
      <c r="A2" s="117"/>
      <c r="B2" s="15" t="s">
        <v>46</v>
      </c>
      <c r="C2" s="632" t="str">
        <f>IF('2. Site Details'!D4="","Enter site name on 2. Site Details",'2. Site Details'!D4)</f>
        <v>8 cliffe lane</v>
      </c>
      <c r="D2" s="633"/>
      <c r="E2" s="99"/>
      <c r="F2" s="99"/>
      <c r="G2" s="99"/>
      <c r="H2" s="99"/>
      <c r="I2" s="99"/>
      <c r="J2" s="99"/>
      <c r="K2" s="99"/>
      <c r="L2" s="99"/>
      <c r="M2" s="99"/>
      <c r="N2" s="99"/>
    </row>
    <row r="3" spans="1:14" ht="24" customHeight="1">
      <c r="A3" s="117"/>
      <c r="B3" s="13" t="s">
        <v>16</v>
      </c>
      <c r="C3" s="634" t="s">
        <v>47</v>
      </c>
      <c r="D3" s="635"/>
      <c r="E3" s="99"/>
      <c r="F3" s="99"/>
      <c r="G3" s="99"/>
      <c r="H3" s="99"/>
      <c r="I3" s="99"/>
      <c r="J3" s="99"/>
      <c r="K3" s="99"/>
      <c r="L3" s="99"/>
      <c r="M3" s="99"/>
      <c r="N3" s="99"/>
    </row>
    <row r="4" spans="1:14" ht="14.65" customHeight="1">
      <c r="A4" s="117"/>
      <c r="B4" s="117"/>
      <c r="C4" s="117"/>
      <c r="D4" s="117"/>
      <c r="E4" s="99"/>
      <c r="F4" s="99"/>
      <c r="G4" s="99"/>
      <c r="H4" s="99"/>
      <c r="I4" s="99"/>
      <c r="J4" s="99"/>
      <c r="K4" s="99"/>
      <c r="L4" s="99"/>
      <c r="M4" s="99"/>
      <c r="N4" s="99"/>
    </row>
    <row r="5" spans="1:14" ht="36" customHeight="1">
      <c r="A5" s="109"/>
      <c r="B5" s="120" t="s">
        <v>48</v>
      </c>
      <c r="C5" s="553"/>
      <c r="D5" s="553"/>
      <c r="E5" s="99"/>
      <c r="F5" s="99"/>
      <c r="G5" s="99"/>
      <c r="H5" s="99"/>
      <c r="I5" s="99"/>
      <c r="J5" s="99"/>
      <c r="K5" s="99"/>
      <c r="L5" s="99"/>
      <c r="M5" s="99"/>
      <c r="N5" s="99"/>
    </row>
    <row r="6" spans="1:14" ht="42" customHeight="1">
      <c r="A6" s="99"/>
      <c r="B6" s="106" t="s">
        <v>49</v>
      </c>
      <c r="C6" s="194" t="s">
        <v>50</v>
      </c>
      <c r="D6" s="554" t="str">
        <f>IF(AND(C6="Residential",C9="Unknown number"),"Site area must be less than 5,000 m2",IF(C6="","","Site area must be less than 10,000 m2"))</f>
        <v>Site area must be less than 10,000 m2</v>
      </c>
      <c r="E6" s="636" t="str">
        <f>IF(AND(C9="Unknown number", C6="Residential"),"Site area limited by unknown number of dwellings ⚠", "")</f>
        <v/>
      </c>
      <c r="F6" s="637"/>
      <c r="G6" s="637"/>
      <c r="H6" s="637"/>
      <c r="I6" s="99"/>
      <c r="J6" s="99"/>
      <c r="K6" s="99"/>
      <c r="L6" s="99"/>
      <c r="M6" s="99"/>
      <c r="N6" s="99"/>
    </row>
    <row r="7" spans="1:14" ht="42" customHeight="1">
      <c r="A7" s="99"/>
      <c r="B7" s="110" t="s">
        <v>51</v>
      </c>
      <c r="C7" s="195">
        <v>1033.5048999999999</v>
      </c>
      <c r="D7" s="555" t="str">
        <f>IF(AND(D6="Site area must be less than 10,000 m2",C7&gt;=10000),"ERROR- Site too large for metric  - USE MAIN METRIC ▲",IF(AND(D6="Site area must be less than 5,000 m2",C7&gt;=5000),"ERROR- Site too large for metric  - USE MAIN METRIC ▲",""))</f>
        <v/>
      </c>
      <c r="E7" s="99"/>
      <c r="F7" s="99"/>
      <c r="G7" s="99"/>
      <c r="H7" s="99"/>
      <c r="I7" s="99"/>
      <c r="J7" s="99"/>
      <c r="K7" s="99"/>
      <c r="L7" s="99"/>
      <c r="M7" s="99"/>
      <c r="N7" s="99"/>
    </row>
    <row r="8" spans="1:14" ht="42" customHeight="1">
      <c r="A8" s="99"/>
      <c r="B8" s="390" t="str">
        <f>IF(OR(C6="Residential",C6="Other"),"N/A",IF(C6="","","16. Building footprint (m2) of commercial buildings proposed within the development site (or zero if none)"))</f>
        <v>N/A</v>
      </c>
      <c r="C8" s="195"/>
      <c r="D8" s="556" t="str">
        <f>IF(AND(B8="n/a",C8&lt;&gt;""),"ERROR- Not required",IF(AND(C8&lt;&gt;"",C8&gt;=1000),"ERROR- Footprint too large for metric  - USE MAIN METRIC",IF(AND(C8&lt;&gt;"",C8&gt;C7),"ERROR - Footprint larger than development area","")))</f>
        <v/>
      </c>
      <c r="E8" s="99"/>
      <c r="F8" s="99"/>
      <c r="G8" s="99"/>
      <c r="H8" s="99"/>
      <c r="I8" s="99"/>
      <c r="J8" s="99"/>
      <c r="K8" s="99"/>
      <c r="L8" s="99"/>
      <c r="M8" s="99"/>
      <c r="N8" s="99"/>
    </row>
    <row r="9" spans="1:14" ht="42" customHeight="1">
      <c r="A9" s="99"/>
      <c r="B9" s="391" t="str">
        <f>IF(OR(C6="Commercial",C6="Other"),"N/A",IF(C6="","","17. Number of dwellings proposed within the development site"))</f>
        <v>17. Number of dwellings proposed within the development site</v>
      </c>
      <c r="C9" s="196" t="s">
        <v>52</v>
      </c>
      <c r="D9" s="557" t="str">
        <f>IF(AND(B9="n/a",C9&lt;&gt;""),"ERROR- Not required ▲",IF(OR(AND(C6="Residential",C9="Over 9 dwellings"),AND(C6="Mixed",C9="Over 9 dwellings")),"ERROR- Number of dwellings too large for metric  - USE MAIN METRIC ▲",IF(AND(B9="17. Number of dwellings proposed within the development site",C9=""),"ERROR - You must specify number of dwellings ▲","")))</f>
        <v/>
      </c>
      <c r="E9" s="99"/>
      <c r="F9" s="99"/>
      <c r="G9" s="99"/>
      <c r="H9" s="99"/>
      <c r="I9" s="99"/>
      <c r="J9" s="99"/>
      <c r="K9" s="99"/>
      <c r="L9" s="99"/>
      <c r="M9" s="99"/>
      <c r="N9" s="99"/>
    </row>
    <row r="10" spans="1:14" ht="36" customHeight="1">
      <c r="A10" s="99"/>
      <c r="B10" s="120" t="s">
        <v>53</v>
      </c>
      <c r="C10" s="558"/>
      <c r="D10" s="559"/>
      <c r="E10" s="99"/>
      <c r="F10" s="99"/>
      <c r="G10" s="99"/>
      <c r="H10" s="99"/>
      <c r="I10" s="99"/>
      <c r="J10" s="99"/>
      <c r="K10" s="99"/>
      <c r="L10" s="99"/>
      <c r="M10" s="99"/>
      <c r="N10" s="99"/>
    </row>
    <row r="11" spans="1:14" ht="42" customHeight="1">
      <c r="A11" s="99"/>
      <c r="B11" s="106" t="s">
        <v>54</v>
      </c>
      <c r="C11" s="194" t="s">
        <v>55</v>
      </c>
      <c r="D11" s="560" t="str">
        <f>IF(C11="On site","ERROR- Site too complex for metric - USE MAIN METRIC ▲",IF(C11="Within 500m of site boundary","Consider using main metric tool ⚠",""))</f>
        <v/>
      </c>
      <c r="E11" s="99"/>
      <c r="F11" s="99"/>
      <c r="G11" s="99"/>
      <c r="H11" s="99"/>
      <c r="I11" s="99"/>
      <c r="J11" s="99"/>
      <c r="K11" s="99"/>
      <c r="L11" s="99"/>
      <c r="M11" s="99"/>
      <c r="N11" s="99"/>
    </row>
    <row r="12" spans="1:14" ht="42" customHeight="1">
      <c r="A12" s="99"/>
      <c r="B12" s="110" t="s">
        <v>56</v>
      </c>
      <c r="C12" s="195" t="s">
        <v>57</v>
      </c>
      <c r="D12" s="561" t="str">
        <f>IF(C12="On site","ERROR- Site too complex for metric - USE MAIN METRIC ▲",IF(C12="Within 500m of site boundary","Consider using main metric tool ⚠",""))</f>
        <v>Consider using main metric tool ⚠</v>
      </c>
      <c r="E12" s="99"/>
      <c r="F12" s="99"/>
      <c r="G12" s="99"/>
      <c r="H12" s="99"/>
      <c r="I12" s="99"/>
      <c r="J12" s="99"/>
      <c r="K12" s="99"/>
      <c r="L12" s="99"/>
      <c r="M12" s="99"/>
      <c r="N12" s="99"/>
    </row>
    <row r="13" spans="1:14" ht="79.150000000000006" customHeight="1">
      <c r="A13" s="99"/>
      <c r="B13" s="110" t="s">
        <v>58</v>
      </c>
      <c r="C13" s="638" t="s">
        <v>59</v>
      </c>
      <c r="D13" s="639"/>
      <c r="E13" s="99"/>
      <c r="F13" s="99"/>
      <c r="G13" s="99"/>
      <c r="H13" s="99"/>
      <c r="I13" s="99"/>
      <c r="J13" s="99"/>
      <c r="K13" s="99"/>
      <c r="L13" s="99"/>
      <c r="M13" s="99"/>
      <c r="N13" s="99"/>
    </row>
    <row r="14" spans="1:14" ht="79.150000000000006" customHeight="1">
      <c r="A14" s="99"/>
      <c r="B14" s="105" t="s">
        <v>60</v>
      </c>
      <c r="C14" s="640" t="s">
        <v>61</v>
      </c>
      <c r="D14" s="641"/>
      <c r="E14" s="99"/>
      <c r="F14" s="99"/>
      <c r="G14" s="99"/>
      <c r="H14" s="99"/>
      <c r="I14" s="99"/>
      <c r="J14" s="99"/>
      <c r="K14" s="99"/>
      <c r="L14" s="99"/>
      <c r="M14" s="99"/>
      <c r="N14" s="99"/>
    </row>
    <row r="15" spans="1:14" ht="36" customHeight="1">
      <c r="A15" s="99"/>
      <c r="B15" s="544" t="s">
        <v>62</v>
      </c>
      <c r="C15" s="99"/>
      <c r="D15" s="99"/>
      <c r="E15" s="99"/>
      <c r="F15" s="99"/>
      <c r="G15" s="99"/>
      <c r="H15" s="99"/>
      <c r="I15" s="99"/>
      <c r="J15" s="99"/>
      <c r="K15" s="99"/>
      <c r="L15" s="99"/>
      <c r="M15" s="99"/>
      <c r="N15" s="99"/>
    </row>
    <row r="16" spans="1:14" ht="42" customHeight="1">
      <c r="A16" s="99"/>
      <c r="B16" s="202" t="s">
        <v>63</v>
      </c>
      <c r="C16" s="545" t="s">
        <v>55</v>
      </c>
      <c r="D16" s="562" t="str">
        <f>IF(C16="Yes","ERROR- Site too complex for metric - USE MAIN METRIC ▲","")</f>
        <v/>
      </c>
      <c r="E16" s="99"/>
      <c r="F16" s="99"/>
      <c r="G16" s="99"/>
      <c r="H16" s="99"/>
      <c r="I16" s="99"/>
      <c r="J16" s="99"/>
      <c r="K16" s="99"/>
      <c r="L16" s="99"/>
      <c r="M16" s="99"/>
      <c r="N16" s="99"/>
    </row>
    <row r="17" spans="1:14" ht="42" hidden="1" customHeight="1">
      <c r="A17" s="99"/>
      <c r="B17" s="99"/>
      <c r="C17" s="99"/>
      <c r="D17" s="99"/>
      <c r="E17" s="99"/>
      <c r="F17" s="99"/>
      <c r="G17" s="99"/>
      <c r="H17" s="99"/>
      <c r="I17" s="99"/>
      <c r="J17" s="99"/>
      <c r="K17" s="99"/>
      <c r="L17" s="99"/>
      <c r="M17" s="99"/>
      <c r="N17" s="99"/>
    </row>
    <row r="18" spans="1:14" ht="42" customHeight="1">
      <c r="A18" s="99"/>
      <c r="B18" s="120" t="s">
        <v>64</v>
      </c>
      <c r="C18" s="99"/>
      <c r="D18" s="99"/>
      <c r="E18" s="99"/>
      <c r="F18" s="99"/>
      <c r="G18" s="99"/>
      <c r="H18" s="99"/>
      <c r="I18" s="99"/>
      <c r="J18" s="99"/>
      <c r="K18" s="99"/>
      <c r="L18" s="99"/>
      <c r="M18" s="99"/>
      <c r="N18" s="99"/>
    </row>
    <row r="19" spans="1:14" ht="36" customHeight="1">
      <c r="A19" s="99"/>
      <c r="B19" s="106" t="s">
        <v>65</v>
      </c>
      <c r="C19" s="194" t="s">
        <v>66</v>
      </c>
      <c r="D19" s="563" t="str">
        <f>IF(C19="Walkover completed by competent person","A competent person should be able to confidently identify the habitats onsite",IF(C19="No Walkover Undertaken","ERROR- Site walkover required",""))</f>
        <v>A competent person should be able to confidently identify the habitats onsite</v>
      </c>
      <c r="E19" s="99"/>
      <c r="F19" s="99"/>
      <c r="G19" s="99"/>
      <c r="H19" s="99"/>
      <c r="I19" s="99"/>
      <c r="J19" s="99"/>
      <c r="K19" s="99"/>
      <c r="L19" s="99"/>
      <c r="M19" s="99"/>
      <c r="N19" s="99"/>
    </row>
    <row r="20" spans="1:14" ht="79.150000000000006" customHeight="1">
      <c r="A20" s="99"/>
      <c r="B20" s="110" t="s">
        <v>67</v>
      </c>
      <c r="C20" s="203" t="s">
        <v>68</v>
      </c>
      <c r="D20" s="564" t="str">
        <f>IF(C20="","Walkover date required ▲","Site walkover data valid until "&amp;TEXT(EDATE(C20,6),"dd/mm/yy"))</f>
        <v>Site walkover data valid until 02/06/25</v>
      </c>
      <c r="E20" s="99"/>
      <c r="F20" s="99"/>
      <c r="G20" s="99"/>
      <c r="H20" s="99"/>
      <c r="I20" s="99"/>
      <c r="J20" s="99"/>
      <c r="K20" s="99"/>
      <c r="L20" s="99"/>
      <c r="M20" s="99"/>
      <c r="N20" s="99"/>
    </row>
    <row r="21" spans="1:14" ht="39.4" customHeight="1">
      <c r="A21" s="99"/>
      <c r="B21" s="105" t="s">
        <v>69</v>
      </c>
      <c r="C21" s="74" t="s">
        <v>70</v>
      </c>
      <c r="D21" s="73"/>
      <c r="E21" s="99"/>
      <c r="F21" s="99"/>
      <c r="G21" s="99"/>
      <c r="H21" s="99"/>
      <c r="I21" s="99"/>
      <c r="J21" s="99"/>
      <c r="K21" s="99"/>
      <c r="L21" s="99"/>
      <c r="M21" s="99"/>
      <c r="N21" s="99"/>
    </row>
    <row r="22" spans="1:14" ht="26.65" customHeight="1">
      <c r="A22" s="99"/>
      <c r="B22" s="120" t="s">
        <v>71</v>
      </c>
      <c r="C22" s="99"/>
      <c r="D22" s="99"/>
      <c r="E22" s="99"/>
      <c r="F22" s="99"/>
      <c r="G22" s="99"/>
      <c r="H22" s="99"/>
      <c r="I22" s="99"/>
      <c r="J22" s="99"/>
      <c r="K22" s="99"/>
      <c r="L22" s="99"/>
      <c r="M22" s="99"/>
      <c r="N22" s="99"/>
    </row>
    <row r="23" spans="1:14" ht="56.65" customHeight="1">
      <c r="A23" s="99"/>
      <c r="B23" s="202" t="s">
        <v>72</v>
      </c>
      <c r="C23" s="542"/>
      <c r="D23" s="543"/>
      <c r="E23" s="99"/>
      <c r="F23" s="99"/>
      <c r="G23" s="99"/>
      <c r="H23" s="99"/>
      <c r="I23" s="99"/>
      <c r="J23" s="99"/>
      <c r="K23" s="99"/>
      <c r="L23" s="99"/>
      <c r="M23" s="99"/>
      <c r="N23" s="99"/>
    </row>
    <row r="24" spans="1:14" ht="14.65" customHeight="1">
      <c r="A24" s="99"/>
      <c r="B24" s="99"/>
      <c r="C24" s="99"/>
      <c r="D24" s="99"/>
      <c r="E24" s="99"/>
      <c r="F24" s="99"/>
      <c r="G24" s="99"/>
      <c r="H24" s="99"/>
      <c r="I24" s="99"/>
      <c r="J24" s="99"/>
      <c r="K24" s="99"/>
      <c r="L24" s="99"/>
      <c r="M24" s="99"/>
      <c r="N24" s="99"/>
    </row>
    <row r="25" spans="1:14" ht="14.65" customHeight="1">
      <c r="A25" s="99"/>
      <c r="B25" s="99"/>
      <c r="C25" s="99"/>
      <c r="D25" s="99"/>
      <c r="E25" s="99"/>
      <c r="F25" s="99"/>
      <c r="G25" s="99"/>
      <c r="H25" s="99"/>
      <c r="I25" s="99"/>
      <c r="J25" s="99"/>
      <c r="K25" s="99"/>
      <c r="L25" s="99"/>
      <c r="M25" s="99"/>
      <c r="N25" s="99"/>
    </row>
    <row r="26" spans="1:14" ht="15" hidden="1" customHeight="1">
      <c r="A26" s="99"/>
      <c r="B26" s="99"/>
      <c r="C26" s="99"/>
      <c r="D26" s="99"/>
      <c r="E26" s="99"/>
      <c r="F26" s="99"/>
      <c r="G26" s="99"/>
      <c r="H26" s="99"/>
      <c r="I26" s="99"/>
      <c r="J26" s="99"/>
      <c r="K26" s="99"/>
      <c r="L26" s="99"/>
      <c r="M26" s="99"/>
      <c r="N26" s="99"/>
    </row>
    <row r="27" spans="1:14" ht="15" hidden="1" customHeight="1">
      <c r="A27" s="99"/>
      <c r="B27" s="99"/>
      <c r="C27" s="99"/>
      <c r="D27" s="99"/>
      <c r="E27" s="99"/>
      <c r="F27" s="99"/>
      <c r="G27" s="99"/>
      <c r="H27" s="99"/>
      <c r="I27" s="99"/>
      <c r="J27" s="99"/>
      <c r="K27" s="99"/>
      <c r="L27" s="99"/>
      <c r="M27" s="99"/>
      <c r="N27" s="99"/>
    </row>
    <row r="28" spans="1:14" hidden="1">
      <c r="A28" s="99"/>
      <c r="B28" s="99"/>
      <c r="C28" s="99"/>
      <c r="D28" s="99"/>
      <c r="E28" s="99"/>
      <c r="F28" s="99"/>
      <c r="G28" s="99"/>
      <c r="H28" s="99"/>
      <c r="I28" s="99"/>
      <c r="J28" s="99"/>
      <c r="K28" s="99"/>
      <c r="L28" s="99"/>
      <c r="M28" s="99"/>
      <c r="N28" s="99"/>
    </row>
    <row r="29" spans="1:14" hidden="1">
      <c r="A29" s="99"/>
      <c r="B29" s="99"/>
      <c r="C29" s="99"/>
      <c r="D29" s="99"/>
      <c r="E29" s="99"/>
      <c r="F29" s="99"/>
      <c r="G29" s="99"/>
      <c r="H29" s="99"/>
      <c r="I29" s="99"/>
      <c r="J29" s="99"/>
      <c r="K29" s="99"/>
      <c r="L29" s="99"/>
      <c r="M29" s="99"/>
      <c r="N29" s="99"/>
    </row>
    <row r="30" spans="1:14" hidden="1">
      <c r="A30" s="99"/>
      <c r="B30" s="99"/>
      <c r="C30" s="99"/>
      <c r="D30" s="99"/>
      <c r="E30" s="99"/>
      <c r="F30" s="99"/>
      <c r="G30" s="99"/>
      <c r="H30" s="99"/>
      <c r="I30" s="99"/>
      <c r="J30" s="99"/>
      <c r="K30" s="99"/>
      <c r="L30" s="99"/>
      <c r="M30" s="99"/>
      <c r="N30" s="99"/>
    </row>
    <row r="31" spans="1:14" hidden="1">
      <c r="A31" s="99"/>
      <c r="B31" s="99"/>
      <c r="C31" s="99"/>
      <c r="D31" s="99"/>
      <c r="E31" s="99"/>
      <c r="F31" s="99"/>
      <c r="G31" s="99"/>
      <c r="H31" s="99"/>
    </row>
    <row r="32" spans="1:14" hidden="1">
      <c r="A32" s="99"/>
      <c r="B32" s="99"/>
      <c r="C32" s="99"/>
      <c r="D32" s="99"/>
      <c r="E32" s="99"/>
      <c r="F32" s="99"/>
      <c r="G32" s="99"/>
      <c r="H32" s="99"/>
    </row>
    <row r="33" spans="1:8" hidden="1">
      <c r="A33" s="99"/>
      <c r="B33" s="99"/>
      <c r="C33" s="99"/>
      <c r="D33" s="99"/>
      <c r="E33" s="99"/>
      <c r="F33" s="99"/>
      <c r="G33" s="99"/>
      <c r="H33" s="99"/>
    </row>
    <row r="34" spans="1:8" hidden="1">
      <c r="A34" s="99"/>
      <c r="B34" s="99"/>
      <c r="C34" s="99"/>
      <c r="D34" s="99"/>
      <c r="E34" s="99"/>
      <c r="F34" s="99"/>
      <c r="G34" s="99"/>
      <c r="H34" s="99"/>
    </row>
    <row r="35" spans="1:8" hidden="1">
      <c r="A35" s="99"/>
      <c r="B35" s="99"/>
      <c r="C35" s="99"/>
      <c r="D35" s="99"/>
      <c r="E35" s="99"/>
      <c r="F35" s="99"/>
      <c r="G35" s="99"/>
      <c r="H35" s="99"/>
    </row>
    <row r="36" spans="1:8" hidden="1">
      <c r="A36" s="99"/>
      <c r="B36" s="99"/>
      <c r="C36" s="99"/>
      <c r="D36" s="99"/>
      <c r="E36" s="99"/>
      <c r="F36" s="99"/>
      <c r="G36" s="99"/>
      <c r="H36" s="99"/>
    </row>
    <row r="37" spans="1:8" hidden="1">
      <c r="A37" s="99"/>
      <c r="B37" s="99"/>
      <c r="C37" s="99"/>
      <c r="D37" s="99"/>
      <c r="E37" s="99"/>
      <c r="F37" s="99"/>
      <c r="G37" s="99"/>
      <c r="H37" s="99"/>
    </row>
    <row r="38" spans="1:8" hidden="1">
      <c r="A38" s="99"/>
      <c r="B38" s="99"/>
      <c r="C38" s="99"/>
      <c r="D38" s="99"/>
      <c r="E38" s="99"/>
      <c r="F38" s="99"/>
      <c r="G38" s="99"/>
      <c r="H38" s="99"/>
    </row>
    <row r="39" spans="1:8" hidden="1">
      <c r="A39" s="99"/>
      <c r="B39" s="99"/>
      <c r="C39" s="99"/>
      <c r="D39" s="99"/>
      <c r="E39" s="99"/>
      <c r="F39" s="99"/>
      <c r="G39" s="99"/>
      <c r="H39" s="99"/>
    </row>
  </sheetData>
  <sheetProtection algorithmName="SHA-512" hashValue="ovCf6i/wAlYUu/UpSFtD4PK9iy2D+2xgiv6Q50MZFQcxbYYfOffgSQcC4NzXaNEmKdRjO+xHFEJDB8UeDTcq9g==" saltValue="4jq+mox8+tzGAUw1eGr3XQ==" spinCount="100000" sheet="1" objects="1"/>
  <mergeCells count="5">
    <mergeCell ref="C2:D2"/>
    <mergeCell ref="C3:D3"/>
    <mergeCell ref="E6:H6"/>
    <mergeCell ref="C13:D13"/>
    <mergeCell ref="C14:D14"/>
  </mergeCells>
  <conditionalFormatting sqref="D16">
    <cfRule type="containsText" dxfId="275" priority="1" operator="containsText" text="ERROR">
      <formula>NOT(ISERROR(SEARCH("ERROR",D16)))</formula>
    </cfRule>
    <cfRule type="containsText" dxfId="274" priority="2" operator="containsText" text="Consider">
      <formula>NOT(ISERROR(SEARCH("Consider",D16)))</formula>
    </cfRule>
    <cfRule type="expression" dxfId="273" priority="3">
      <formula>C16="On site"</formula>
    </cfRule>
  </conditionalFormatting>
  <conditionalFormatting sqref="C16">
    <cfRule type="expression" dxfId="272" priority="4">
      <formula>C16="Within 500m of site boundary"</formula>
    </cfRule>
    <cfRule type="expression" dxfId="271" priority="5">
      <formula>C16="On site"</formula>
    </cfRule>
    <cfRule type="expression" dxfId="270" priority="6">
      <formula>C16="No"</formula>
    </cfRule>
  </conditionalFormatting>
  <conditionalFormatting sqref="E6:H6">
    <cfRule type="notContainsBlanks" dxfId="269" priority="7">
      <formula>LEN(TRIM(E6))&gt;0</formula>
    </cfRule>
  </conditionalFormatting>
  <conditionalFormatting sqref="C9">
    <cfRule type="containsText" dxfId="268" priority="8" operator="containsText" text="Unknown">
      <formula>NOT(ISERROR(SEARCH("Unknown",C9)))</formula>
    </cfRule>
    <cfRule type="expression" dxfId="267" priority="11" stopIfTrue="1">
      <formula>IF(LEFT(D9,1)="E","TRUE","")</formula>
    </cfRule>
    <cfRule type="expression" dxfId="266" priority="12">
      <formula>AND(C9&gt;0,LEFT(D10,1)&lt;&gt;"E")</formula>
    </cfRule>
  </conditionalFormatting>
  <conditionalFormatting sqref="D11:D12">
    <cfRule type="containsText" dxfId="265" priority="9" operator="containsText" text="Consider">
      <formula>NOT(ISERROR(SEARCH("Consider",D11)))</formula>
    </cfRule>
    <cfRule type="expression" dxfId="264" priority="27">
      <formula>C11="On site"</formula>
    </cfRule>
  </conditionalFormatting>
  <conditionalFormatting sqref="D9">
    <cfRule type="containsText" dxfId="263" priority="10" operator="containsText" text="ERROR">
      <formula>NOT(ISERROR(SEARCH("ERROR",D9)))</formula>
    </cfRule>
  </conditionalFormatting>
  <conditionalFormatting sqref="D8">
    <cfRule type="containsText" dxfId="262" priority="13" operator="containsText" text="ERROR">
      <formula>NOT(ISERROR(SEARCH("ERROR",D8)))</formula>
    </cfRule>
  </conditionalFormatting>
  <conditionalFormatting sqref="D7">
    <cfRule type="expression" dxfId="261" priority="14">
      <formula>IF(LEFT(D7,1)="E","TRUE","")</formula>
    </cfRule>
  </conditionalFormatting>
  <conditionalFormatting sqref="C6">
    <cfRule type="expression" dxfId="260" priority="15">
      <formula>IF(C6&lt;&gt;"",TRUE,"")</formula>
    </cfRule>
  </conditionalFormatting>
  <conditionalFormatting sqref="C8">
    <cfRule type="expression" dxfId="259" priority="16" stopIfTrue="1">
      <formula>IF(LEFT(D8,1)="E","TRUE","")</formula>
    </cfRule>
    <cfRule type="expression" dxfId="258" priority="17">
      <formula>AND(C8&gt;0,C8&lt;=C7,C8&lt;1001)</formula>
    </cfRule>
  </conditionalFormatting>
  <conditionalFormatting sqref="C7">
    <cfRule type="expression" dxfId="257" priority="18">
      <formula>IF(AND(LEFT(D7,1)="E",C7&lt;&gt;""),TRUE,"")</formula>
    </cfRule>
    <cfRule type="expression" dxfId="256" priority="19" stopIfTrue="1">
      <formula>IF(AND(LEFT(D7,1)&lt;&gt;"E",C7&lt;&gt;""),TRUE,"")</formula>
    </cfRule>
  </conditionalFormatting>
  <conditionalFormatting sqref="D20">
    <cfRule type="containsText" dxfId="255" priority="20" operator="containsText" text="Walkover date required">
      <formula>NOT(ISERROR(SEARCH("Walkover date required",D20)))</formula>
    </cfRule>
  </conditionalFormatting>
  <conditionalFormatting sqref="C12">
    <cfRule type="expression" dxfId="254" priority="21">
      <formula>C12="Within 500m of site boundary"</formula>
    </cfRule>
    <cfRule type="expression" dxfId="253" priority="22">
      <formula>C12="On site"</formula>
    </cfRule>
    <cfRule type="expression" dxfId="252" priority="23">
      <formula>C12="No"</formula>
    </cfRule>
  </conditionalFormatting>
  <conditionalFormatting sqref="C19:C20">
    <cfRule type="expression" dxfId="251" priority="24">
      <formula>C19="Walkover completed by competent person"</formula>
    </cfRule>
    <cfRule type="expression" dxfId="250" priority="25">
      <formula>C19="No walkover undertaken"</formula>
    </cfRule>
    <cfRule type="expression" dxfId="249" priority="26">
      <formula>C19="Walkover completed by qualified ecologist"</formula>
    </cfRule>
  </conditionalFormatting>
  <conditionalFormatting sqref="C11">
    <cfRule type="expression" dxfId="248" priority="28">
      <formula>C11="Within 500m of site boundary"</formula>
    </cfRule>
    <cfRule type="expression" dxfId="247" priority="29">
      <formula>C11="On site"</formula>
    </cfRule>
    <cfRule type="expression" dxfId="246" priority="30">
      <formula>C11="No"</formula>
    </cfRule>
  </conditionalFormatting>
  <conditionalFormatting sqref="D19">
    <cfRule type="expression" dxfId="245" priority="31">
      <formula>$C$19="Walkover completed by competent person"</formula>
    </cfRule>
    <cfRule type="expression" dxfId="244" priority="32">
      <formula>C19="No walkover undertaken"</formula>
    </cfRule>
  </conditionalFormatting>
  <dataValidations count="6">
    <dataValidation type="list" allowBlank="1" showInputMessage="1" showErrorMessage="1" sqref="C6" xr:uid="{00000000-0002-0000-0200-000000000000}">
      <formula1>"Residential,Commercial,Mixed,Other"</formula1>
    </dataValidation>
    <dataValidation type="list" allowBlank="1" showInputMessage="1" showErrorMessage="1" sqref="C11:C12" xr:uid="{00000000-0002-0000-0200-000001000000}">
      <formula1>"On site,Within 500m of site boundary,No"</formula1>
    </dataValidation>
    <dataValidation type="list" allowBlank="1" showInputMessage="1" showErrorMessage="1" sqref="C19" xr:uid="{00000000-0002-0000-0200-000002000000}">
      <formula1>"Walkover completed by qualified ecologist,Walkover completed by competent person,No walkover undertaken"</formula1>
    </dataValidation>
    <dataValidation type="date" operator="lessThanOrEqual" allowBlank="1" showInputMessage="1" showErrorMessage="1" errorTitle="Error" error="Future dates not permited" sqref="C20" xr:uid="{00000000-0002-0000-0200-000003000000}">
      <formula1>TODAY()</formula1>
    </dataValidation>
    <dataValidation type="list" allowBlank="1" showInputMessage="1" showErrorMessage="1" sqref="C9" xr:uid="{00000000-0002-0000-0200-000004000000}">
      <formula1>"Unknown number, Between 1 - 9 dwellings, Over 9 dwellings"</formula1>
    </dataValidation>
    <dataValidation type="list" allowBlank="1" showInputMessage="1" showErrorMessage="1" sqref="C16" xr:uid="{00000000-0002-0000-0200-000005000000}">
      <formula1>"Yes, No"</formula1>
    </dataValidation>
  </dataValidation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61A7-C478-4620-BBDE-F558B68BAD4D}">
  <sheetPr codeName="Sheet9">
    <tabColor theme="0" tint="-0.249977111117893"/>
    <pageSetUpPr fitToPage="1"/>
  </sheetPr>
  <dimension ref="A1:XFB158"/>
  <sheetViews>
    <sheetView showGridLines="0" zoomScale="80" zoomScaleNormal="80" workbookViewId="0">
      <pane xSplit="2" ySplit="7" topLeftCell="C8" activePane="bottomRight" state="frozenSplit"/>
      <selection pane="bottomRight" activeCell="C1" sqref="C1"/>
      <selection pane="bottomLeft"/>
      <selection pane="topRight"/>
    </sheetView>
  </sheetViews>
  <sheetFormatPr defaultColWidth="8.7109375" defaultRowHeight="14.45" zeroHeight="1"/>
  <cols>
    <col min="1" max="1" width="3.42578125" style="99" customWidth="1"/>
    <col min="2" max="2" width="16.42578125" style="99" bestFit="1" customWidth="1"/>
    <col min="3" max="3" width="32.28515625" style="99" bestFit="1" customWidth="1"/>
    <col min="4" max="5" width="89.7109375" style="99" customWidth="1"/>
    <col min="6" max="7" width="8.7109375" style="99" customWidth="1"/>
    <col min="8" max="16382" width="8.7109375" style="99" hidden="1" customWidth="1"/>
    <col min="16383" max="16384" width="8.7109375" style="99" customWidth="1"/>
  </cols>
  <sheetData>
    <row r="1" spans="2:34" ht="15" customHeight="1"/>
    <row r="2" spans="2:34" ht="24.6" customHeight="1">
      <c r="B2" s="646" t="s">
        <v>46</v>
      </c>
      <c r="C2" s="647"/>
      <c r="D2" s="71" t="str">
        <f>IF('2. Site Details'!D4="","Enter site name on 2. Site Details",'2. Site Details'!D4)</f>
        <v>8 cliffe lane</v>
      </c>
      <c r="E2" s="648" t="str">
        <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f>
        <v/>
      </c>
    </row>
    <row r="3" spans="2:34" ht="24.6" customHeight="1">
      <c r="B3" s="649" t="s">
        <v>16</v>
      </c>
      <c r="C3" s="650"/>
      <c r="D3" s="70" t="s">
        <v>73</v>
      </c>
      <c r="E3" s="648"/>
    </row>
    <row r="4" spans="2:34" ht="24.6" customHeight="1"/>
    <row r="5" spans="2:34" ht="31.15" customHeight="1">
      <c r="B5" s="121" t="s">
        <v>74</v>
      </c>
      <c r="C5" s="123"/>
      <c r="D5" s="651" t="s">
        <v>75</v>
      </c>
      <c r="E5" s="651"/>
    </row>
    <row r="6" spans="2:34" ht="15" customHeight="1"/>
    <row r="7" spans="2:34" ht="30.6" customHeight="1">
      <c r="B7" s="227" t="s">
        <v>76</v>
      </c>
      <c r="C7" s="228" t="s">
        <v>77</v>
      </c>
      <c r="D7" s="228" t="s">
        <v>78</v>
      </c>
      <c r="E7" s="229" t="s">
        <v>79</v>
      </c>
    </row>
    <row r="8" spans="2:34" ht="33" customHeight="1">
      <c r="B8" s="642">
        <v>1</v>
      </c>
      <c r="C8" s="14" t="s">
        <v>80</v>
      </c>
      <c r="D8" s="392" t="s">
        <v>31</v>
      </c>
      <c r="E8" s="393"/>
    </row>
    <row r="9" spans="2:34" ht="303.75" customHeight="1">
      <c r="B9" s="643"/>
      <c r="C9" s="226" t="str">
        <f>IF('5. Area Habitats'!D11=0,"",'5. Area Habitats'!D11)</f>
        <v>Developed land; sealed surface</v>
      </c>
      <c r="D9" s="231"/>
      <c r="E9" s="232"/>
      <c r="K9" s="122"/>
      <c r="L9" s="122"/>
      <c r="M9" s="122"/>
      <c r="N9" s="122"/>
      <c r="O9" s="122"/>
      <c r="P9" s="122"/>
      <c r="Q9" s="122"/>
      <c r="R9" s="122"/>
      <c r="S9" s="122"/>
      <c r="T9" s="122"/>
      <c r="U9" s="122"/>
      <c r="V9" s="122"/>
      <c r="W9" s="122"/>
      <c r="X9" s="122"/>
      <c r="Y9" s="122"/>
      <c r="Z9" s="122"/>
      <c r="AA9" s="122"/>
      <c r="AB9" s="122"/>
      <c r="AC9" s="122"/>
      <c r="AD9" s="122"/>
      <c r="AE9" s="122"/>
      <c r="AF9" s="122"/>
      <c r="AG9" s="122"/>
      <c r="AH9" s="122"/>
    </row>
    <row r="10" spans="2:34" ht="33" customHeight="1">
      <c r="B10" s="642">
        <v>2</v>
      </c>
      <c r="C10" s="14" t="s">
        <v>80</v>
      </c>
      <c r="D10" s="392" t="s">
        <v>31</v>
      </c>
      <c r="E10" s="393"/>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row>
    <row r="11" spans="2:34" ht="303.75" customHeight="1">
      <c r="B11" s="643"/>
      <c r="C11" s="226" t="str">
        <f>IF('5. Area Habitats'!D12=0,"",'5. Area Habitats'!D12)</f>
        <v>Bare ground</v>
      </c>
      <c r="D11" s="231"/>
      <c r="E11" s="23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row>
    <row r="12" spans="2:34" ht="33" customHeight="1">
      <c r="B12" s="642">
        <v>3</v>
      </c>
      <c r="C12" s="14" t="s">
        <v>80</v>
      </c>
      <c r="D12" s="392" t="s">
        <v>31</v>
      </c>
      <c r="E12" s="393"/>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row>
    <row r="13" spans="2:34" ht="303.75" customHeight="1">
      <c r="B13" s="643"/>
      <c r="C13" s="226" t="str">
        <f>IF('5. Area Habitats'!D13=0,"",'5. Area Habitats'!D13)</f>
        <v>Bare ground</v>
      </c>
      <c r="D13" s="231"/>
      <c r="E13" s="23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row>
    <row r="14" spans="2:34" ht="33" customHeight="1">
      <c r="B14" s="644">
        <v>4</v>
      </c>
      <c r="C14" s="14" t="s">
        <v>80</v>
      </c>
      <c r="D14" s="394"/>
      <c r="E14" s="395"/>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row>
    <row r="15" spans="2:34" ht="303.75" customHeight="1">
      <c r="B15" s="645"/>
      <c r="C15" s="230" t="str">
        <f>IF('5. Area Habitats'!D14=0,"",'5. Area Habitats'!D14)</f>
        <v/>
      </c>
      <c r="D15" s="233"/>
      <c r="E15" s="234"/>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row>
    <row r="16" spans="2:34" ht="33" customHeight="1">
      <c r="B16" s="642">
        <v>5</v>
      </c>
      <c r="C16" s="14" t="s">
        <v>80</v>
      </c>
      <c r="D16" s="392"/>
      <c r="E16" s="393"/>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row>
    <row r="17" spans="2:34" ht="303.75" customHeight="1">
      <c r="B17" s="643"/>
      <c r="C17" s="226" t="str">
        <f>IF('5. Area Habitats'!D15=0,"",'5. Area Habitats'!D15)</f>
        <v/>
      </c>
      <c r="D17" s="231"/>
      <c r="E17" s="23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row>
    <row r="18" spans="2:34" ht="33" customHeight="1">
      <c r="B18" s="642">
        <v>6</v>
      </c>
      <c r="C18" s="14" t="s">
        <v>80</v>
      </c>
      <c r="D18" s="392"/>
      <c r="E18" s="393"/>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row>
    <row r="19" spans="2:34" ht="303.75" customHeight="1">
      <c r="B19" s="643"/>
      <c r="C19" s="226" t="str">
        <f>IF('5. Area Habitats'!D16=0,"",'5. Area Habitats'!D16)</f>
        <v/>
      </c>
      <c r="D19" s="231"/>
      <c r="E19" s="23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row>
    <row r="20" spans="2:34" ht="33" customHeight="1">
      <c r="B20" s="642">
        <v>7</v>
      </c>
      <c r="C20" s="14" t="s">
        <v>80</v>
      </c>
      <c r="D20" s="392"/>
      <c r="E20" s="393"/>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row>
    <row r="21" spans="2:34" ht="303.75" customHeight="1">
      <c r="B21" s="643"/>
      <c r="C21" s="226" t="str">
        <f>IF('5. Area Habitats'!D17=0,"",'5. Area Habitats'!D17)</f>
        <v/>
      </c>
      <c r="D21" s="231"/>
      <c r="E21" s="23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row>
    <row r="22" spans="2:34" ht="33" customHeight="1">
      <c r="B22" s="642">
        <v>8</v>
      </c>
      <c r="C22" s="14" t="s">
        <v>80</v>
      </c>
      <c r="D22" s="392"/>
      <c r="E22" s="393"/>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row>
    <row r="23" spans="2:34" ht="303.75" customHeight="1">
      <c r="B23" s="643"/>
      <c r="C23" s="226" t="str">
        <f>IF('5. Area Habitats'!D18=0,"",'5. Area Habitats'!D18)</f>
        <v/>
      </c>
      <c r="D23" s="231"/>
      <c r="E23" s="23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row>
    <row r="24" spans="2:34" ht="33" customHeight="1">
      <c r="B24" s="642">
        <v>9</v>
      </c>
      <c r="C24" s="14" t="s">
        <v>80</v>
      </c>
      <c r="D24" s="392"/>
      <c r="E24" s="393"/>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row>
    <row r="25" spans="2:34" ht="303.75" customHeight="1">
      <c r="B25" s="643"/>
      <c r="C25" s="226" t="str">
        <f>IF('5. Area Habitats'!D19=0,"",'5. Area Habitats'!D19)</f>
        <v/>
      </c>
      <c r="D25" s="231"/>
      <c r="E25" s="23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row>
    <row r="26" spans="2:34" ht="33" customHeight="1">
      <c r="B26" s="642">
        <v>10</v>
      </c>
      <c r="C26" s="14" t="s">
        <v>80</v>
      </c>
      <c r="D26" s="392"/>
      <c r="E26" s="393"/>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row>
    <row r="27" spans="2:34" ht="303.75" customHeight="1">
      <c r="B27" s="643"/>
      <c r="C27" s="226" t="str">
        <f>IF('5. Area Habitats'!D20=0,"",'5. Area Habitats'!D20)</f>
        <v/>
      </c>
      <c r="D27" s="231"/>
      <c r="E27" s="23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row>
    <row r="28" spans="2:34" ht="33" customHeight="1">
      <c r="B28" s="642">
        <v>11</v>
      </c>
      <c r="C28" s="14" t="s">
        <v>80</v>
      </c>
      <c r="D28" s="392"/>
      <c r="E28" s="393"/>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row>
    <row r="29" spans="2:34" ht="303.75" customHeight="1">
      <c r="B29" s="643"/>
      <c r="C29" s="226" t="str">
        <f>IF('5. Area Habitats'!D21=0,"",'5. Area Habitats'!D21)</f>
        <v/>
      </c>
      <c r="D29" s="231"/>
      <c r="E29" s="23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row>
    <row r="30" spans="2:34" ht="33" customHeight="1">
      <c r="B30" s="642">
        <v>12</v>
      </c>
      <c r="C30" s="14" t="s">
        <v>80</v>
      </c>
      <c r="D30" s="392"/>
      <c r="E30" s="393"/>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row>
    <row r="31" spans="2:34" ht="303.75" customHeight="1">
      <c r="B31" s="643"/>
      <c r="C31" s="226" t="str">
        <f>IF('5. Area Habitats'!D22=0,"",'5. Area Habitats'!D22)</f>
        <v/>
      </c>
      <c r="D31" s="231"/>
      <c r="E31" s="23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row>
    <row r="32" spans="2:34" ht="33" customHeight="1">
      <c r="B32" s="642">
        <v>13</v>
      </c>
      <c r="C32" s="14" t="s">
        <v>80</v>
      </c>
      <c r="D32" s="392"/>
      <c r="E32" s="393"/>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row>
    <row r="33" spans="2:34" ht="303.75" customHeight="1">
      <c r="B33" s="643"/>
      <c r="C33" s="226" t="str">
        <f>IF('5. Area Habitats'!D23=0,"",'5. Area Habitats'!D23)</f>
        <v/>
      </c>
      <c r="D33" s="231"/>
      <c r="E33" s="23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row>
    <row r="34" spans="2:34" ht="33" customHeight="1">
      <c r="B34" s="642">
        <v>14</v>
      </c>
      <c r="C34" s="14" t="s">
        <v>80</v>
      </c>
      <c r="D34" s="392"/>
      <c r="E34" s="393"/>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row>
    <row r="35" spans="2:34" ht="303.75" customHeight="1">
      <c r="B35" s="643"/>
      <c r="C35" s="226" t="str">
        <f>IF('5. Area Habitats'!D24=0,"",'5. Area Habitats'!D24)</f>
        <v/>
      </c>
      <c r="D35" s="231"/>
      <c r="E35" s="23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row>
    <row r="36" spans="2:34" ht="33" customHeight="1">
      <c r="B36" s="642">
        <v>15</v>
      </c>
      <c r="C36" s="14" t="s">
        <v>80</v>
      </c>
      <c r="D36" s="392"/>
      <c r="E36" s="393"/>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row>
    <row r="37" spans="2:34" ht="303.75" customHeight="1">
      <c r="B37" s="643"/>
      <c r="C37" s="226" t="str">
        <f>IF('5. Area Habitats'!D25=0,"",'5. Area Habitats'!D25)</f>
        <v/>
      </c>
      <c r="D37" s="231"/>
      <c r="E37" s="23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row>
    <row r="38" spans="2:34" ht="33" customHeight="1">
      <c r="B38" s="642">
        <v>16</v>
      </c>
      <c r="C38" s="14" t="s">
        <v>80</v>
      </c>
      <c r="D38" s="392"/>
      <c r="E38" s="393"/>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row>
    <row r="39" spans="2:34" ht="303.75" customHeight="1">
      <c r="B39" s="643"/>
      <c r="C39" s="226" t="str">
        <f>IF('5. Area Habitats'!D26=0,"",'5. Area Habitats'!D26)</f>
        <v/>
      </c>
      <c r="D39" s="231"/>
      <c r="E39" s="23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row>
    <row r="40" spans="2:34" ht="33" customHeight="1">
      <c r="B40" s="642">
        <v>17</v>
      </c>
      <c r="C40" s="14" t="s">
        <v>80</v>
      </c>
      <c r="D40" s="392"/>
      <c r="E40" s="393"/>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row>
    <row r="41" spans="2:34" ht="303.75" customHeight="1">
      <c r="B41" s="643"/>
      <c r="C41" s="226" t="str">
        <f>IF('5. Area Habitats'!D27=0,"",'5. Area Habitats'!D27)</f>
        <v/>
      </c>
      <c r="D41" s="231"/>
      <c r="E41" s="23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row>
    <row r="42" spans="2:34" ht="33" customHeight="1">
      <c r="B42" s="642">
        <v>18</v>
      </c>
      <c r="C42" s="14" t="s">
        <v>80</v>
      </c>
      <c r="D42" s="392"/>
      <c r="E42" s="393"/>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row>
    <row r="43" spans="2:34" ht="303.75" customHeight="1">
      <c r="B43" s="643"/>
      <c r="C43" s="226" t="str">
        <f>IF('5. Area Habitats'!D28=0,"",'5. Area Habitats'!D28)</f>
        <v/>
      </c>
      <c r="D43" s="231"/>
      <c r="E43" s="23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row>
    <row r="44" spans="2:34" ht="33" customHeight="1">
      <c r="B44" s="642">
        <v>19</v>
      </c>
      <c r="C44" s="14" t="s">
        <v>80</v>
      </c>
      <c r="D44" s="392"/>
      <c r="E44" s="393"/>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row>
    <row r="45" spans="2:34" ht="303.75" customHeight="1">
      <c r="B45" s="643"/>
      <c r="C45" s="226" t="str">
        <f>IF('5. Area Habitats'!D29=0,"",'5. Area Habitats'!D29)</f>
        <v/>
      </c>
      <c r="D45" s="231"/>
      <c r="E45" s="23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row>
    <row r="46" spans="2:34" ht="33" customHeight="1">
      <c r="B46" s="642">
        <v>20</v>
      </c>
      <c r="C46" s="14" t="s">
        <v>80</v>
      </c>
      <c r="D46" s="392"/>
      <c r="E46" s="393"/>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row>
    <row r="47" spans="2:34" ht="303.75" customHeight="1">
      <c r="B47" s="643"/>
      <c r="C47" s="226" t="str">
        <f>IF('5. Area Habitats'!D30=0,"",'5. Area Habitats'!D30)</f>
        <v/>
      </c>
      <c r="D47" s="231"/>
      <c r="E47" s="23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row>
    <row r="48" spans="2:34">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row>
    <row r="49" spans="11:34">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row>
    <row r="50" spans="11:34">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row>
    <row r="51" spans="11:34">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row>
    <row r="52" spans="11:34" hidden="1">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row>
    <row r="53" spans="11:34" hidden="1">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row>
    <row r="54" spans="11:34" hidden="1">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row>
    <row r="55" spans="11:34" hidden="1">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row>
    <row r="56" spans="11:34" hidden="1">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row>
    <row r="57" spans="11:34" hidden="1">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row>
    <row r="58" spans="11:34" hidden="1">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row>
    <row r="59" spans="11:34" hidden="1">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row>
    <row r="60" spans="11:34" hidden="1">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row>
    <row r="61" spans="11:34" hidden="1">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row>
    <row r="62" spans="11:34" hidden="1">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row>
    <row r="63" spans="11:34" hidden="1">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1:34" hidden="1">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2:34" hidden="1">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2:34" hidden="1">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2:34" hidden="1">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2:34" hidden="1">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row>
    <row r="69" spans="2:34" hidden="1">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row>
    <row r="70" spans="2:34" hidden="1">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row>
    <row r="71" spans="2:34" hidden="1">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row>
    <row r="72" spans="2:34" hidden="1">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2:34" hidden="1">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2:34" hidden="1">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2:34" hidden="1">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2:34" hidden="1">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2:34" hidden="1">
      <c r="B77" s="122"/>
      <c r="C77" s="122"/>
      <c r="D77" s="122"/>
      <c r="E77" s="122"/>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2:34" hidden="1">
      <c r="B78" s="122"/>
      <c r="C78" s="122"/>
      <c r="D78" s="122"/>
      <c r="E78" s="122"/>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row>
    <row r="79" spans="2:34" hidden="1">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row>
    <row r="80" spans="2:34" hidden="1">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row>
    <row r="81" spans="1:34" hidden="1">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row>
    <row r="82" spans="1:34" hidden="1">
      <c r="A82" s="122"/>
      <c r="B82" s="122"/>
      <c r="C82" s="122"/>
      <c r="D82" s="122"/>
      <c r="E82" s="122"/>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row>
    <row r="83" spans="1:34" hidden="1">
      <c r="A83" s="122"/>
      <c r="B83" s="122"/>
      <c r="C83" s="122"/>
      <c r="D83" s="122"/>
      <c r="E83" s="122"/>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4" hidden="1">
      <c r="A84" s="122"/>
      <c r="B84" s="122"/>
      <c r="C84" s="122"/>
      <c r="D84" s="122"/>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row>
    <row r="85" spans="1:34" hidden="1">
      <c r="A85" s="122"/>
      <c r="B85" s="122"/>
      <c r="C85" s="122"/>
      <c r="D85" s="122"/>
      <c r="E85" s="122"/>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row>
    <row r="86" spans="1:34" hidden="1">
      <c r="A86" s="122"/>
      <c r="B86" s="122"/>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row>
    <row r="87" spans="1:34" hidden="1">
      <c r="A87" s="122"/>
      <c r="B87" s="122"/>
      <c r="C87" s="122"/>
      <c r="D87" s="122"/>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row>
    <row r="88" spans="1:34" hidden="1">
      <c r="A88" s="122"/>
      <c r="B88" s="122"/>
      <c r="C88" s="122"/>
      <c r="D88" s="122"/>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row>
    <row r="89" spans="1:34" hidden="1">
      <c r="A89" s="122"/>
      <c r="B89" s="122"/>
      <c r="C89" s="122"/>
      <c r="D89" s="122"/>
      <c r="E89" s="122"/>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row>
    <row r="90" spans="1:34" hidden="1">
      <c r="A90" s="122"/>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row>
    <row r="91" spans="1:34" hidden="1">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row>
    <row r="92" spans="1:34" hidden="1">
      <c r="A92" s="122"/>
      <c r="B92" s="122"/>
      <c r="C92" s="122"/>
      <c r="D92" s="122"/>
      <c r="E92" s="122"/>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row>
    <row r="93" spans="1:34" hidden="1">
      <c r="A93" s="122"/>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row>
    <row r="94" spans="1:34" hidden="1">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row>
    <row r="95" spans="1:34" hidden="1">
      <c r="A95" s="122"/>
      <c r="B95" s="122"/>
      <c r="C95" s="122"/>
      <c r="D95" s="122"/>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row>
    <row r="96" spans="1:34" hidden="1">
      <c r="A96" s="122"/>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row>
    <row r="97" spans="1:34" hidden="1">
      <c r="A97" s="122"/>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row>
    <row r="98" spans="1:34" hidden="1">
      <c r="A98" s="122"/>
      <c r="B98" s="122"/>
      <c r="C98" s="122"/>
      <c r="D98" s="122"/>
      <c r="E98" s="122"/>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row>
    <row r="99" spans="1:34" hidden="1">
      <c r="A99" s="122"/>
      <c r="B99" s="122"/>
      <c r="C99" s="122"/>
      <c r="D99" s="122"/>
      <c r="E99" s="122"/>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row>
    <row r="100" spans="1:34" hidden="1">
      <c r="A100" s="122"/>
      <c r="B100" s="122"/>
      <c r="C100" s="122"/>
      <c r="D100" s="122"/>
      <c r="E100" s="122"/>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row>
    <row r="101" spans="1:34" hidden="1">
      <c r="A101" s="122"/>
      <c r="B101" s="122"/>
      <c r="C101" s="122"/>
      <c r="D101" s="122"/>
      <c r="E101" s="122"/>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row>
    <row r="102" spans="1:34" hidden="1">
      <c r="A102" s="122"/>
      <c r="B102" s="122"/>
      <c r="C102" s="122"/>
      <c r="D102" s="122"/>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row>
    <row r="103" spans="1:34" hidden="1">
      <c r="A103" s="122"/>
      <c r="B103" s="122"/>
      <c r="C103" s="122"/>
      <c r="D103" s="122"/>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row>
    <row r="104" spans="1:34" hidden="1">
      <c r="A104" s="122"/>
      <c r="B104" s="122"/>
      <c r="C104" s="122"/>
      <c r="D104" s="122"/>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row>
    <row r="105" spans="1:34" hidden="1">
      <c r="A105" s="122"/>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row>
    <row r="106" spans="1:34" hidden="1">
      <c r="A106" s="122"/>
      <c r="B106" s="12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row>
    <row r="107" spans="1:34" hidden="1">
      <c r="A107" s="122"/>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row>
    <row r="108" spans="1:34" hidden="1">
      <c r="A108" s="122"/>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row>
    <row r="109" spans="1:34" hidden="1">
      <c r="A109" s="122"/>
      <c r="B109" s="122"/>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row>
    <row r="110" spans="1:34" hidden="1">
      <c r="A110" s="122"/>
      <c r="B110" s="122"/>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row>
    <row r="111" spans="1:34" hidden="1">
      <c r="A111" s="122"/>
      <c r="B111" s="122"/>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row>
    <row r="112" spans="1:34" hidden="1">
      <c r="A112" s="122"/>
      <c r="B112" s="122"/>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row>
    <row r="113" spans="1:34" hidden="1">
      <c r="A113" s="122"/>
      <c r="B113" s="122"/>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row>
    <row r="114" spans="1:34" hidden="1">
      <c r="A114" s="122"/>
      <c r="B114" s="122"/>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row>
    <row r="115" spans="1:34" hidden="1">
      <c r="A115" s="122"/>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row>
    <row r="116" spans="1:34" hidden="1">
      <c r="A116" s="122"/>
      <c r="B116" s="122"/>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row>
    <row r="117" spans="1:34" hidden="1">
      <c r="A117" s="122"/>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row>
    <row r="118" spans="1:34" hidden="1">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row>
    <row r="119" spans="1:34" hidden="1">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row>
    <row r="120" spans="1:34" hidden="1">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row>
    <row r="121" spans="1:34" hidden="1">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row>
    <row r="122" spans="1:34" hidden="1">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row>
    <row r="123" spans="1:34" hidden="1">
      <c r="A123" s="122"/>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row>
    <row r="124" spans="1:34" hidden="1">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row>
    <row r="125" spans="1:34" hidden="1">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row>
    <row r="126" spans="1:34" hidden="1">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row>
    <row r="127" spans="1:34" hidden="1">
      <c r="A127" s="122"/>
      <c r="B127" s="122"/>
      <c r="C127" s="122"/>
      <c r="D127" s="122"/>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row>
    <row r="128" spans="1:34" hidden="1">
      <c r="A128" s="122"/>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row>
    <row r="129" spans="1:34" hidden="1">
      <c r="A129" s="122"/>
      <c r="B129" s="122"/>
      <c r="C129" s="122"/>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row>
    <row r="130" spans="1:34" hidden="1">
      <c r="A130" s="122"/>
      <c r="B130" s="122"/>
      <c r="C130" s="122"/>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row>
    <row r="131" spans="1:34" hidden="1">
      <c r="A131" s="122"/>
      <c r="B131" s="122"/>
      <c r="C131" s="122"/>
      <c r="D131" s="122"/>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row>
    <row r="132" spans="1:34" hidden="1">
      <c r="A132" s="122"/>
      <c r="B132" s="122"/>
      <c r="C132" s="122"/>
      <c r="D132" s="122"/>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row>
    <row r="133" spans="1:34" hidden="1">
      <c r="A133" s="122"/>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row>
    <row r="134" spans="1:34" hidden="1">
      <c r="A134" s="122"/>
      <c r="B134" s="122"/>
      <c r="C134" s="122"/>
      <c r="D134" s="122"/>
      <c r="E134" s="122"/>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row>
    <row r="135" spans="1:34" hidden="1">
      <c r="A135" s="122"/>
      <c r="B135" s="122"/>
      <c r="C135" s="122"/>
      <c r="D135" s="122"/>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row>
    <row r="136" spans="1:34" hidden="1">
      <c r="A136" s="122"/>
      <c r="B136" s="122"/>
      <c r="C136" s="122"/>
      <c r="D136" s="122"/>
      <c r="E136" s="122"/>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row>
    <row r="137" spans="1:34" hidden="1">
      <c r="A137" s="122"/>
      <c r="B137" s="122"/>
      <c r="C137" s="122"/>
      <c r="D137" s="122"/>
      <c r="E137" s="122"/>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row>
    <row r="138" spans="1:34" hidden="1">
      <c r="A138" s="122"/>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row>
    <row r="139" spans="1:34" hidden="1">
      <c r="A139" s="122"/>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row>
    <row r="140" spans="1:34" hidden="1">
      <c r="A140" s="122"/>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row>
    <row r="141" spans="1:34" hidden="1">
      <c r="A141" s="122"/>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row>
    <row r="142" spans="1:34" hidden="1">
      <c r="A142" s="122"/>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row>
    <row r="143" spans="1:34" hidden="1">
      <c r="A143" s="122"/>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row>
    <row r="144" spans="1:34" hidden="1">
      <c r="A144" s="122"/>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row>
    <row r="145" spans="1:34" hidden="1">
      <c r="A145" s="122"/>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row>
    <row r="146" spans="1:34" hidden="1">
      <c r="A146" s="122"/>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row>
    <row r="147" spans="1:34" hidden="1">
      <c r="A147" s="122"/>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row>
    <row r="148" spans="1:34" hidden="1">
      <c r="A148" s="122"/>
      <c r="B148" s="122"/>
      <c r="C148" s="122"/>
      <c r="D148" s="122"/>
      <c r="E148" s="122"/>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row>
    <row r="149" spans="1:34" hidden="1">
      <c r="A149" s="122"/>
      <c r="B149" s="122"/>
      <c r="C149" s="122"/>
      <c r="D149" s="122"/>
      <c r="E149" s="122"/>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row>
    <row r="150" spans="1:34" hidden="1">
      <c r="A150" s="122"/>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row>
    <row r="151" spans="1:34" hidden="1">
      <c r="A151" s="122"/>
      <c r="B151" s="122"/>
      <c r="C151" s="122"/>
      <c r="D151" s="122"/>
      <c r="E151" s="122"/>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row>
    <row r="152" spans="1:34" hidden="1">
      <c r="A152" s="122"/>
      <c r="B152" s="122"/>
      <c r="C152" s="122"/>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row>
    <row r="153" spans="1:34" hidden="1">
      <c r="A153" s="122"/>
      <c r="B153" s="122"/>
      <c r="C153" s="122"/>
      <c r="D153" s="122"/>
      <c r="E153" s="122"/>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row>
    <row r="154" spans="1:34" hidden="1">
      <c r="A154" s="122"/>
      <c r="B154" s="122"/>
      <c r="C154" s="122"/>
      <c r="D154" s="122"/>
      <c r="E154" s="122"/>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row>
    <row r="155" spans="1:34" hidden="1">
      <c r="A155" s="122"/>
      <c r="B155" s="122"/>
      <c r="C155" s="122"/>
      <c r="D155" s="122"/>
      <c r="E155" s="122"/>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row>
    <row r="156" spans="1:34" hidden="1">
      <c r="A156" s="122"/>
      <c r="B156" s="122"/>
      <c r="C156" s="122"/>
      <c r="D156" s="122"/>
      <c r="E156" s="122"/>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row>
    <row r="157" spans="1:34" hidden="1">
      <c r="A157" s="122"/>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row>
    <row r="158" spans="1:34" hidden="1">
      <c r="A158" s="122"/>
      <c r="B158" s="122"/>
      <c r="C158" s="122"/>
      <c r="D158" s="122"/>
      <c r="E158" s="122"/>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row>
  </sheetData>
  <sheetProtection algorithmName="SHA-512" hashValue="3tukFxCG1LY07uWIwhWdfk70NtBlkauiWU7yyF0kzZGshmLCOAtIgMDFiEXMug39DxX56GuzTuJ/Vc/jyBZC8g==" saltValue="z0bbt7f7H3L+Ih/Bi7Ib3A==" spinCount="100000" sheet="1"/>
  <mergeCells count="24">
    <mergeCell ref="B2:C2"/>
    <mergeCell ref="E2:E3"/>
    <mergeCell ref="B3:C3"/>
    <mergeCell ref="D5:E5"/>
    <mergeCell ref="B8:B9"/>
    <mergeCell ref="B10:B11"/>
    <mergeCell ref="B12:B13"/>
    <mergeCell ref="B14:B15"/>
    <mergeCell ref="B16:B17"/>
    <mergeCell ref="B18:B19"/>
    <mergeCell ref="B20:B21"/>
    <mergeCell ref="B22:B23"/>
    <mergeCell ref="B24:B25"/>
    <mergeCell ref="B26:B27"/>
    <mergeCell ref="B28:B29"/>
    <mergeCell ref="B40:B41"/>
    <mergeCell ref="B42:B43"/>
    <mergeCell ref="B44:B45"/>
    <mergeCell ref="B46:B47"/>
    <mergeCell ref="B30:B31"/>
    <mergeCell ref="B32:B33"/>
    <mergeCell ref="B34:B35"/>
    <mergeCell ref="B36:B37"/>
    <mergeCell ref="B38:B39"/>
  </mergeCells>
  <conditionalFormatting sqref="E2:E3">
    <cfRule type="containsText" dxfId="243" priority="1" operator="containsText" text="Error">
      <formula>NOT(ISERROR(SEARCH("Error",E2)))</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F63-0519-4470-A745-59052BAC7261}">
  <sheetPr codeName="Sheet1">
    <tabColor rgb="FF006600"/>
    <pageSetUpPr fitToPage="1"/>
  </sheetPr>
  <dimension ref="A1:XEY169"/>
  <sheetViews>
    <sheetView zoomScale="80" zoomScaleNormal="80" workbookViewId="0"/>
  </sheetViews>
  <sheetFormatPr defaultColWidth="8.7109375" defaultRowHeight="14.45" zeroHeight="1"/>
  <cols>
    <col min="1" max="1" width="4.5703125" customWidth="1"/>
    <col min="2" max="2" width="14.7109375" customWidth="1"/>
    <col min="3" max="3" width="26.42578125" bestFit="1" customWidth="1"/>
    <col min="4" max="4" width="62.7109375" customWidth="1"/>
    <col min="5" max="5" width="22" customWidth="1"/>
    <col min="6" max="6" width="18.5703125" customWidth="1"/>
    <col min="7" max="7" width="39.7109375" customWidth="1"/>
    <col min="8" max="8" width="62.42578125" customWidth="1"/>
    <col min="9" max="9" width="14.5703125" customWidth="1"/>
    <col min="10" max="10" width="12.7109375" customWidth="1"/>
    <col min="11" max="11" width="11.42578125" customWidth="1"/>
    <col min="12" max="12" width="17.7109375" customWidth="1"/>
    <col min="13" max="14" width="11.42578125" customWidth="1"/>
    <col min="15" max="16" width="27" customWidth="1"/>
    <col min="17" max="18" width="11.42578125" customWidth="1"/>
    <col min="19" max="19" width="2.28515625" customWidth="1"/>
    <col min="20" max="20" width="13" customWidth="1"/>
    <col min="21" max="21" width="14.7109375" customWidth="1"/>
    <col min="22" max="22" width="20.7109375" bestFit="1" customWidth="1"/>
    <col min="23" max="23" width="23.7109375" customWidth="1"/>
    <col min="24" max="24" width="16.7109375" bestFit="1" customWidth="1"/>
    <col min="25" max="25" width="14" hidden="1" customWidth="1"/>
    <col min="26" max="26" width="21.28515625" hidden="1" customWidth="1"/>
    <col min="27" max="27" width="14" hidden="1" customWidth="1"/>
    <col min="28" max="28" width="33.7109375" customWidth="1"/>
    <col min="29" max="29" width="26.5703125" customWidth="1"/>
    <col min="30" max="30" width="50" customWidth="1"/>
    <col min="31" max="31" width="18.7109375" customWidth="1"/>
    <col min="32" max="32" width="23.7109375" customWidth="1"/>
    <col min="33" max="33" width="16.7109375" customWidth="1"/>
    <col min="34" max="34" width="35.7109375" customWidth="1"/>
    <col min="35" max="35" width="76.28515625" customWidth="1"/>
    <col min="36" max="36" width="22.28515625" customWidth="1"/>
    <col min="37" max="39" width="22.28515625" hidden="1" customWidth="1"/>
    <col min="40" max="40" width="20.42578125" customWidth="1"/>
    <col min="41" max="41" width="34.28515625" bestFit="1" customWidth="1"/>
    <col min="42" max="42" width="19.7109375" bestFit="1" customWidth="1"/>
    <col min="43" max="43" width="16.28515625" bestFit="1" customWidth="1"/>
    <col min="44" max="47" width="27.28515625" customWidth="1"/>
    <col min="48" max="48" width="21.28515625" bestFit="1" customWidth="1"/>
    <col min="49" max="49" width="23.28515625" bestFit="1" customWidth="1"/>
    <col min="50" max="50" width="68.28515625" customWidth="1"/>
    <col min="51" max="51" width="26.5703125" customWidth="1"/>
    <col min="52" max="52" width="14.28515625" customWidth="1"/>
    <col min="53" max="53" width="26.5703125" customWidth="1"/>
    <col min="54" max="73" width="26.28515625" customWidth="1"/>
    <col min="74" max="74" width="11.5703125" customWidth="1"/>
    <col min="75" max="77" width="8.7109375" customWidth="1"/>
    <col min="78" max="16379" width="8.7109375" hidden="1" customWidth="1"/>
    <col min="16380" max="16383" width="8.7109375" customWidth="1"/>
  </cols>
  <sheetData>
    <row r="1" spans="1:128" ht="15.75" customHeight="1">
      <c r="A1" s="99"/>
      <c r="B1" s="99"/>
      <c r="C1" s="99"/>
      <c r="D1" s="99"/>
      <c r="E1" s="99"/>
      <c r="F1" s="99"/>
      <c r="G1" s="99"/>
      <c r="H1" s="99"/>
      <c r="I1" s="116"/>
      <c r="J1" s="116"/>
      <c r="K1" s="116"/>
      <c r="L1" s="116"/>
      <c r="M1" s="116"/>
      <c r="N1" s="116"/>
      <c r="O1" s="69" t="s">
        <v>81</v>
      </c>
      <c r="P1" s="298">
        <f>IFERROR(SUM(AE11:AE31), "Error ▲")</f>
        <v>0</v>
      </c>
      <c r="Q1" s="99"/>
      <c r="R1" s="655" t="s">
        <v>82</v>
      </c>
      <c r="S1" s="99"/>
      <c r="T1" s="100"/>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row>
    <row r="2" spans="1:128" ht="19.899999999999999" customHeight="1">
      <c r="A2" s="99"/>
      <c r="B2" s="141" t="s">
        <v>83</v>
      </c>
      <c r="C2" s="833" t="str">
        <f>IF('2. Site Details'!D4="","Enter site name on 2. Site Details",'2. Site Details'!D4)</f>
        <v>8 cliffe lane</v>
      </c>
      <c r="D2" s="834"/>
      <c r="E2" s="99"/>
      <c r="F2" s="835" t="s">
        <v>84</v>
      </c>
      <c r="G2" s="836"/>
      <c r="H2" s="837"/>
      <c r="I2" s="142"/>
      <c r="J2" s="844" t="str" cm="1">
        <f t="array" ref="J2">IFERROR(IF(OR((ISNUMBER(SEARCH("▲",A7:Q101)))),"Input Errors Present On Sheet - Red Cells Or ▲ Highlight Errors","All Key Rules Satisfied ✓ "),"Technical Errors On Sheet ▲")</f>
        <v xml:space="preserve">All Key Rules Satisfied ✓ </v>
      </c>
      <c r="K2" s="844"/>
      <c r="L2" s="844"/>
      <c r="M2" s="844"/>
      <c r="N2" s="142"/>
      <c r="O2" s="144" t="s">
        <v>85</v>
      </c>
      <c r="P2" s="298">
        <f>IFERROR(N32, "Error ▲")</f>
        <v>0.11789368</v>
      </c>
      <c r="Q2" s="99"/>
      <c r="R2" s="655"/>
      <c r="S2" s="99"/>
      <c r="T2" s="100"/>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99"/>
      <c r="DG2" s="99"/>
      <c r="DH2" s="99"/>
      <c r="DI2" s="99"/>
      <c r="DJ2" s="99"/>
      <c r="DK2" s="99"/>
      <c r="DL2" s="99"/>
      <c r="DM2" s="99"/>
      <c r="DN2" s="99"/>
      <c r="DO2" s="99"/>
      <c r="DP2" s="99"/>
      <c r="DQ2" s="99"/>
      <c r="DR2" s="99"/>
      <c r="DS2" s="99"/>
      <c r="DT2" s="99"/>
      <c r="DU2" s="99"/>
      <c r="DV2" s="99"/>
      <c r="DW2" s="99"/>
      <c r="DX2" s="99"/>
    </row>
    <row r="3" spans="1:128" ht="19.899999999999999" customHeight="1">
      <c r="A3" s="99"/>
      <c r="B3" s="143" t="s">
        <v>16</v>
      </c>
      <c r="C3" s="845" t="s">
        <v>86</v>
      </c>
      <c r="D3" s="846"/>
      <c r="E3" s="99"/>
      <c r="F3" s="838"/>
      <c r="G3" s="839"/>
      <c r="H3" s="840"/>
      <c r="I3" s="142"/>
      <c r="J3" s="844"/>
      <c r="K3" s="844"/>
      <c r="L3" s="844"/>
      <c r="M3" s="844"/>
      <c r="N3" s="142"/>
      <c r="O3" s="144" t="s">
        <v>87</v>
      </c>
      <c r="P3" s="298">
        <f>IFERROR(L61, "Error ▲")</f>
        <v>0</v>
      </c>
      <c r="Q3" s="99"/>
      <c r="R3" s="655"/>
      <c r="S3" s="99"/>
      <c r="T3" s="100"/>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row>
    <row r="4" spans="1:128" ht="19.899999999999999" customHeight="1">
      <c r="A4" s="99"/>
      <c r="B4" s="145"/>
      <c r="C4" s="145"/>
      <c r="D4" s="145"/>
      <c r="E4" s="99"/>
      <c r="F4" s="838"/>
      <c r="G4" s="839"/>
      <c r="H4" s="840"/>
      <c r="I4" s="142"/>
      <c r="J4" s="844"/>
      <c r="K4" s="844"/>
      <c r="L4" s="844"/>
      <c r="M4" s="844"/>
      <c r="N4" s="142"/>
      <c r="O4" s="144" t="s">
        <v>88</v>
      </c>
      <c r="P4" s="298">
        <f>IFERROR(L89, "Error ▲")</f>
        <v>0.27196492149999996</v>
      </c>
      <c r="Q4" s="99"/>
      <c r="R4" s="655"/>
      <c r="S4" s="99"/>
      <c r="T4" s="100"/>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row>
    <row r="5" spans="1:128" ht="19.899999999999999" customHeight="1">
      <c r="A5" s="12"/>
      <c r="B5" s="99"/>
      <c r="C5" s="99"/>
      <c r="D5" s="99"/>
      <c r="E5" s="99"/>
      <c r="F5" s="838"/>
      <c r="G5" s="839"/>
      <c r="H5" s="840"/>
      <c r="I5" s="142"/>
      <c r="J5" s="844"/>
      <c r="K5" s="844"/>
      <c r="L5" s="844"/>
      <c r="M5" s="844"/>
      <c r="N5" s="142"/>
      <c r="O5" s="146" t="s">
        <v>89</v>
      </c>
      <c r="P5" s="299">
        <f>IFERROR((P1+L61+L89)-L32, "Error ▲")</f>
        <v>-2.9378958500000052E-2</v>
      </c>
      <c r="Q5" s="99"/>
      <c r="R5" s="655"/>
      <c r="S5" s="99"/>
      <c r="T5" s="100"/>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99"/>
      <c r="BV5" s="99"/>
      <c r="BW5" s="99"/>
      <c r="BX5" s="99"/>
      <c r="BY5" s="99"/>
      <c r="BZ5" s="99"/>
      <c r="CA5" s="99"/>
      <c r="CB5" s="99"/>
      <c r="CC5" s="99"/>
      <c r="CD5" s="99"/>
      <c r="CE5" s="99"/>
      <c r="CF5" s="99"/>
      <c r="CG5" s="99"/>
      <c r="CH5" s="99"/>
      <c r="CI5" s="99"/>
      <c r="CJ5" s="99"/>
      <c r="CK5" s="99"/>
      <c r="CL5" s="99"/>
      <c r="CM5" s="99"/>
      <c r="CN5" s="99"/>
      <c r="CO5" s="99"/>
      <c r="CP5" s="99"/>
      <c r="CQ5" s="99"/>
      <c r="CR5" s="99"/>
      <c r="CS5" s="99"/>
      <c r="CT5" s="99"/>
      <c r="CU5" s="99"/>
      <c r="CV5" s="99"/>
      <c r="CW5" s="99"/>
      <c r="CX5" s="99"/>
      <c r="CY5" s="99"/>
      <c r="CZ5" s="99"/>
      <c r="DA5" s="99"/>
      <c r="DB5" s="99"/>
      <c r="DC5" s="99"/>
      <c r="DD5" s="99"/>
      <c r="DE5" s="99"/>
      <c r="DF5" s="99"/>
      <c r="DG5" s="99"/>
      <c r="DH5" s="99"/>
      <c r="DI5" s="99"/>
      <c r="DJ5" s="99"/>
      <c r="DK5" s="99"/>
      <c r="DL5" s="99"/>
      <c r="DM5" s="99"/>
      <c r="DN5" s="99"/>
      <c r="DO5" s="99"/>
      <c r="DP5" s="99"/>
      <c r="DQ5" s="99"/>
      <c r="DR5" s="99"/>
      <c r="DS5" s="99"/>
      <c r="DT5" s="99"/>
      <c r="DU5" s="99"/>
      <c r="DV5" s="99"/>
      <c r="DW5" s="99"/>
      <c r="DX5" s="99"/>
    </row>
    <row r="6" spans="1:128" ht="13.15" customHeight="1">
      <c r="A6" s="12"/>
      <c r="B6" s="99"/>
      <c r="C6" s="99"/>
      <c r="D6" s="99"/>
      <c r="E6" s="99"/>
      <c r="F6" s="841"/>
      <c r="G6" s="842"/>
      <c r="H6" s="843"/>
      <c r="I6" s="116"/>
      <c r="J6" s="116"/>
      <c r="K6" s="116"/>
      <c r="L6" s="116"/>
      <c r="M6" s="116"/>
      <c r="N6" s="116"/>
      <c r="O6" s="147"/>
      <c r="P6" s="147"/>
      <c r="Q6" s="99"/>
      <c r="R6" s="655"/>
      <c r="S6" s="99"/>
      <c r="T6" s="100"/>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row>
    <row r="7" spans="1:128" ht="19.149999999999999" customHeight="1">
      <c r="A7" s="99"/>
      <c r="B7" s="121" t="s">
        <v>90</v>
      </c>
      <c r="C7" s="99"/>
      <c r="D7" s="148"/>
      <c r="E7" s="99"/>
      <c r="F7" s="99"/>
      <c r="G7" s="99"/>
      <c r="H7" s="100"/>
      <c r="I7" s="99"/>
      <c r="J7" s="99"/>
      <c r="K7" s="100"/>
      <c r="L7" s="104"/>
      <c r="M7" s="104"/>
      <c r="N7" s="104"/>
      <c r="O7" s="99"/>
      <c r="P7" s="99"/>
      <c r="Q7" s="99"/>
      <c r="R7" s="655"/>
      <c r="S7" s="99"/>
      <c r="T7" s="100"/>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row>
    <row r="8" spans="1:128" ht="10.9" customHeight="1">
      <c r="A8" s="149"/>
      <c r="B8" s="99"/>
      <c r="C8" s="99"/>
      <c r="D8" s="99"/>
      <c r="E8" s="99"/>
      <c r="F8" s="99"/>
      <c r="G8" s="99"/>
      <c r="H8" s="99"/>
      <c r="I8" s="99"/>
      <c r="J8" s="99"/>
      <c r="K8" s="99"/>
      <c r="L8" s="99"/>
      <c r="M8" s="99"/>
      <c r="N8" s="99"/>
      <c r="O8" s="99"/>
      <c r="P8" s="99"/>
      <c r="Q8" s="99"/>
      <c r="R8" s="655"/>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row>
    <row r="9" spans="1:128" ht="29.65" customHeight="1">
      <c r="A9" s="149"/>
      <c r="B9" s="814" t="s">
        <v>76</v>
      </c>
      <c r="C9" s="771" t="s">
        <v>91</v>
      </c>
      <c r="D9" s="772"/>
      <c r="E9" s="773"/>
      <c r="F9" s="721" t="s">
        <v>92</v>
      </c>
      <c r="G9" s="817"/>
      <c r="H9" s="722"/>
      <c r="I9" s="771" t="s">
        <v>93</v>
      </c>
      <c r="J9" s="772"/>
      <c r="K9" s="773"/>
      <c r="L9" s="847" t="s">
        <v>94</v>
      </c>
      <c r="M9" s="848"/>
      <c r="N9" s="849"/>
      <c r="O9" s="847" t="s">
        <v>95</v>
      </c>
      <c r="P9" s="849"/>
      <c r="Q9" s="99"/>
      <c r="R9" s="655"/>
      <c r="S9" s="99"/>
      <c r="T9" s="769" t="s">
        <v>96</v>
      </c>
      <c r="U9" s="779"/>
      <c r="V9" s="770"/>
      <c r="W9" s="802" t="s">
        <v>97</v>
      </c>
      <c r="X9" s="770"/>
      <c r="Y9" s="803"/>
      <c r="Z9" s="803"/>
      <c r="AA9" s="803"/>
      <c r="AB9" s="769" t="s">
        <v>98</v>
      </c>
      <c r="AC9" s="779"/>
      <c r="AD9" s="770"/>
      <c r="AE9" s="769" t="s">
        <v>99</v>
      </c>
      <c r="AF9" s="779"/>
      <c r="AG9" s="770"/>
      <c r="AH9" s="828" t="s">
        <v>100</v>
      </c>
      <c r="AI9" s="783" t="s">
        <v>101</v>
      </c>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row>
    <row r="10" spans="1:128" ht="31.9" customHeight="1">
      <c r="A10" s="149"/>
      <c r="B10" s="734"/>
      <c r="C10" s="146" t="s">
        <v>102</v>
      </c>
      <c r="D10" s="831" t="s">
        <v>103</v>
      </c>
      <c r="E10" s="832"/>
      <c r="F10" s="723"/>
      <c r="G10" s="818"/>
      <c r="H10" s="724"/>
      <c r="I10" s="146" t="s">
        <v>104</v>
      </c>
      <c r="J10" s="54" t="s">
        <v>105</v>
      </c>
      <c r="K10" s="42" t="s">
        <v>106</v>
      </c>
      <c r="L10" s="146" t="s">
        <v>107</v>
      </c>
      <c r="M10" s="54" t="s">
        <v>108</v>
      </c>
      <c r="N10" s="42" t="s">
        <v>109</v>
      </c>
      <c r="O10" s="146" t="s">
        <v>110</v>
      </c>
      <c r="P10" s="42" t="s">
        <v>111</v>
      </c>
      <c r="Q10" s="99"/>
      <c r="R10" s="655"/>
      <c r="S10" s="99"/>
      <c r="T10" s="804" t="s">
        <v>112</v>
      </c>
      <c r="U10" s="805"/>
      <c r="V10" s="43" t="s">
        <v>113</v>
      </c>
      <c r="W10" s="8" t="s">
        <v>114</v>
      </c>
      <c r="X10" s="43" t="s">
        <v>113</v>
      </c>
      <c r="Y10" s="66"/>
      <c r="Z10" s="66"/>
      <c r="AA10" s="66"/>
      <c r="AB10" s="65" t="s">
        <v>98</v>
      </c>
      <c r="AC10" s="64" t="s">
        <v>98</v>
      </c>
      <c r="AD10" s="43" t="s">
        <v>115</v>
      </c>
      <c r="AE10" s="65" t="s">
        <v>116</v>
      </c>
      <c r="AF10" s="64" t="s">
        <v>117</v>
      </c>
      <c r="AG10" s="43" t="s">
        <v>118</v>
      </c>
      <c r="AH10" s="829"/>
      <c r="AI10" s="830"/>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row>
    <row r="11" spans="1:128" ht="15.6" customHeight="1">
      <c r="A11" s="149"/>
      <c r="B11" s="284">
        <v>1</v>
      </c>
      <c r="C11" s="281" t="s">
        <v>119</v>
      </c>
      <c r="D11" s="758" t="s">
        <v>120</v>
      </c>
      <c r="E11" s="759"/>
      <c r="F11" s="823" t="s">
        <v>121</v>
      </c>
      <c r="G11" s="824"/>
      <c r="H11" s="825"/>
      <c r="I11" s="318">
        <v>280.14519999999999</v>
      </c>
      <c r="J11" s="336">
        <v>27.911100000000001</v>
      </c>
      <c r="K11" s="320">
        <v>0</v>
      </c>
      <c r="L11" s="401">
        <f>IF(C11="","",IFERROR(IF(I11="","",((I11/10000)*V11*X11)*AD11),"Error ▲"))</f>
        <v>0</v>
      </c>
      <c r="M11" s="401">
        <f>IF(I11="","",IF(J11+K11&gt;I11,"Area Error ▲",I11-J11-K11))</f>
        <v>252.23409999999998</v>
      </c>
      <c r="N11" s="402">
        <f>IFERROR(IF(I11="","",IF(M11="Area Error ▲","Area Error ▲",((M11/10000)*V11*X11)*AD11)),"This intervention is not permitted within the SSM ▲")</f>
        <v>0</v>
      </c>
      <c r="O11" s="131"/>
      <c r="P11" s="81"/>
      <c r="Q11" s="99"/>
      <c r="R11" s="655"/>
      <c r="S11" s="99"/>
      <c r="T11" s="791" t="str">
        <f>IF(C11="","",VLOOKUP(D11,'9. All Habitats + Multipliers'!$C$4:$K$102,5,FALSE))</f>
        <v>V.Low</v>
      </c>
      <c r="U11" s="792"/>
      <c r="V11" s="150">
        <f>IF(T11="","",VLOOKUP(T11,'11. Lists'!$B$47:$D$49,2,FALSE))</f>
        <v>0</v>
      </c>
      <c r="W11" s="224" t="str">
        <f>IF(C11="","",VLOOKUP(D11,'10. Condition and Temporal'!$B$6:$C$103,2,FALSE))</f>
        <v>N/A - Other</v>
      </c>
      <c r="X11" s="150">
        <f>IF(W11="","",VLOOKUP(W11,'11. Lists'!$F$47:$G$51,2,FALSE))</f>
        <v>0</v>
      </c>
      <c r="Y11" s="113"/>
      <c r="Z11" s="113"/>
      <c r="AA11" s="113"/>
      <c r="AB11" s="61" t="str">
        <f>IF(F11="","",F11)</f>
        <v>Area/compensation not in local strategy/ no local strategy</v>
      </c>
      <c r="AC11" s="60" t="str">
        <f>IF(AB11="","",VLOOKUP(AB11,'11. Lists'!$F$36:$H$38,2,FALSE))</f>
        <v>Low Strategic Significance</v>
      </c>
      <c r="AD11" s="150">
        <f>IF(AB11="","",VLOOKUP(AB11,'11. Lists'!$F$36:$H$38,3,FALSE))</f>
        <v>1</v>
      </c>
      <c r="AE11" s="311">
        <f>IF(D11="","",((J11/10000)*V11*X11)*AD11)</f>
        <v>0</v>
      </c>
      <c r="AF11" s="312">
        <f>IF(D11="","",((K11/10000)*V11*X11)*AD11)</f>
        <v>0</v>
      </c>
      <c r="AG11" s="151">
        <f>IF(D11="","",M11)</f>
        <v>252.23409999999998</v>
      </c>
      <c r="AH11" s="498" t="str">
        <f>IF(T11="","",VLOOKUP(T11,'11. Lists'!$B$47:$D$49,3,FALSE))</f>
        <v>Compensation Not Required</v>
      </c>
      <c r="AI11" s="530" t="str">
        <f>IF(D11="","",VLOOKUP(D11,'10. Condition and Temporal'!$B$6:$L$103,4,FALSE))</f>
        <v>Enhancement not possible</v>
      </c>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row>
    <row r="12" spans="1:128" ht="15.6" customHeight="1">
      <c r="A12" s="99"/>
      <c r="B12" s="285">
        <v>2</v>
      </c>
      <c r="C12" s="281" t="s">
        <v>119</v>
      </c>
      <c r="D12" s="821" t="s">
        <v>122</v>
      </c>
      <c r="E12" s="822"/>
      <c r="F12" s="823" t="s">
        <v>121</v>
      </c>
      <c r="G12" s="824"/>
      <c r="H12" s="825"/>
      <c r="I12" s="318">
        <v>687.18979999999999</v>
      </c>
      <c r="J12" s="319">
        <v>0</v>
      </c>
      <c r="K12" s="320">
        <v>424.02159999999998</v>
      </c>
      <c r="L12" s="314">
        <f>IF(C12="","",IFERROR(IF(I12="","",((I12/10000)*V12*X12)*AD12),"Error ▲"))</f>
        <v>0.27487592</v>
      </c>
      <c r="M12" s="314">
        <f>IF(I12="","",IF(J12+K12&gt;I12,"Area Error ▲",I12-J12-K12))</f>
        <v>263.16820000000001</v>
      </c>
      <c r="N12" s="359">
        <f>IFERROR(IF(I12="","",IF(M12="Area Error ▲","Area Error ▲",((M12/10000)*V12*X12)*AD12)),"This intervention is not permitted within the SSM ▲")</f>
        <v>0.10526728</v>
      </c>
      <c r="O12" s="132"/>
      <c r="P12" s="79"/>
      <c r="Q12" s="99"/>
      <c r="R12" s="655"/>
      <c r="S12" s="99"/>
      <c r="T12" s="791" t="str">
        <f>IF(C12="","",VLOOKUP(D12,'9. All Habitats + Multipliers'!$C$4:$K$102,5,FALSE))</f>
        <v>Low</v>
      </c>
      <c r="U12" s="792"/>
      <c r="V12" s="150">
        <f>IF(T12="","",VLOOKUP(T12,'11. Lists'!$B$47:$D$49,2,FALSE))</f>
        <v>2</v>
      </c>
      <c r="W12" s="224" t="str">
        <f>IF(C12="","",VLOOKUP(D12,'10. Condition and Temporal'!$B$6:$C$103,2,FALSE))</f>
        <v>Moderate</v>
      </c>
      <c r="X12" s="150">
        <f>IF(W12="","",VLOOKUP(W12,'11. Lists'!$F$47:$G$51,2,FALSE))</f>
        <v>2</v>
      </c>
      <c r="Y12" s="113"/>
      <c r="Z12" s="113"/>
      <c r="AA12" s="113"/>
      <c r="AB12" s="61" t="str">
        <f>IF(F12="","",F12)</f>
        <v>Area/compensation not in local strategy/ no local strategy</v>
      </c>
      <c r="AC12" s="60" t="str">
        <f>IF(AB12="","",VLOOKUP(AB12,'11. Lists'!$F$36:$H$38,2,FALSE))</f>
        <v>Low Strategic Significance</v>
      </c>
      <c r="AD12" s="150">
        <f>IF(AB12="","",VLOOKUP(AB12,'11. Lists'!$F$36:$H$38,3,FALSE))</f>
        <v>1</v>
      </c>
      <c r="AE12" s="311">
        <f>IF(D12="","",((J12/10000)*V12*X12)*AD12)</f>
        <v>0</v>
      </c>
      <c r="AF12" s="312">
        <f>IF(D12="","",((K12/10000)*V12*X12)*AD12)</f>
        <v>0.16960864</v>
      </c>
      <c r="AG12" s="151">
        <f>IF(D12="","",M12)</f>
        <v>263.16820000000001</v>
      </c>
      <c r="AH12" s="498" t="str">
        <f>IF(T12="","",VLOOKUP(T12,'11. Lists'!$B$47:$D$49,3,FALSE))</f>
        <v>Same distinctiveness or better habitat required</v>
      </c>
      <c r="AI12" s="530" t="str">
        <f>IF(D12="","",VLOOKUP(D12,'10. Condition and Temporal'!$B$6:$L$103,4,FALSE))</f>
        <v>Bare ground</v>
      </c>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row>
    <row r="13" spans="1:128" ht="15.6" customHeight="1">
      <c r="A13" s="99"/>
      <c r="B13" s="285">
        <v>3</v>
      </c>
      <c r="C13" s="281" t="s">
        <v>119</v>
      </c>
      <c r="D13" s="821" t="s">
        <v>122</v>
      </c>
      <c r="E13" s="822"/>
      <c r="F13" s="823" t="s">
        <v>121</v>
      </c>
      <c r="G13" s="824"/>
      <c r="H13" s="825"/>
      <c r="I13" s="318">
        <v>66.169899999999998</v>
      </c>
      <c r="J13" s="319">
        <v>0</v>
      </c>
      <c r="K13" s="320">
        <v>34.603900000000003</v>
      </c>
      <c r="L13" s="314">
        <f>IF(C13="","",IFERROR(IF(I13="","",((I13/10000)*V13*X13)*AD13),"Error ▲"))</f>
        <v>2.6467959999999999E-2</v>
      </c>
      <c r="M13" s="314">
        <f>IF(I13="","",IF(J13+K13&gt;I13,"Area Error ▲",I13-J13-K13))</f>
        <v>31.565999999999995</v>
      </c>
      <c r="N13" s="359">
        <f>IFERROR(IF(I13="","",IF(M13="Area Error ▲","Area Error ▲",((M13/10000)*V13*X13)*AD13)),"This intervention is not permitted within the SSM ▲")</f>
        <v>1.2626399999999998E-2</v>
      </c>
      <c r="O13" s="132"/>
      <c r="P13" s="79"/>
      <c r="Q13" s="99"/>
      <c r="R13" s="655"/>
      <c r="S13" s="99"/>
      <c r="T13" s="791" t="str">
        <f>IF(C13="","",VLOOKUP(D13,'9. All Habitats + Multipliers'!$C$4:$K$102,5,FALSE))</f>
        <v>Low</v>
      </c>
      <c r="U13" s="792"/>
      <c r="V13" s="150">
        <f>IF(T13="","",VLOOKUP(T13,'11. Lists'!$B$47:$D$49,2,FALSE))</f>
        <v>2</v>
      </c>
      <c r="W13" s="224" t="str">
        <f>IF(C13="","",VLOOKUP(D13,'10. Condition and Temporal'!$B$6:$C$103,2,FALSE))</f>
        <v>Moderate</v>
      </c>
      <c r="X13" s="150">
        <f>IF(W13="","",VLOOKUP(W13,'11. Lists'!$F$47:$G$51,2,FALSE))</f>
        <v>2</v>
      </c>
      <c r="Y13" s="113"/>
      <c r="Z13" s="113"/>
      <c r="AA13" s="113"/>
      <c r="AB13" s="61" t="str">
        <f>IF(F13="","",F13)</f>
        <v>Area/compensation not in local strategy/ no local strategy</v>
      </c>
      <c r="AC13" s="60" t="str">
        <f>IF(AB13="","",VLOOKUP(AB13,'11. Lists'!$F$36:$H$38,2,FALSE))</f>
        <v>Low Strategic Significance</v>
      </c>
      <c r="AD13" s="150">
        <f>IF(AB13="","",VLOOKUP(AB13,'11. Lists'!$F$36:$H$38,3,FALSE))</f>
        <v>1</v>
      </c>
      <c r="AE13" s="311">
        <f>IF(D13="","",((J13/10000)*V13*X13)*AD13)</f>
        <v>0</v>
      </c>
      <c r="AF13" s="312">
        <f>IF(D13="","",((K13/10000)*V13*X13)*AD13)</f>
        <v>1.3841560000000001E-2</v>
      </c>
      <c r="AG13" s="151">
        <f>IF(D13="","",M13)</f>
        <v>31.565999999999995</v>
      </c>
      <c r="AH13" s="498" t="str">
        <f>IF(T13="","",VLOOKUP(T13,'11. Lists'!$B$47:$D$49,3,FALSE))</f>
        <v>Same distinctiveness or better habitat required</v>
      </c>
      <c r="AI13" s="530" t="str">
        <f>IF(D13="","",VLOOKUP(D13,'10. Condition and Temporal'!$B$6:$L$103,4,FALSE))</f>
        <v>Bare ground</v>
      </c>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row>
    <row r="14" spans="1:128" ht="15.6" customHeight="1">
      <c r="A14" s="99"/>
      <c r="B14" s="285">
        <v>4</v>
      </c>
      <c r="C14" s="281"/>
      <c r="D14" s="758"/>
      <c r="E14" s="759"/>
      <c r="F14" s="823"/>
      <c r="G14" s="824"/>
      <c r="H14" s="825"/>
      <c r="I14" s="318"/>
      <c r="J14" s="319"/>
      <c r="K14" s="320"/>
      <c r="L14" s="314" t="str">
        <f>IF(C14="","",IFERROR(IF(I14="","",((I14/10000)*V14*X14)*AD14),"Error ▲"))</f>
        <v/>
      </c>
      <c r="M14" s="314" t="str">
        <f>IF(I14="","",IF(J14+K14&gt;I14,"Area Error ▲",I14-J14-K14))</f>
        <v/>
      </c>
      <c r="N14" s="359" t="str">
        <f>IFERROR(IF(I14="","",IF(M14="Area Error ▲","Area Error ▲",((M14/10000)*V14*X14)*AD14)),"This intervention is not permitted within the SSM ▲")</f>
        <v/>
      </c>
      <c r="O14" s="132"/>
      <c r="P14" s="79"/>
      <c r="Q14" s="99"/>
      <c r="R14" s="655"/>
      <c r="S14" s="99"/>
      <c r="T14" s="791" t="str">
        <f>IF(C14="","",VLOOKUP(D14,'9. All Habitats + Multipliers'!$C$4:$K$102,5,FALSE))</f>
        <v/>
      </c>
      <c r="U14" s="792"/>
      <c r="V14" s="150" t="str">
        <f>IF(T14="","",VLOOKUP(T14,'11. Lists'!$B$47:$D$49,2,FALSE))</f>
        <v/>
      </c>
      <c r="W14" s="224" t="str">
        <f>IF(C14="","",VLOOKUP(D14,'10. Condition and Temporal'!$B$6:$C$103,2,FALSE))</f>
        <v/>
      </c>
      <c r="X14" s="150" t="str">
        <f>IF(W14="","",VLOOKUP(W14,'11. Lists'!$F$47:$G$51,2,FALSE))</f>
        <v/>
      </c>
      <c r="Y14" s="113"/>
      <c r="Z14" s="113"/>
      <c r="AA14" s="113"/>
      <c r="AB14" s="61" t="str">
        <f>IF(F14="","",F14)</f>
        <v/>
      </c>
      <c r="AC14" s="60" t="str">
        <f>IF(AB14="","",VLOOKUP(AB14,'11. Lists'!$F$36:$H$38,2,FALSE))</f>
        <v/>
      </c>
      <c r="AD14" s="150" t="str">
        <f>IF(AB14="","",VLOOKUP(AB14,'11. Lists'!$F$36:$H$38,3,FALSE))</f>
        <v/>
      </c>
      <c r="AE14" s="311" t="str">
        <f>IF(D14="","",((J14/10000)*V14*X14)*AD14)</f>
        <v/>
      </c>
      <c r="AF14" s="312" t="str">
        <f>IF(D14="","",((K14/10000)*V14*X14)*AD14)</f>
        <v/>
      </c>
      <c r="AG14" s="151" t="str">
        <f>IF(D14="","",M14)</f>
        <v/>
      </c>
      <c r="AH14" s="498" t="str">
        <f>IF(T14="","",VLOOKUP(T14,'11. Lists'!$B$47:$D$49,3,FALSE))</f>
        <v/>
      </c>
      <c r="AI14" s="530" t="str">
        <f>IF(D14="","",VLOOKUP(D14,'10. Condition and Temporal'!$B$6:$L$103,4,FALSE))</f>
        <v/>
      </c>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row>
    <row r="15" spans="1:128" ht="15.6" customHeight="1">
      <c r="A15" s="99"/>
      <c r="B15" s="285">
        <v>5</v>
      </c>
      <c r="C15" s="281"/>
      <c r="D15" s="821"/>
      <c r="E15" s="822"/>
      <c r="F15" s="823"/>
      <c r="G15" s="824"/>
      <c r="H15" s="825"/>
      <c r="I15" s="318"/>
      <c r="J15" s="319"/>
      <c r="K15" s="320"/>
      <c r="L15" s="314" t="str">
        <f>IF(C15="","",IFERROR(IF(I15="","",((I15/10000)*V15*X15)*AD15),"Error ▲"))</f>
        <v/>
      </c>
      <c r="M15" s="314" t="str">
        <f>IF(I15="","",IF(J15+K15&gt;I15,"Area Error ▲",I15-J15-K15))</f>
        <v/>
      </c>
      <c r="N15" s="359" t="str">
        <f>IFERROR(IF(I15="","",IF(M15="Area Error ▲","Area Error ▲",((M15/10000)*V15*X15)*AD15)),"This intervention is not permitted within the SSM ▲")</f>
        <v/>
      </c>
      <c r="O15" s="132"/>
      <c r="P15" s="79"/>
      <c r="Q15" s="99"/>
      <c r="R15" s="655"/>
      <c r="S15" s="99"/>
      <c r="T15" s="791" t="str">
        <f>IF(C15="","",VLOOKUP(D15,'9. All Habitats + Multipliers'!$C$4:$K$102,5,FALSE))</f>
        <v/>
      </c>
      <c r="U15" s="792"/>
      <c r="V15" s="150" t="str">
        <f>IF(T15="","",VLOOKUP(T15,'11. Lists'!$B$47:$D$49,2,FALSE))</f>
        <v/>
      </c>
      <c r="W15" s="224" t="str">
        <f>IF(C15="","",VLOOKUP(D15,'10. Condition and Temporal'!$B$6:$C$103,2,FALSE))</f>
        <v/>
      </c>
      <c r="X15" s="150" t="str">
        <f>IF(W15="","",VLOOKUP(W15,'11. Lists'!$F$47:$G$51,2,FALSE))</f>
        <v/>
      </c>
      <c r="Y15" s="113"/>
      <c r="Z15" s="113"/>
      <c r="AA15" s="113"/>
      <c r="AB15" s="61" t="str">
        <f>IF(F15="","",F15)</f>
        <v/>
      </c>
      <c r="AC15" s="60" t="str">
        <f>IF(AB15="","",VLOOKUP(AB15,'11. Lists'!$F$36:$H$38,2,FALSE))</f>
        <v/>
      </c>
      <c r="AD15" s="150" t="str">
        <f>IF(AB15="","",VLOOKUP(AB15,'11. Lists'!$F$36:$H$38,3,FALSE))</f>
        <v/>
      </c>
      <c r="AE15" s="311" t="str">
        <f>IF(D15="","",((J15/10000)*V15*X15)*AD15)</f>
        <v/>
      </c>
      <c r="AF15" s="312" t="str">
        <f>IF(D15="","",((K15/10000)*V15*X15)*AD15)</f>
        <v/>
      </c>
      <c r="AG15" s="151" t="str">
        <f>IF(D15="","",M15)</f>
        <v/>
      </c>
      <c r="AH15" s="498" t="str">
        <f>IF(T15="","",VLOOKUP(T15,'11. Lists'!$B$47:$D$49,3,FALSE))</f>
        <v/>
      </c>
      <c r="AI15" s="530" t="str">
        <f>IF(D15="","",VLOOKUP(D15,'10. Condition and Temporal'!$B$6:$L$103,4,FALSE))</f>
        <v/>
      </c>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row>
    <row r="16" spans="1:128" ht="15.6" customHeight="1">
      <c r="A16" s="99"/>
      <c r="B16" s="285">
        <v>6</v>
      </c>
      <c r="C16" s="281"/>
      <c r="D16" s="821"/>
      <c r="E16" s="822"/>
      <c r="F16" s="823"/>
      <c r="G16" s="824"/>
      <c r="H16" s="825"/>
      <c r="I16" s="318"/>
      <c r="J16" s="319"/>
      <c r="K16" s="320"/>
      <c r="L16" s="314" t="str">
        <f>IF(C16="","",IFERROR(IF(I16="","",((I16/10000)*V16*X16)*AD16),"Error ▲"))</f>
        <v/>
      </c>
      <c r="M16" s="314" t="str">
        <f>IF(I16="","",IF(J16+K16&gt;I16,"Area Error ▲",I16-J16-K16))</f>
        <v/>
      </c>
      <c r="N16" s="359" t="str">
        <f>IFERROR(IF(I16="","",IF(M16="Area Error ▲","Area Error ▲",((M16/10000)*V16*X16)*AD16)),"This intervention is not permitted within the SSM ▲")</f>
        <v/>
      </c>
      <c r="O16" s="132"/>
      <c r="P16" s="79"/>
      <c r="Q16" s="99"/>
      <c r="R16" s="655"/>
      <c r="S16" s="99"/>
      <c r="T16" s="791" t="str">
        <f>IF(C16="","",VLOOKUP(D16,'9. All Habitats + Multipliers'!$C$4:$K$102,5,FALSE))</f>
        <v/>
      </c>
      <c r="U16" s="792"/>
      <c r="V16" s="150" t="str">
        <f>IF(T16="","",VLOOKUP(T16,'11. Lists'!$B$47:$D$49,2,FALSE))</f>
        <v/>
      </c>
      <c r="W16" s="224" t="str">
        <f>IF(C16="","",VLOOKUP(D16,'10. Condition and Temporal'!$B$6:$C$103,2,FALSE))</f>
        <v/>
      </c>
      <c r="X16" s="150" t="str">
        <f>IF(W16="","",VLOOKUP(W16,'11. Lists'!$F$47:$G$51,2,FALSE))</f>
        <v/>
      </c>
      <c r="Y16" s="113"/>
      <c r="Z16" s="113"/>
      <c r="AA16" s="113"/>
      <c r="AB16" s="61" t="str">
        <f>IF(F16="","",F16)</f>
        <v/>
      </c>
      <c r="AC16" s="60" t="str">
        <f>IF(AB16="","",VLOOKUP(AB16,'11. Lists'!$F$36:$H$38,2,FALSE))</f>
        <v/>
      </c>
      <c r="AD16" s="150" t="str">
        <f>IF(AB16="","",VLOOKUP(AB16,'11. Lists'!$F$36:$H$38,3,FALSE))</f>
        <v/>
      </c>
      <c r="AE16" s="311" t="str">
        <f>IF(D16="","",((J16/10000)*V16*X16)*AD16)</f>
        <v/>
      </c>
      <c r="AF16" s="312" t="str">
        <f>IF(D16="","",((K16/10000)*V16*X16)*AD16)</f>
        <v/>
      </c>
      <c r="AG16" s="151" t="str">
        <f>IF(D16="","",M16)</f>
        <v/>
      </c>
      <c r="AH16" s="498" t="str">
        <f>IF(T16="","",VLOOKUP(T16,'11. Lists'!$B$47:$D$49,3,FALSE))</f>
        <v/>
      </c>
      <c r="AI16" s="530" t="str">
        <f>IF(D16="","",VLOOKUP(D16,'10. Condition and Temporal'!$B$6:$L$103,4,FALSE))</f>
        <v/>
      </c>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row>
    <row r="17" spans="1:128" ht="15.6" customHeight="1">
      <c r="A17" s="99"/>
      <c r="B17" s="285">
        <v>7</v>
      </c>
      <c r="C17" s="281"/>
      <c r="D17" s="821"/>
      <c r="E17" s="822"/>
      <c r="F17" s="823"/>
      <c r="G17" s="824"/>
      <c r="H17" s="825"/>
      <c r="I17" s="318"/>
      <c r="J17" s="319"/>
      <c r="K17" s="320"/>
      <c r="L17" s="314" t="str">
        <f>IF(C17="","",IFERROR(IF(I17="","",((I17/10000)*V17*X17)*AD17),"Error ▲"))</f>
        <v/>
      </c>
      <c r="M17" s="314" t="str">
        <f>IF(I17="","",IF(J17+K17&gt;I17,"Area Error ▲",I17-J17-K17))</f>
        <v/>
      </c>
      <c r="N17" s="359" t="str">
        <f>IFERROR(IF(I17="","",IF(M17="Area Error ▲","Area Error ▲",((M17/10000)*V17*X17)*AD17)),"This intervention is not permitted within the SSM ▲")</f>
        <v/>
      </c>
      <c r="O17" s="132"/>
      <c r="P17" s="79"/>
      <c r="Q17" s="99"/>
      <c r="R17" s="655"/>
      <c r="S17" s="99"/>
      <c r="T17" s="791" t="str">
        <f>IF(C17="","",VLOOKUP(D17,'9. All Habitats + Multipliers'!$C$4:$K$102,5,FALSE))</f>
        <v/>
      </c>
      <c r="U17" s="792"/>
      <c r="V17" s="150" t="str">
        <f>IF(T17="","",VLOOKUP(T17,'11. Lists'!$B$47:$D$49,2,FALSE))</f>
        <v/>
      </c>
      <c r="W17" s="224" t="str">
        <f>IF(C17="","",VLOOKUP(D17,'10. Condition and Temporal'!$B$6:$C$103,2,FALSE))</f>
        <v/>
      </c>
      <c r="X17" s="150" t="str">
        <f>IF(W17="","",VLOOKUP(W17,'11. Lists'!$F$47:$G$51,2,FALSE))</f>
        <v/>
      </c>
      <c r="Y17" s="113"/>
      <c r="Z17" s="113"/>
      <c r="AA17" s="113"/>
      <c r="AB17" s="61" t="str">
        <f>IF(F17="","",F17)</f>
        <v/>
      </c>
      <c r="AC17" s="60" t="str">
        <f>IF(AB17="","",VLOOKUP(AB17,'11. Lists'!$F$36:$H$38,2,FALSE))</f>
        <v/>
      </c>
      <c r="AD17" s="150" t="str">
        <f>IF(AB17="","",VLOOKUP(AB17,'11. Lists'!$F$36:$H$38,3,FALSE))</f>
        <v/>
      </c>
      <c r="AE17" s="311" t="str">
        <f>IF(D17="","",((J17/10000)*V17*X17)*AD17)</f>
        <v/>
      </c>
      <c r="AF17" s="312" t="str">
        <f>IF(D17="","",((K17/10000)*V17*X17)*AD17)</f>
        <v/>
      </c>
      <c r="AG17" s="151" t="str">
        <f>IF(D17="","",M17)</f>
        <v/>
      </c>
      <c r="AH17" s="498" t="str">
        <f>IF(T17="","",VLOOKUP(T17,'11. Lists'!$B$47:$D$49,3,FALSE))</f>
        <v/>
      </c>
      <c r="AI17" s="530" t="str">
        <f>IF(D17="","",VLOOKUP(D17,'10. Condition and Temporal'!$B$6:$L$103,4,FALSE))</f>
        <v/>
      </c>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row>
    <row r="18" spans="1:128" ht="15.6" customHeight="1">
      <c r="A18" s="99"/>
      <c r="B18" s="285">
        <v>8</v>
      </c>
      <c r="C18" s="281"/>
      <c r="D18" s="821"/>
      <c r="E18" s="822"/>
      <c r="F18" s="823"/>
      <c r="G18" s="824"/>
      <c r="H18" s="825"/>
      <c r="I18" s="318"/>
      <c r="J18" s="319"/>
      <c r="K18" s="320"/>
      <c r="L18" s="314" t="str">
        <f>IF(C18="","",IFERROR(IF(I18="","",((I18/10000)*V18*X18)*AD18),"Error ▲"))</f>
        <v/>
      </c>
      <c r="M18" s="314" t="str">
        <f>IF(I18="","",IF(J18+K18&gt;I18,"Area Error ▲",I18-J18-K18))</f>
        <v/>
      </c>
      <c r="N18" s="359" t="str">
        <f>IFERROR(IF(I18="","",IF(M18="Area Error ▲","Area Error ▲",((M18/10000)*V18*X18)*AD18)),"This intervention is not permitted within the SSM ▲")</f>
        <v/>
      </c>
      <c r="O18" s="132"/>
      <c r="P18" s="79"/>
      <c r="Q18" s="99"/>
      <c r="R18" s="655"/>
      <c r="S18" s="99"/>
      <c r="T18" s="791" t="str">
        <f>IF(C18="","",VLOOKUP(D18,'9. All Habitats + Multipliers'!$C$4:$K$102,5,FALSE))</f>
        <v/>
      </c>
      <c r="U18" s="792"/>
      <c r="V18" s="150" t="str">
        <f>IF(T18="","",VLOOKUP(T18,'11. Lists'!$B$47:$D$49,2,FALSE))</f>
        <v/>
      </c>
      <c r="W18" s="224" t="str">
        <f>IF(C18="","",VLOOKUP(D18,'10. Condition and Temporal'!$B$6:$C$103,2,FALSE))</f>
        <v/>
      </c>
      <c r="X18" s="150" t="str">
        <f>IF(W18="","",VLOOKUP(W18,'11. Lists'!$F$47:$G$51,2,FALSE))</f>
        <v/>
      </c>
      <c r="Y18" s="113"/>
      <c r="Z18" s="113"/>
      <c r="AA18" s="113"/>
      <c r="AB18" s="61" t="str">
        <f>IF(F18="","",F18)</f>
        <v/>
      </c>
      <c r="AC18" s="60" t="str">
        <f>IF(AB18="","",VLOOKUP(AB18,'11. Lists'!$F$36:$H$38,2,FALSE))</f>
        <v/>
      </c>
      <c r="AD18" s="150" t="str">
        <f>IF(AB18="","",VLOOKUP(AB18,'11. Lists'!$F$36:$H$38,3,FALSE))</f>
        <v/>
      </c>
      <c r="AE18" s="311" t="str">
        <f>IF(D18="","",((J18/10000)*V18*X18)*AD18)</f>
        <v/>
      </c>
      <c r="AF18" s="312" t="str">
        <f>IF(D18="","",((K18/10000)*V18*X18)*AD18)</f>
        <v/>
      </c>
      <c r="AG18" s="151" t="str">
        <f>IF(D18="","",M18)</f>
        <v/>
      </c>
      <c r="AH18" s="498" t="str">
        <f>IF(T18="","",VLOOKUP(T18,'11. Lists'!$B$47:$D$49,3,FALSE))</f>
        <v/>
      </c>
      <c r="AI18" s="530" t="str">
        <f>IF(D18="","",VLOOKUP(D18,'10. Condition and Temporal'!$B$6:$L$103,4,FALSE))</f>
        <v/>
      </c>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row>
    <row r="19" spans="1:128" ht="15.6" customHeight="1">
      <c r="A19" s="99"/>
      <c r="B19" s="285">
        <v>9</v>
      </c>
      <c r="C19" s="281"/>
      <c r="D19" s="821"/>
      <c r="E19" s="822"/>
      <c r="F19" s="823"/>
      <c r="G19" s="824"/>
      <c r="H19" s="825"/>
      <c r="I19" s="318"/>
      <c r="J19" s="319"/>
      <c r="K19" s="320"/>
      <c r="L19" s="314" t="str">
        <f>IF(C19="","",IFERROR(IF(I19="","",((I19/10000)*V19*X19)*AD19),"Error ▲"))</f>
        <v/>
      </c>
      <c r="M19" s="314" t="str">
        <f>IF(I19="","",IF(J19+K19&gt;I19,"Area Error ▲",I19-J19-K19))</f>
        <v/>
      </c>
      <c r="N19" s="359" t="str">
        <f>IFERROR(IF(I19="","",IF(M19="Area Error ▲","Area Error ▲",((M19/10000)*V19*X19)*AD19)),"This intervention is not permitted within the SSM ▲")</f>
        <v/>
      </c>
      <c r="O19" s="132"/>
      <c r="P19" s="79"/>
      <c r="Q19" s="99"/>
      <c r="R19" s="655"/>
      <c r="S19" s="99"/>
      <c r="T19" s="791" t="str">
        <f>IF(C19="","",VLOOKUP(D19,'9. All Habitats + Multipliers'!$C$4:$K$102,5,FALSE))</f>
        <v/>
      </c>
      <c r="U19" s="792"/>
      <c r="V19" s="150" t="str">
        <f>IF(T19="","",VLOOKUP(T19,'11. Lists'!$B$47:$D$49,2,FALSE))</f>
        <v/>
      </c>
      <c r="W19" s="224" t="str">
        <f>IF(C19="","",VLOOKUP(D19,'10. Condition and Temporal'!$B$6:$C$103,2,FALSE))</f>
        <v/>
      </c>
      <c r="X19" s="150" t="str">
        <f>IF(W19="","",VLOOKUP(W19,'11. Lists'!$F$47:$G$51,2,FALSE))</f>
        <v/>
      </c>
      <c r="Y19" s="113"/>
      <c r="Z19" s="113"/>
      <c r="AA19" s="113"/>
      <c r="AB19" s="61" t="str">
        <f>IF(F19="","",F19)</f>
        <v/>
      </c>
      <c r="AC19" s="60" t="str">
        <f>IF(AB19="","",VLOOKUP(AB19,'11. Lists'!$F$36:$H$38,2,FALSE))</f>
        <v/>
      </c>
      <c r="AD19" s="150" t="str">
        <f>IF(AB19="","",VLOOKUP(AB19,'11. Lists'!$F$36:$H$38,3,FALSE))</f>
        <v/>
      </c>
      <c r="AE19" s="311" t="str">
        <f>IF(D19="","",((J19/10000)*V19*X19)*AD19)</f>
        <v/>
      </c>
      <c r="AF19" s="312" t="str">
        <f>IF(D19="","",((K19/10000)*V19*X19)*AD19)</f>
        <v/>
      </c>
      <c r="AG19" s="151" t="str">
        <f>IF(D19="","",M19)</f>
        <v/>
      </c>
      <c r="AH19" s="498" t="str">
        <f>IF(T19="","",VLOOKUP(T19,'11. Lists'!$B$47:$D$49,3,FALSE))</f>
        <v/>
      </c>
      <c r="AI19" s="530" t="str">
        <f>IF(D19="","",VLOOKUP(D19,'10. Condition and Temporal'!$B$6:$L$103,4,FALSE))</f>
        <v/>
      </c>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row>
    <row r="20" spans="1:128" ht="15.6" customHeight="1">
      <c r="A20" s="99"/>
      <c r="B20" s="285">
        <v>10</v>
      </c>
      <c r="C20" s="281"/>
      <c r="D20" s="821"/>
      <c r="E20" s="822"/>
      <c r="F20" s="823"/>
      <c r="G20" s="824"/>
      <c r="H20" s="825"/>
      <c r="I20" s="318"/>
      <c r="J20" s="319"/>
      <c r="K20" s="320"/>
      <c r="L20" s="314" t="str">
        <f>IF(C20="","",IFERROR(IF(I20="","",((I20/10000)*V20*X20)*AD20),"Error ▲"))</f>
        <v/>
      </c>
      <c r="M20" s="314" t="str">
        <f>IF(I20="","",IF(J20+K20&gt;I20,"Area Error ▲",I20-J20-K20))</f>
        <v/>
      </c>
      <c r="N20" s="359" t="str">
        <f>IFERROR(IF(I20="","",IF(M20="Area Error ▲","Area Error ▲",((M20/10000)*V20*X20)*AD20)),"This intervention is not permitted within the SSM ▲")</f>
        <v/>
      </c>
      <c r="O20" s="133"/>
      <c r="P20" s="83"/>
      <c r="Q20" s="99"/>
      <c r="R20" s="655"/>
      <c r="S20" s="99"/>
      <c r="T20" s="791" t="str">
        <f>IF(C20="","",VLOOKUP(D20,'9. All Habitats + Multipliers'!$C$4:$K$102,5,FALSE))</f>
        <v/>
      </c>
      <c r="U20" s="792"/>
      <c r="V20" s="150" t="str">
        <f>IF(T20="","",VLOOKUP(T20,'11. Lists'!$B$47:$D$49,2,FALSE))</f>
        <v/>
      </c>
      <c r="W20" s="224" t="str">
        <f>IF(C20="","",VLOOKUP(D20,'10. Condition and Temporal'!$B$6:$C$103,2,FALSE))</f>
        <v/>
      </c>
      <c r="X20" s="150" t="str">
        <f>IF(W20="","",VLOOKUP(W20,'11. Lists'!$F$47:$G$51,2,FALSE))</f>
        <v/>
      </c>
      <c r="Y20" s="113"/>
      <c r="Z20" s="113"/>
      <c r="AA20" s="113"/>
      <c r="AB20" s="61" t="str">
        <f>IF(F20="","",F20)</f>
        <v/>
      </c>
      <c r="AC20" s="60" t="str">
        <f>IF(AB20="","",VLOOKUP(AB20,'11. Lists'!$F$36:$H$38,2,FALSE))</f>
        <v/>
      </c>
      <c r="AD20" s="150" t="str">
        <f>IF(AB20="","",VLOOKUP(AB20,'11. Lists'!$F$36:$H$38,3,FALSE))</f>
        <v/>
      </c>
      <c r="AE20" s="311" t="str">
        <f>IF(D20="","",((J20/10000)*V20*X20)*AD20)</f>
        <v/>
      </c>
      <c r="AF20" s="312" t="str">
        <f>IF(D20="","",((K20/10000)*V20*X20)*AD20)</f>
        <v/>
      </c>
      <c r="AG20" s="151" t="str">
        <f>IF(D20="","",M20)</f>
        <v/>
      </c>
      <c r="AH20" s="498" t="str">
        <f>IF(T20="","",VLOOKUP(T20,'11. Lists'!$B$47:$D$49,3,FALSE))</f>
        <v/>
      </c>
      <c r="AI20" s="530" t="str">
        <f>IF(D20="","",VLOOKUP(D20,'10. Condition and Temporal'!$B$6:$L$103,4,FALSE))</f>
        <v/>
      </c>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row>
    <row r="21" spans="1:128" ht="15.6" customHeight="1">
      <c r="A21" s="99"/>
      <c r="B21" s="285">
        <v>11</v>
      </c>
      <c r="C21" s="281"/>
      <c r="D21" s="821"/>
      <c r="E21" s="822"/>
      <c r="F21" s="823"/>
      <c r="G21" s="824"/>
      <c r="H21" s="825"/>
      <c r="I21" s="318"/>
      <c r="J21" s="319"/>
      <c r="K21" s="320"/>
      <c r="L21" s="314" t="str">
        <f>IF(C21="","",IFERROR(IF(I21="","",((I21/10000)*V21*X21)*AD21),"Error ▲"))</f>
        <v/>
      </c>
      <c r="M21" s="314" t="str">
        <f>IF(I21="","",IF(J21+K21&gt;I21,"Area Error ▲",I21-J21-K21))</f>
        <v/>
      </c>
      <c r="N21" s="359" t="str">
        <f>IFERROR(IF(I21="","",IF(M21="Area Error ▲","Area Error ▲",((M21/10000)*V21*X21)*AD21)),"This intervention is not permitted within the SSM ▲")</f>
        <v/>
      </c>
      <c r="O21" s="133"/>
      <c r="P21" s="83"/>
      <c r="Q21" s="99"/>
      <c r="R21" s="655"/>
      <c r="S21" s="99"/>
      <c r="T21" s="791" t="str">
        <f>IF(C21="","",VLOOKUP(D21,'9. All Habitats + Multipliers'!$C$4:$K$102,5,FALSE))</f>
        <v/>
      </c>
      <c r="U21" s="792"/>
      <c r="V21" s="150" t="str">
        <f>IF(T21="","",VLOOKUP(T21,'11. Lists'!$B$47:$D$49,2,FALSE))</f>
        <v/>
      </c>
      <c r="W21" s="224" t="str">
        <f>IF(C21="","",VLOOKUP(D21,'10. Condition and Temporal'!$B$6:$C$103,2,FALSE))</f>
        <v/>
      </c>
      <c r="X21" s="150" t="str">
        <f>IF(W21="","",VLOOKUP(W21,'11. Lists'!$F$47:$G$51,2,FALSE))</f>
        <v/>
      </c>
      <c r="Y21" s="113"/>
      <c r="Z21" s="113"/>
      <c r="AA21" s="113"/>
      <c r="AB21" s="61" t="str">
        <f>IF(F21="","",F21)</f>
        <v/>
      </c>
      <c r="AC21" s="60" t="str">
        <f>IF(AB21="","",VLOOKUP(AB21,'11. Lists'!$F$36:$H$38,2,FALSE))</f>
        <v/>
      </c>
      <c r="AD21" s="150" t="str">
        <f>IF(AB21="","",VLOOKUP(AB21,'11. Lists'!$F$36:$H$38,3,FALSE))</f>
        <v/>
      </c>
      <c r="AE21" s="311" t="str">
        <f>IF(D21="","",((J21/10000)*V21*X21)*AD21)</f>
        <v/>
      </c>
      <c r="AF21" s="312" t="str">
        <f>IF(D21="","",((K21/10000)*V21*X21)*AD21)</f>
        <v/>
      </c>
      <c r="AG21" s="151" t="str">
        <f>IF(D21="","",M21)</f>
        <v/>
      </c>
      <c r="AH21" s="498" t="str">
        <f>IF(T21="","",VLOOKUP(T21,'11. Lists'!$B$47:$D$49,3,FALSE))</f>
        <v/>
      </c>
      <c r="AI21" s="530" t="str">
        <f>IF(D21="","",VLOOKUP(D21,'10. Condition and Temporal'!$B$6:$L$103,4,FALSE))</f>
        <v/>
      </c>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row>
    <row r="22" spans="1:128" ht="15.6" customHeight="1">
      <c r="A22" s="99"/>
      <c r="B22" s="285">
        <v>12</v>
      </c>
      <c r="C22" s="281"/>
      <c r="D22" s="821"/>
      <c r="E22" s="822"/>
      <c r="F22" s="823"/>
      <c r="G22" s="824"/>
      <c r="H22" s="825"/>
      <c r="I22" s="318"/>
      <c r="J22" s="319"/>
      <c r="K22" s="320"/>
      <c r="L22" s="314" t="str">
        <f>IF(C22="","",IFERROR(IF(I22="","",((I22/10000)*V22*X22)*AD22),"Error ▲"))</f>
        <v/>
      </c>
      <c r="M22" s="314" t="str">
        <f>IF(I22="","",IF(J22+K22&gt;I22,"Area Error ▲",I22-J22-K22))</f>
        <v/>
      </c>
      <c r="N22" s="359" t="str">
        <f>IFERROR(IF(I22="","",IF(M22="Area Error ▲","Area Error ▲",((M22/10000)*V22*X22)*AD22)),"This intervention is not permitted within the SSM ▲")</f>
        <v/>
      </c>
      <c r="O22" s="133"/>
      <c r="P22" s="83"/>
      <c r="Q22" s="99"/>
      <c r="R22" s="655"/>
      <c r="S22" s="99"/>
      <c r="T22" s="791" t="str">
        <f>IF(C22="","",VLOOKUP(D22,'9. All Habitats + Multipliers'!$C$4:$K$102,5,FALSE))</f>
        <v/>
      </c>
      <c r="U22" s="792"/>
      <c r="V22" s="150" t="str">
        <f>IF(T22="","",VLOOKUP(T22,'11. Lists'!$B$47:$D$49,2,FALSE))</f>
        <v/>
      </c>
      <c r="W22" s="224" t="str">
        <f>IF(C22="","",VLOOKUP(D22,'10. Condition and Temporal'!$B$6:$C$103,2,FALSE))</f>
        <v/>
      </c>
      <c r="X22" s="150" t="str">
        <f>IF(W22="","",VLOOKUP(W22,'11. Lists'!$F$47:$G$51,2,FALSE))</f>
        <v/>
      </c>
      <c r="Y22" s="113"/>
      <c r="Z22" s="113"/>
      <c r="AA22" s="113"/>
      <c r="AB22" s="61" t="str">
        <f>IF(F22="","",F22)</f>
        <v/>
      </c>
      <c r="AC22" s="60" t="str">
        <f>IF(AB22="","",VLOOKUP(AB22,'11. Lists'!$F$36:$H$38,2,FALSE))</f>
        <v/>
      </c>
      <c r="AD22" s="150" t="str">
        <f>IF(AB22="","",VLOOKUP(AB22,'11. Lists'!$F$36:$H$38,3,FALSE))</f>
        <v/>
      </c>
      <c r="AE22" s="311" t="str">
        <f>IF(D22="","",((J22/10000)*V22*X22)*AD22)</f>
        <v/>
      </c>
      <c r="AF22" s="312" t="str">
        <f>IF(D22="","",((K22/10000)*V22*X22)*AD22)</f>
        <v/>
      </c>
      <c r="AG22" s="151" t="str">
        <f>IF(D22="","",M22)</f>
        <v/>
      </c>
      <c r="AH22" s="498" t="str">
        <f>IF(T22="","",VLOOKUP(T22,'11. Lists'!$B$47:$D$49,3,FALSE))</f>
        <v/>
      </c>
      <c r="AI22" s="530" t="str">
        <f>IF(D22="","",VLOOKUP(D22,'10. Condition and Temporal'!$B$6:$L$103,4,FALSE))</f>
        <v/>
      </c>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row>
    <row r="23" spans="1:128" ht="15.6" customHeight="1">
      <c r="A23" s="99"/>
      <c r="B23" s="285">
        <v>13</v>
      </c>
      <c r="C23" s="282"/>
      <c r="D23" s="821"/>
      <c r="E23" s="822"/>
      <c r="F23" s="823"/>
      <c r="G23" s="824"/>
      <c r="H23" s="825"/>
      <c r="I23" s="318"/>
      <c r="J23" s="319"/>
      <c r="K23" s="320"/>
      <c r="L23" s="314" t="str">
        <f>IF(C23="","",IFERROR(IF(I23="","",((I23/10000)*V23*X23)*AD23),"Error ▲"))</f>
        <v/>
      </c>
      <c r="M23" s="314" t="str">
        <f>IF(I23="","",IF(J23+K23&gt;I23,"Area Error ▲",I23-J23-K23))</f>
        <v/>
      </c>
      <c r="N23" s="359" t="str">
        <f>IFERROR(IF(I23="","",IF(M23="Area Error ▲","Area Error ▲",((M23/10000)*V23*X23)*AD23)),"This intervention is not permitted within the SSM ▲")</f>
        <v/>
      </c>
      <c r="O23" s="133"/>
      <c r="P23" s="83"/>
      <c r="Q23" s="99"/>
      <c r="R23" s="655"/>
      <c r="S23" s="99"/>
      <c r="T23" s="791" t="str">
        <f>IF(C23="","",VLOOKUP(D23,'9. All Habitats + Multipliers'!$C$4:$K$102,5,FALSE))</f>
        <v/>
      </c>
      <c r="U23" s="792"/>
      <c r="V23" s="150" t="str">
        <f>IF(T23="","",VLOOKUP(T23,'11. Lists'!$B$47:$D$49,2,FALSE))</f>
        <v/>
      </c>
      <c r="W23" s="224" t="str">
        <f>IF(C23="","",VLOOKUP(D23,'10. Condition and Temporal'!$B$6:$C$103,2,FALSE))</f>
        <v/>
      </c>
      <c r="X23" s="150" t="str">
        <f>IF(W23="","",VLOOKUP(W23,'11. Lists'!$F$47:$G$51,2,FALSE))</f>
        <v/>
      </c>
      <c r="Y23" s="113"/>
      <c r="Z23" s="113"/>
      <c r="AA23" s="113"/>
      <c r="AB23" s="61" t="str">
        <f>IF(F23="","",F23)</f>
        <v/>
      </c>
      <c r="AC23" s="60" t="str">
        <f>IF(AB23="","",VLOOKUP(AB23,'11. Lists'!$F$36:$H$38,2,FALSE))</f>
        <v/>
      </c>
      <c r="AD23" s="150" t="str">
        <f>IF(AB23="","",VLOOKUP(AB23,'11. Lists'!$F$36:$H$38,3,FALSE))</f>
        <v/>
      </c>
      <c r="AE23" s="311" t="str">
        <f>IF(D23="","",((J23/10000)*V23*X23)*AD23)</f>
        <v/>
      </c>
      <c r="AF23" s="312" t="str">
        <f>IF(D23="","",((K23/10000)*V23*X23)*AD23)</f>
        <v/>
      </c>
      <c r="AG23" s="151" t="str">
        <f>IF(D23="","",M23)</f>
        <v/>
      </c>
      <c r="AH23" s="498" t="str">
        <f>IF(T23="","",VLOOKUP(T23,'11. Lists'!$B$47:$D$49,3,FALSE))</f>
        <v/>
      </c>
      <c r="AI23" s="530" t="str">
        <f>IF(D23="","",VLOOKUP(D23,'10. Condition and Temporal'!$B$6:$L$103,4,FALSE))</f>
        <v/>
      </c>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row>
    <row r="24" spans="1:128" ht="15.6" customHeight="1">
      <c r="A24" s="99"/>
      <c r="B24" s="285">
        <v>14</v>
      </c>
      <c r="C24" s="282"/>
      <c r="D24" s="821"/>
      <c r="E24" s="822"/>
      <c r="F24" s="823"/>
      <c r="G24" s="824"/>
      <c r="H24" s="825"/>
      <c r="I24" s="318"/>
      <c r="J24" s="319"/>
      <c r="K24" s="320"/>
      <c r="L24" s="314" t="str">
        <f>IF(C24="","",IFERROR(IF(I24="","",((I24/10000)*V24*X24)*AD24),"Error ▲"))</f>
        <v/>
      </c>
      <c r="M24" s="314" t="str">
        <f>IF(I24="","",IF(J24+K24&gt;I24,"Area Error ▲",I24-J24-K24))</f>
        <v/>
      </c>
      <c r="N24" s="359" t="str">
        <f>IFERROR(IF(I24="","",IF(M24="Area Error ▲","Area Error ▲",((M24/10000)*V24*X24)*AD24)),"This intervention is not permitted within the SSM ▲")</f>
        <v/>
      </c>
      <c r="O24" s="133"/>
      <c r="P24" s="83"/>
      <c r="Q24" s="99"/>
      <c r="R24" s="655"/>
      <c r="S24" s="99"/>
      <c r="T24" s="791" t="str">
        <f>IF(C24="","",VLOOKUP(D24,'9. All Habitats + Multipliers'!$C$4:$K$102,5,FALSE))</f>
        <v/>
      </c>
      <c r="U24" s="792"/>
      <c r="V24" s="150" t="str">
        <f>IF(T24="","",VLOOKUP(T24,'11. Lists'!$B$47:$D$49,2,FALSE))</f>
        <v/>
      </c>
      <c r="W24" s="224" t="str">
        <f>IF(C24="","",VLOOKUP(D24,'10. Condition and Temporal'!$B$6:$C$103,2,FALSE))</f>
        <v/>
      </c>
      <c r="X24" s="150" t="str">
        <f>IF(W24="","",VLOOKUP(W24,'11. Lists'!$F$47:$G$51,2,FALSE))</f>
        <v/>
      </c>
      <c r="Y24" s="113"/>
      <c r="Z24" s="113"/>
      <c r="AA24" s="113"/>
      <c r="AB24" s="61" t="str">
        <f>IF(F24="","",F24)</f>
        <v/>
      </c>
      <c r="AC24" s="60" t="str">
        <f>IF(AB24="","",VLOOKUP(AB24,'11. Lists'!$F$36:$H$38,2,FALSE))</f>
        <v/>
      </c>
      <c r="AD24" s="150" t="str">
        <f>IF(AB24="","",VLOOKUP(AB24,'11. Lists'!$F$36:$H$38,3,FALSE))</f>
        <v/>
      </c>
      <c r="AE24" s="311" t="str">
        <f>IF(D24="","",((J24/10000)*V24*X24)*AD24)</f>
        <v/>
      </c>
      <c r="AF24" s="312" t="str">
        <f>IF(D24="","",((K24/10000)*V24*X24)*AD24)</f>
        <v/>
      </c>
      <c r="AG24" s="151" t="str">
        <f>IF(D24="","",M24)</f>
        <v/>
      </c>
      <c r="AH24" s="498" t="str">
        <f>IF(T24="","",VLOOKUP(T24,'11. Lists'!$B$47:$D$49,3,FALSE))</f>
        <v/>
      </c>
      <c r="AI24" s="530" t="str">
        <f>IF(D24="","",VLOOKUP(D24,'10. Condition and Temporal'!$B$6:$L$103,4,FALSE))</f>
        <v/>
      </c>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row>
    <row r="25" spans="1:128" ht="15.6" customHeight="1">
      <c r="A25" s="99"/>
      <c r="B25" s="285">
        <v>15</v>
      </c>
      <c r="C25" s="282"/>
      <c r="D25" s="821"/>
      <c r="E25" s="822"/>
      <c r="F25" s="823"/>
      <c r="G25" s="824"/>
      <c r="H25" s="825"/>
      <c r="I25" s="318"/>
      <c r="J25" s="319"/>
      <c r="K25" s="320"/>
      <c r="L25" s="314" t="str">
        <f>IF(C25="","",IFERROR(IF(I25="","",((I25/10000)*V25*X25)*AD25),"Error ▲"))</f>
        <v/>
      </c>
      <c r="M25" s="314" t="str">
        <f>IF(I25="","",IF(J25+K25&gt;I25,"Area Error ▲",I25-J25-K25))</f>
        <v/>
      </c>
      <c r="N25" s="359" t="str">
        <f>IFERROR(IF(I25="","",IF(M25="Area Error ▲","Area Error ▲",((M25/10000)*V25*X25)*AD25)),"This intervention is not permitted within the SSM ▲")</f>
        <v/>
      </c>
      <c r="O25" s="133"/>
      <c r="P25" s="83"/>
      <c r="Q25" s="99"/>
      <c r="R25" s="655"/>
      <c r="S25" s="99"/>
      <c r="T25" s="791" t="str">
        <f>IF(C25="","",VLOOKUP(D25,'9. All Habitats + Multipliers'!$C$4:$K$102,5,FALSE))</f>
        <v/>
      </c>
      <c r="U25" s="792"/>
      <c r="V25" s="150" t="str">
        <f>IF(T25="","",VLOOKUP(T25,'11. Lists'!$B$47:$D$49,2,FALSE))</f>
        <v/>
      </c>
      <c r="W25" s="224" t="str">
        <f>IF(C25="","",VLOOKUP(D25,'10. Condition and Temporal'!$B$6:$C$103,2,FALSE))</f>
        <v/>
      </c>
      <c r="X25" s="150" t="str">
        <f>IF(W25="","",VLOOKUP(W25,'11. Lists'!$F$47:$G$51,2,FALSE))</f>
        <v/>
      </c>
      <c r="Y25" s="113"/>
      <c r="Z25" s="113"/>
      <c r="AA25" s="113"/>
      <c r="AB25" s="61" t="str">
        <f>IF(F25="","",F25)</f>
        <v/>
      </c>
      <c r="AC25" s="60" t="str">
        <f>IF(AB25="","",VLOOKUP(AB25,'11. Lists'!$F$36:$H$38,2,FALSE))</f>
        <v/>
      </c>
      <c r="AD25" s="150" t="str">
        <f>IF(AB25="","",VLOOKUP(AB25,'11. Lists'!$F$36:$H$38,3,FALSE))</f>
        <v/>
      </c>
      <c r="AE25" s="311" t="str">
        <f>IF(D25="","",((J25/10000)*V25*X25)*AD25)</f>
        <v/>
      </c>
      <c r="AF25" s="312" t="str">
        <f>IF(D25="","",((K25/10000)*V25*X25)*AD25)</f>
        <v/>
      </c>
      <c r="AG25" s="151" t="str">
        <f>IF(D25="","",M25)</f>
        <v/>
      </c>
      <c r="AH25" s="498" t="str">
        <f>IF(T25="","",VLOOKUP(T25,'11. Lists'!$B$47:$D$49,3,FALSE))</f>
        <v/>
      </c>
      <c r="AI25" s="530" t="str">
        <f>IF(D25="","",VLOOKUP(D25,'10. Condition and Temporal'!$B$6:$L$103,4,FALSE))</f>
        <v/>
      </c>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row>
    <row r="26" spans="1:128" ht="15.6" customHeight="1">
      <c r="A26" s="99"/>
      <c r="B26" s="285">
        <v>16</v>
      </c>
      <c r="C26" s="282"/>
      <c r="D26" s="821"/>
      <c r="E26" s="822"/>
      <c r="F26" s="823"/>
      <c r="G26" s="824"/>
      <c r="H26" s="825"/>
      <c r="I26" s="318"/>
      <c r="J26" s="319"/>
      <c r="K26" s="320"/>
      <c r="L26" s="314" t="str">
        <f>IF(C26="","",IFERROR(IF(I26="","",((I26/10000)*V26*X26)*AD26),"Error ▲"))</f>
        <v/>
      </c>
      <c r="M26" s="314" t="str">
        <f>IF(I26="","",IF(J26+K26&gt;I26,"Area Error ▲",I26-J26-K26))</f>
        <v/>
      </c>
      <c r="N26" s="359" t="str">
        <f>IFERROR(IF(I26="","",IF(M26="Area Error ▲","Area Error ▲",((M26/10000)*V26*X26)*AD26)),"This intervention is not permitted within the SSM ▲")</f>
        <v/>
      </c>
      <c r="O26" s="133"/>
      <c r="P26" s="83"/>
      <c r="Q26" s="99"/>
      <c r="R26" s="655"/>
      <c r="S26" s="99"/>
      <c r="T26" s="791" t="str">
        <f>IF(C26="","",VLOOKUP(D26,'9. All Habitats + Multipliers'!$C$4:$K$102,5,FALSE))</f>
        <v/>
      </c>
      <c r="U26" s="792"/>
      <c r="V26" s="150" t="str">
        <f>IF(T26="","",VLOOKUP(T26,'11. Lists'!$B$47:$D$49,2,FALSE))</f>
        <v/>
      </c>
      <c r="W26" s="224" t="str">
        <f>IF(C26="","",VLOOKUP(D26,'10. Condition and Temporal'!$B$6:$C$103,2,FALSE))</f>
        <v/>
      </c>
      <c r="X26" s="150" t="str">
        <f>IF(W26="","",VLOOKUP(W26,'11. Lists'!$F$47:$G$51,2,FALSE))</f>
        <v/>
      </c>
      <c r="Y26" s="113"/>
      <c r="Z26" s="113"/>
      <c r="AA26" s="113"/>
      <c r="AB26" s="61" t="str">
        <f>IF(F26="","",F26)</f>
        <v/>
      </c>
      <c r="AC26" s="60" t="str">
        <f>IF(AB26="","",VLOOKUP(AB26,'11. Lists'!$F$36:$H$38,2,FALSE))</f>
        <v/>
      </c>
      <c r="AD26" s="150" t="str">
        <f>IF(AB26="","",VLOOKUP(AB26,'11. Lists'!$F$36:$H$38,3,FALSE))</f>
        <v/>
      </c>
      <c r="AE26" s="311" t="str">
        <f>IF(D26="","",((J26/10000)*V26*X26)*AD26)</f>
        <v/>
      </c>
      <c r="AF26" s="312" t="str">
        <f>IF(D26="","",((K26/10000)*V26*X26)*AD26)</f>
        <v/>
      </c>
      <c r="AG26" s="151" t="str">
        <f>IF(D26="","",M26)</f>
        <v/>
      </c>
      <c r="AH26" s="498" t="str">
        <f>IF(T26="","",VLOOKUP(T26,'11. Lists'!$B$47:$D$49,3,FALSE))</f>
        <v/>
      </c>
      <c r="AI26" s="530" t="str">
        <f>IF(D26="","",VLOOKUP(D26,'10. Condition and Temporal'!$B$6:$L$103,4,FALSE))</f>
        <v/>
      </c>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row>
    <row r="27" spans="1:128" ht="15.6" customHeight="1">
      <c r="A27" s="99"/>
      <c r="B27" s="285">
        <v>17</v>
      </c>
      <c r="C27" s="282"/>
      <c r="D27" s="821"/>
      <c r="E27" s="822"/>
      <c r="F27" s="823"/>
      <c r="G27" s="824"/>
      <c r="H27" s="825"/>
      <c r="I27" s="318"/>
      <c r="J27" s="319"/>
      <c r="K27" s="320"/>
      <c r="L27" s="314" t="str">
        <f>IF(C27="","",IFERROR(IF(I27="","",((I27/10000)*V27*X27)*AD27),"Error ▲"))</f>
        <v/>
      </c>
      <c r="M27" s="314" t="str">
        <f>IF(I27="","",IF(J27+K27&gt;I27,"Area Error ▲",I27-J27-K27))</f>
        <v/>
      </c>
      <c r="N27" s="359" t="str">
        <f>IFERROR(IF(I27="","",IF(M27="Area Error ▲","Area Error ▲",((M27/10000)*V27*X27)*AD27)),"This intervention is not permitted within the SSM ▲")</f>
        <v/>
      </c>
      <c r="O27" s="133"/>
      <c r="P27" s="83"/>
      <c r="Q27" s="99"/>
      <c r="R27" s="655"/>
      <c r="S27" s="99"/>
      <c r="T27" s="791" t="str">
        <f>IF(C27="","",VLOOKUP(D27,'9. All Habitats + Multipliers'!$C$4:$K$102,5,FALSE))</f>
        <v/>
      </c>
      <c r="U27" s="792"/>
      <c r="V27" s="150" t="str">
        <f>IF(T27="","",VLOOKUP(T27,'11. Lists'!$B$47:$D$49,2,FALSE))</f>
        <v/>
      </c>
      <c r="W27" s="224" t="str">
        <f>IF(C27="","",VLOOKUP(D27,'10. Condition and Temporal'!$B$6:$C$103,2,FALSE))</f>
        <v/>
      </c>
      <c r="X27" s="150" t="str">
        <f>IF(W27="","",VLOOKUP(W27,'11. Lists'!$F$47:$G$51,2,FALSE))</f>
        <v/>
      </c>
      <c r="Y27" s="113"/>
      <c r="Z27" s="113"/>
      <c r="AA27" s="113"/>
      <c r="AB27" s="61" t="str">
        <f>IF(F27="","",F27)</f>
        <v/>
      </c>
      <c r="AC27" s="60" t="str">
        <f>IF(AB27="","",VLOOKUP(AB27,'11. Lists'!$F$36:$H$38,2,FALSE))</f>
        <v/>
      </c>
      <c r="AD27" s="150" t="str">
        <f>IF(AB27="","",VLOOKUP(AB27,'11. Lists'!$F$36:$H$38,3,FALSE))</f>
        <v/>
      </c>
      <c r="AE27" s="311" t="str">
        <f>IF(D27="","",((J27/10000)*V27*X27)*AD27)</f>
        <v/>
      </c>
      <c r="AF27" s="312" t="str">
        <f>IF(D27="","",((K27/10000)*V27*X27)*AD27)</f>
        <v/>
      </c>
      <c r="AG27" s="151" t="str">
        <f>IF(D27="","",M27)</f>
        <v/>
      </c>
      <c r="AH27" s="498" t="str">
        <f>IF(T27="","",VLOOKUP(T27,'11. Lists'!$B$47:$D$49,3,FALSE))</f>
        <v/>
      </c>
      <c r="AI27" s="530" t="str">
        <f>IF(D27="","",VLOOKUP(D27,'10. Condition and Temporal'!$B$6:$L$103,4,FALSE))</f>
        <v/>
      </c>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row>
    <row r="28" spans="1:128" ht="15.6" customHeight="1">
      <c r="A28" s="99"/>
      <c r="B28" s="285">
        <v>18</v>
      </c>
      <c r="C28" s="282"/>
      <c r="D28" s="821"/>
      <c r="E28" s="822"/>
      <c r="F28" s="823"/>
      <c r="G28" s="824"/>
      <c r="H28" s="825"/>
      <c r="I28" s="318"/>
      <c r="J28" s="319"/>
      <c r="K28" s="320"/>
      <c r="L28" s="314" t="str">
        <f>IF(C28="","",IFERROR(IF(I28="","",((I28/10000)*V28*X28)*AD28),"Error ▲"))</f>
        <v/>
      </c>
      <c r="M28" s="314" t="str">
        <f>IF(I28="","",IF(J28+K28&gt;I28,"Area Error ▲",I28-J28-K28))</f>
        <v/>
      </c>
      <c r="N28" s="359" t="str">
        <f>IFERROR(IF(I28="","",IF(M28="Area Error ▲","Area Error ▲",((M28/10000)*V28*X28)*AD28)),"This intervention is not permitted within the SSM ▲")</f>
        <v/>
      </c>
      <c r="O28" s="133"/>
      <c r="P28" s="83"/>
      <c r="Q28" s="99"/>
      <c r="R28" s="655"/>
      <c r="S28" s="99"/>
      <c r="T28" s="791" t="str">
        <f>IF(C28="","",VLOOKUP(D28,'9. All Habitats + Multipliers'!$C$4:$K$102,5,FALSE))</f>
        <v/>
      </c>
      <c r="U28" s="792"/>
      <c r="V28" s="150" t="str">
        <f>IF(T28="","",VLOOKUP(T28,'11. Lists'!$B$47:$D$49,2,FALSE))</f>
        <v/>
      </c>
      <c r="W28" s="224" t="str">
        <f>IF(C28="","",VLOOKUP(D28,'10. Condition and Temporal'!$B$6:$C$103,2,FALSE))</f>
        <v/>
      </c>
      <c r="X28" s="150" t="str">
        <f>IF(W28="","",VLOOKUP(W28,'11. Lists'!$F$47:$G$51,2,FALSE))</f>
        <v/>
      </c>
      <c r="Y28" s="113"/>
      <c r="Z28" s="113"/>
      <c r="AA28" s="113"/>
      <c r="AB28" s="61" t="str">
        <f>IF(F28="","",F28)</f>
        <v/>
      </c>
      <c r="AC28" s="60" t="str">
        <f>IF(AB28="","",VLOOKUP(AB28,'11. Lists'!$F$36:$H$38,2,FALSE))</f>
        <v/>
      </c>
      <c r="AD28" s="150" t="str">
        <f>IF(AB28="","",VLOOKUP(AB28,'11. Lists'!$F$36:$H$38,3,FALSE))</f>
        <v/>
      </c>
      <c r="AE28" s="311" t="str">
        <f>IF(D28="","",((J28/10000)*V28*X28)*AD28)</f>
        <v/>
      </c>
      <c r="AF28" s="312" t="str">
        <f>IF(D28="","",((K28/10000)*V28*X28)*AD28)</f>
        <v/>
      </c>
      <c r="AG28" s="151" t="str">
        <f>IF(D28="","",M28)</f>
        <v/>
      </c>
      <c r="AH28" s="498" t="str">
        <f>IF(T28="","",VLOOKUP(T28,'11. Lists'!$B$47:$D$49,3,FALSE))</f>
        <v/>
      </c>
      <c r="AI28" s="530" t="str">
        <f>IF(D28="","",VLOOKUP(D28,'10. Condition and Temporal'!$B$6:$L$103,4,FALSE))</f>
        <v/>
      </c>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row>
    <row r="29" spans="1:128" ht="15.6" customHeight="1">
      <c r="A29" s="99"/>
      <c r="B29" s="285">
        <v>19</v>
      </c>
      <c r="C29" s="282"/>
      <c r="D29" s="821"/>
      <c r="E29" s="822"/>
      <c r="F29" s="823"/>
      <c r="G29" s="824"/>
      <c r="H29" s="825"/>
      <c r="I29" s="318"/>
      <c r="J29" s="319"/>
      <c r="K29" s="320"/>
      <c r="L29" s="314" t="str">
        <f>IF(C29="","",IFERROR(IF(I29="","",((I29/10000)*V29*X29)*AD29),"Error ▲"))</f>
        <v/>
      </c>
      <c r="M29" s="314" t="str">
        <f>IF(I29="","",IF(J29+K29&gt;I29,"Area Error ▲",I29-J29-K29))</f>
        <v/>
      </c>
      <c r="N29" s="359" t="str">
        <f>IFERROR(IF(I29="","",IF(M29="Area Error ▲","Area Error ▲",((M29/10000)*V29*X29)*AD29)),"This intervention is not permitted within the SSM ▲")</f>
        <v/>
      </c>
      <c r="O29" s="133"/>
      <c r="P29" s="83"/>
      <c r="Q29" s="99"/>
      <c r="R29" s="655"/>
      <c r="S29" s="99"/>
      <c r="T29" s="791" t="str">
        <f>IF(C29="","",VLOOKUP(D29,'9. All Habitats + Multipliers'!$C$4:$K$102,5,FALSE))</f>
        <v/>
      </c>
      <c r="U29" s="792"/>
      <c r="V29" s="150" t="str">
        <f>IF(T29="","",VLOOKUP(T29,'11. Lists'!$B$47:$D$49,2,FALSE))</f>
        <v/>
      </c>
      <c r="W29" s="224" t="str">
        <f>IF(C29="","",VLOOKUP(D29,'10. Condition and Temporal'!$B$6:$C$103,2,FALSE))</f>
        <v/>
      </c>
      <c r="X29" s="150" t="str">
        <f>IF(W29="","",VLOOKUP(W29,'11. Lists'!$F$47:$G$51,2,FALSE))</f>
        <v/>
      </c>
      <c r="Y29" s="113"/>
      <c r="Z29" s="113"/>
      <c r="AA29" s="113"/>
      <c r="AB29" s="61" t="str">
        <f>IF(F29="","",F29)</f>
        <v/>
      </c>
      <c r="AC29" s="60" t="str">
        <f>IF(AB29="","",VLOOKUP(AB29,'11. Lists'!$F$36:$H$38,2,FALSE))</f>
        <v/>
      </c>
      <c r="AD29" s="150" t="str">
        <f>IF(AB29="","",VLOOKUP(AB29,'11. Lists'!$F$36:$H$38,3,FALSE))</f>
        <v/>
      </c>
      <c r="AE29" s="311" t="str">
        <f>IF(D29="","",((J29/10000)*V29*X29)*AD29)</f>
        <v/>
      </c>
      <c r="AF29" s="312" t="str">
        <f>IF(D29="","",((K29/10000)*V29*X29)*AD29)</f>
        <v/>
      </c>
      <c r="AG29" s="151" t="str">
        <f>IF(D29="","",M29)</f>
        <v/>
      </c>
      <c r="AH29" s="498" t="str">
        <f>IF(T29="","",VLOOKUP(T29,'11. Lists'!$B$47:$D$49,3,FALSE))</f>
        <v/>
      </c>
      <c r="AI29" s="530" t="str">
        <f>IF(D29="","",VLOOKUP(D29,'10. Condition and Temporal'!$B$6:$L$103,4,FALSE))</f>
        <v/>
      </c>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row>
    <row r="30" spans="1:128" ht="16.149999999999999" customHeight="1">
      <c r="A30" s="99"/>
      <c r="B30" s="286">
        <v>20</v>
      </c>
      <c r="C30" s="281"/>
      <c r="D30" s="826"/>
      <c r="E30" s="827"/>
      <c r="F30" s="823"/>
      <c r="G30" s="824"/>
      <c r="H30" s="825"/>
      <c r="I30" s="318"/>
      <c r="J30" s="319"/>
      <c r="K30" s="320"/>
      <c r="L30" s="403" t="str">
        <f>IF(C30="","",IFERROR(IF(I30="","",((I30/10000)*V30*X30)*AD30),"Error ▲"))</f>
        <v/>
      </c>
      <c r="M30" s="403" t="str">
        <f>IF(I30="","",IF(J30+K30&gt;I30,"Area Error ▲",I30-J30-K30))</f>
        <v/>
      </c>
      <c r="N30" s="404" t="str">
        <f>IFERROR(IF(I30="","",IF(M30="Area Error ▲","Area Error ▲",((M30/10000)*V30*X30)*AD30)),"This intervention is not permitted within the SSM ▲")</f>
        <v/>
      </c>
      <c r="O30" s="134"/>
      <c r="P30" s="80"/>
      <c r="Q30" s="99"/>
      <c r="R30" s="655"/>
      <c r="S30" s="99"/>
      <c r="T30" s="791" t="str">
        <f>IF(C30="","",VLOOKUP(D30,'9. All Habitats + Multipliers'!$C$4:$K$102,5,FALSE))</f>
        <v/>
      </c>
      <c r="U30" s="792"/>
      <c r="V30" s="150" t="str">
        <f>IF(T30="","",VLOOKUP(T30,'11. Lists'!$B$47:$D$49,2,FALSE))</f>
        <v/>
      </c>
      <c r="W30" s="224" t="str">
        <f>IF(C30="","",VLOOKUP(D30,'10. Condition and Temporal'!$B$6:$C$103,2,FALSE))</f>
        <v/>
      </c>
      <c r="X30" s="150" t="str">
        <f>IF(W30="","",VLOOKUP(W30,'11. Lists'!$F$47:$G$51,2,FALSE))</f>
        <v/>
      </c>
      <c r="Y30" s="113"/>
      <c r="Z30" s="113"/>
      <c r="AA30" s="113"/>
      <c r="AB30" s="61" t="str">
        <f>IF(F30="","",F30)</f>
        <v/>
      </c>
      <c r="AC30" s="60" t="str">
        <f>IF(AB30="","",VLOOKUP(AB30,'11. Lists'!$F$36:$H$38,2,FALSE))</f>
        <v/>
      </c>
      <c r="AD30" s="150" t="str">
        <f>IF(AB30="","",VLOOKUP(AB30,'11. Lists'!$F$36:$H$38,3,FALSE))</f>
        <v/>
      </c>
      <c r="AE30" s="311" t="str">
        <f>IF(D30="","",((J30/10000)*V30*X30)*AD30)</f>
        <v/>
      </c>
      <c r="AF30" s="312" t="str">
        <f>IF(D30="","",((K30/10000)*V30*X30)*AD30)</f>
        <v/>
      </c>
      <c r="AG30" s="151" t="str">
        <f>IF(D30="","",M30)</f>
        <v/>
      </c>
      <c r="AH30" s="498" t="str">
        <f>IF(T30="","",VLOOKUP(T30,'11. Lists'!$B$47:$D$49,3,FALSE))</f>
        <v/>
      </c>
      <c r="AI30" s="530" t="str">
        <f>IF(D30="","",VLOOKUP(D30,'10. Condition and Temporal'!$B$6:$L$103,4,FALSE))</f>
        <v/>
      </c>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row>
    <row r="31" spans="1:128" ht="29.45" customHeight="1">
      <c r="A31" s="99"/>
      <c r="B31" s="286" t="s">
        <v>123</v>
      </c>
      <c r="C31" s="152" t="s">
        <v>124</v>
      </c>
      <c r="D31" s="850" t="s">
        <v>125</v>
      </c>
      <c r="E31" s="794"/>
      <c r="F31" s="851" t="s">
        <v>126</v>
      </c>
      <c r="G31" s="852"/>
      <c r="H31" s="853"/>
      <c r="I31" s="337">
        <f>I99</f>
        <v>0</v>
      </c>
      <c r="J31" s="338">
        <f>L99</f>
        <v>0</v>
      </c>
      <c r="K31" s="419"/>
      <c r="L31" s="399">
        <f>IF(C31="","",((I31/10000)*V31*X31)*AD31)</f>
        <v>0</v>
      </c>
      <c r="M31" s="405">
        <f>IF(C31="","",I31-J31-K31)</f>
        <v>0</v>
      </c>
      <c r="N31" s="406">
        <f>IF(C31="","",((M31/10000)*V31*X31)*AD31)</f>
        <v>0</v>
      </c>
      <c r="O31" s="88"/>
      <c r="P31" s="89"/>
      <c r="Q31" s="99"/>
      <c r="R31" s="655"/>
      <c r="S31" s="99"/>
      <c r="T31" s="800" t="str">
        <f>IF(C31="","",VLOOKUP(D31,'9. All Habitats + Multipliers'!$C$4:$K$102,5,FALSE))</f>
        <v>Medium</v>
      </c>
      <c r="U31" s="801"/>
      <c r="V31" s="153">
        <f>IF(T31="","",VLOOKUP(T31,'11. Lists'!$B$47:$D$49,2,FALSE))</f>
        <v>4</v>
      </c>
      <c r="W31" s="351" t="str">
        <f>IF(C31="","",VLOOKUP(D31,'10. Condition and Temporal'!$B$6:$C$103,2,FALSE))</f>
        <v>Moderate</v>
      </c>
      <c r="X31" s="153">
        <f>IF(W31="","",VLOOKUP(W31,'11. Lists'!$F$47:$G$51,2,FALSE))</f>
        <v>2</v>
      </c>
      <c r="Y31" s="113"/>
      <c r="Z31" s="113"/>
      <c r="AA31" s="113"/>
      <c r="AB31" s="57" t="str">
        <f>IF(F31="","",F31)</f>
        <v>Formally identified in local strategy</v>
      </c>
      <c r="AC31" s="56" t="str">
        <f>IF(AB31="","",VLOOKUP(AB31,'11. Lists'!$F$36:$H$38,2,FALSE))</f>
        <v xml:space="preserve">High strategic significance </v>
      </c>
      <c r="AD31" s="153">
        <f>IF(AB31="","",VLOOKUP(AB31,'11. Lists'!$F$36:$H$38,3,FALSE))</f>
        <v>1.1499999999999999</v>
      </c>
      <c r="AE31" s="529">
        <f>IF(D31="","",((J31/10000)*V31*X31)*(AD31))</f>
        <v>0</v>
      </c>
      <c r="AF31" s="154">
        <f>IF(D31="","",((K31/10000)*V31*X31)*(AD31))</f>
        <v>0</v>
      </c>
      <c r="AG31" s="155">
        <f>IF(D31="","",M31)</f>
        <v>0</v>
      </c>
      <c r="AH31" s="499" t="str">
        <f>IF(T31="","",VLOOKUP(T31,'11. Lists'!$B$47:$D$49,3,FALSE))</f>
        <v>Same broad habitat or a higher distinctiveness habitat required</v>
      </c>
      <c r="AI31" s="530" t="str">
        <f>IF(D31="","",VLOOKUP(D31,'10. Condition and Temporal'!$B$6:$L$103,4,FALSE))</f>
        <v>Urban/rural tree</v>
      </c>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row>
    <row r="32" spans="1:128" s="99" customFormat="1" ht="15" customHeight="1">
      <c r="D32" s="149"/>
      <c r="E32" s="32"/>
      <c r="F32" s="32"/>
      <c r="G32" s="32"/>
      <c r="H32" s="17" t="s">
        <v>127</v>
      </c>
      <c r="I32" s="339">
        <f>SUMIFS(I11:I30,D11:D30,"&lt;&gt;"&amp;'11. Lists'!Q10,D11:D30,"&lt;&gt;"&amp;'11. Lists'!Q11,D11:D30,"&lt;&gt;"&amp;'11. Lists'!I4,D11:D30,"&lt;&gt;"&amp;'11. Lists'!I2,D11:D30,"&lt;&gt;"&amp;'11. Lists'!I3)</f>
        <v>1033.5049000000001</v>
      </c>
      <c r="J32" s="340">
        <f>SUMIFS(J11:J30,D11:D30,"&lt;&gt;"&amp;'11. Lists'!Q10,D11:D30,"&lt;&gt;"&amp;'11. Lists'!Q11,D11:D30,"&lt;&gt;"&amp;'11. Lists'!I4,D11:D30,"&lt;&gt;"&amp;'11. Lists'!I2,D11:D30,"&lt;&gt;"&amp;'11. Lists'!I3)</f>
        <v>27.911100000000001</v>
      </c>
      <c r="K32" s="341">
        <f>SUMIFS(K11:K30,D11:D30,"&lt;&gt;"&amp;'11. Lists'!Q10,D11:D30,"&lt;&gt;"&amp;'11. Lists'!Q11,D11:D30,"&lt;&gt;"&amp;'11. Lists'!I4,D11:D30,"&lt;&gt;"&amp;'11. Lists'!I2,D11:D30,"&lt;&gt;"&amp;'11. Lists'!I3)</f>
        <v>458.62549999999999</v>
      </c>
      <c r="L32" s="300">
        <f>SUM(L11:L31)</f>
        <v>0.30134388000000001</v>
      </c>
      <c r="M32" s="332">
        <f>SUMIFS(M11:M30,D11:D30,"&lt;&gt;"&amp;'11. Lists'!Q10,D11:D30,"&lt;&gt;"&amp;'11. Lists'!Q11,D11:D30,"&lt;&gt;"&amp;'11. Lists'!I4,D11:D30,"&lt;&gt;"&amp;'11. Lists'!I2,D11:D30,"&lt;&gt;"&amp;'11. Lists'!I3)</f>
        <v>546.9683</v>
      </c>
      <c r="N32" s="301">
        <f>SUM(N11:N31)</f>
        <v>0.11789368</v>
      </c>
      <c r="R32" s="655"/>
    </row>
    <row r="33" spans="2:34" s="99" customFormat="1">
      <c r="D33" s="149"/>
      <c r="E33" s="32"/>
      <c r="F33" s="32"/>
      <c r="G33" s="32"/>
      <c r="H33" s="302" t="s">
        <v>128</v>
      </c>
      <c r="I33" s="808" t="str">
        <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f>
        <v>Areas Acceptable ✓</v>
      </c>
      <c r="J33" s="808"/>
      <c r="K33" s="808"/>
      <c r="L33" s="808"/>
      <c r="M33" s="808"/>
      <c r="N33" s="809"/>
      <c r="O33" s="199">
        <f>IFERROR(FIND("Error",I33),0)</f>
        <v>0</v>
      </c>
      <c r="R33" s="72"/>
    </row>
    <row r="34" spans="2:34" s="99" customFormat="1">
      <c r="D34" s="149"/>
      <c r="E34" s="32"/>
      <c r="F34" s="32"/>
      <c r="G34" s="32"/>
      <c r="H34" s="303" t="s">
        <v>129</v>
      </c>
      <c r="I34" s="810" t="str">
        <f>IF(I32&lt;J32+K32,"Error - Areas Retained and Enhanced Exceed Total Area ▲","Areas Acceptable ✓")</f>
        <v>Areas Acceptable ✓</v>
      </c>
      <c r="J34" s="810"/>
      <c r="K34" s="810"/>
      <c r="L34" s="810"/>
      <c r="M34" s="810"/>
      <c r="N34" s="811"/>
      <c r="O34" s="199">
        <f>IFERROR(FIND("Error",I34),0)</f>
        <v>0</v>
      </c>
      <c r="R34" s="72"/>
    </row>
    <row r="35" spans="2:34" s="99" customFormat="1" ht="15" customHeight="1">
      <c r="D35" s="149"/>
      <c r="E35" s="32"/>
      <c r="F35" s="32"/>
      <c r="G35" s="32"/>
      <c r="H35" s="293" t="s">
        <v>130</v>
      </c>
      <c r="I35" s="812" t="str">
        <f>IF(I32=0,"Areas Acceptable ✓",IF(I32&lt;&gt;'3. Desktop Assessment'!C7,"Error - Areas Entered Does Not Match Stated Site Area ▲","Areas Acceptable ✓"))</f>
        <v>Areas Acceptable ✓</v>
      </c>
      <c r="J35" s="812"/>
      <c r="K35" s="812"/>
      <c r="L35" s="812"/>
      <c r="M35" s="812"/>
      <c r="N35" s="813"/>
      <c r="O35" s="199">
        <f>IFERROR(FIND("Error",I35),0)</f>
        <v>0</v>
      </c>
      <c r="R35" s="655" t="s">
        <v>82</v>
      </c>
    </row>
    <row r="36" spans="2:34" s="99" customFormat="1" ht="21" customHeight="1">
      <c r="B36" s="121" t="s">
        <v>131</v>
      </c>
      <c r="D36" s="148"/>
      <c r="E36" s="32"/>
      <c r="F36" s="32"/>
      <c r="G36" s="32"/>
      <c r="I36" s="100"/>
      <c r="O36" s="199">
        <f>COUNTIF(L11:N30,"*"&amp;"error"&amp;"*")</f>
        <v>0</v>
      </c>
      <c r="R36" s="655"/>
    </row>
    <row r="37" spans="2:34" s="99" customFormat="1" ht="15.75" customHeight="1">
      <c r="R37" s="655"/>
    </row>
    <row r="38" spans="2:34" s="99" customFormat="1" ht="16.149999999999999" customHeight="1">
      <c r="B38" s="814" t="s">
        <v>76</v>
      </c>
      <c r="C38" s="772"/>
      <c r="D38" s="815"/>
      <c r="E38" s="771" t="s">
        <v>132</v>
      </c>
      <c r="F38" s="816"/>
      <c r="G38" s="773"/>
      <c r="H38" s="816" t="s">
        <v>133</v>
      </c>
      <c r="I38" s="721" t="s">
        <v>134</v>
      </c>
      <c r="J38" s="817"/>
      <c r="K38" s="722"/>
      <c r="L38" s="819" t="s">
        <v>135</v>
      </c>
      <c r="M38" s="772"/>
      <c r="N38" s="815"/>
      <c r="O38" s="771" t="s">
        <v>95</v>
      </c>
      <c r="P38" s="773"/>
      <c r="R38" s="655"/>
      <c r="T38" s="769" t="s">
        <v>96</v>
      </c>
      <c r="U38" s="779"/>
      <c r="V38" s="770"/>
      <c r="W38" s="802" t="s">
        <v>97</v>
      </c>
      <c r="X38" s="770"/>
      <c r="Y38" s="803"/>
      <c r="Z38" s="803"/>
      <c r="AA38" s="803"/>
      <c r="AB38" s="769" t="s">
        <v>98</v>
      </c>
      <c r="AC38" s="779"/>
      <c r="AD38" s="770"/>
      <c r="AE38" s="769" t="s">
        <v>136</v>
      </c>
      <c r="AF38" s="770"/>
      <c r="AG38" s="769" t="s">
        <v>137</v>
      </c>
      <c r="AH38" s="770"/>
    </row>
    <row r="39" spans="2:34" s="99" customFormat="1" ht="31.9" customHeight="1">
      <c r="B39" s="734"/>
      <c r="C39" s="54" t="s">
        <v>102</v>
      </c>
      <c r="D39" s="53" t="s">
        <v>138</v>
      </c>
      <c r="E39" s="146" t="s">
        <v>139</v>
      </c>
      <c r="F39" s="737" t="s">
        <v>140</v>
      </c>
      <c r="G39" s="738"/>
      <c r="H39" s="735"/>
      <c r="I39" s="723"/>
      <c r="J39" s="818"/>
      <c r="K39" s="724"/>
      <c r="L39" s="736"/>
      <c r="M39" s="820"/>
      <c r="N39" s="737"/>
      <c r="O39" s="146" t="s">
        <v>110</v>
      </c>
      <c r="P39" s="42" t="s">
        <v>111</v>
      </c>
      <c r="R39" s="655"/>
      <c r="T39" s="804" t="s">
        <v>112</v>
      </c>
      <c r="U39" s="805"/>
      <c r="V39" s="43" t="s">
        <v>113</v>
      </c>
      <c r="W39" s="8" t="s">
        <v>114</v>
      </c>
      <c r="X39" s="43" t="s">
        <v>113</v>
      </c>
      <c r="Y39" s="66"/>
      <c r="Z39" s="66"/>
      <c r="AA39" s="66"/>
      <c r="AB39" s="65" t="s">
        <v>98</v>
      </c>
      <c r="AC39" s="64" t="s">
        <v>98</v>
      </c>
      <c r="AD39" s="43" t="s">
        <v>115</v>
      </c>
      <c r="AE39" s="65" t="s">
        <v>141</v>
      </c>
      <c r="AF39" s="43" t="s">
        <v>142</v>
      </c>
      <c r="AG39" s="65" t="s">
        <v>143</v>
      </c>
      <c r="AH39" s="43" t="s">
        <v>144</v>
      </c>
    </row>
    <row r="40" spans="2:34" s="99" customFormat="1" ht="15.6" customHeight="1">
      <c r="B40" s="284">
        <v>1</v>
      </c>
      <c r="C40" s="137" t="s">
        <v>119</v>
      </c>
      <c r="D40" s="63" t="s">
        <v>120</v>
      </c>
      <c r="E40" s="348" t="str">
        <f>IF(D40="","",VLOOKUP(D40,'10. Condition and Temporal'!$B$6:$D$103,3,FALSE))</f>
        <v>N/A - Other</v>
      </c>
      <c r="F40" s="806" t="s">
        <v>145</v>
      </c>
      <c r="G40" s="807"/>
      <c r="H40" s="62" t="s">
        <v>121</v>
      </c>
      <c r="I40" s="786">
        <v>40.908299999999997</v>
      </c>
      <c r="J40" s="787"/>
      <c r="K40" s="788"/>
      <c r="L40" s="789">
        <f>IF(C40="","",IFERROR(IF(I40="","",((I40/10000)*(V40*X40))*(AH40*AF40)*AD40),"This intervention is not permitted within the SSM ▲"))</f>
        <v>0</v>
      </c>
      <c r="M40" s="743"/>
      <c r="N40" s="790"/>
      <c r="O40" s="78"/>
      <c r="P40" s="77"/>
      <c r="Q40" s="157"/>
      <c r="R40" s="655"/>
      <c r="T40" s="791" t="str">
        <f>IF(C40="","",VLOOKUP(D40,'9. All Habitats + Multipliers'!$C$4:$K$102,5,FALSE))</f>
        <v>V.Low</v>
      </c>
      <c r="U40" s="792"/>
      <c r="V40" s="150">
        <f>IF(T40="","",VLOOKUP(T40,'11. Lists'!$B$47:$D$49,2,FALSE))</f>
        <v>0</v>
      </c>
      <c r="W40" s="224" t="str">
        <f>IF(F40="","",F40)</f>
        <v>N/A - Other</v>
      </c>
      <c r="X40" s="150">
        <f>IF(W40="","",VLOOKUP(W40,'11. Lists'!$F$47:$G$51,2,FALSE))</f>
        <v>0</v>
      </c>
      <c r="Y40" s="113"/>
      <c r="Z40" s="113"/>
      <c r="AA40" s="113"/>
      <c r="AB40" s="61" t="str">
        <f>IF(H40="","",H40)</f>
        <v>Area/compensation not in local strategy/ no local strategy</v>
      </c>
      <c r="AC40" s="60" t="str">
        <f>IF(AB40="","",VLOOKUP(AB40,'11. Lists'!$F$36:$H$38,2,FALSE))</f>
        <v>Low Strategic Significance</v>
      </c>
      <c r="AD40" s="150">
        <f>IF(AB40="","",VLOOKUP(AB40,'11. Lists'!$F$36:$H$38,3,FALSE))</f>
        <v>1</v>
      </c>
      <c r="AE40" s="61">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0</v>
      </c>
      <c r="AF40" s="158">
        <f>IF(AE40="","",VLOOKUP(AE40,'11. Lists'!$I$47:$K$80,3,FALSE))</f>
        <v>1</v>
      </c>
      <c r="AG40" s="61" t="str">
        <f>IF(D40="","",VLOOKUP(D40,'9. All Habitats + Multipliers'!$C$4:$K$102,7,FALSE))</f>
        <v>Low</v>
      </c>
      <c r="AH40" s="150">
        <f>IF(AG40="","",VLOOKUP(AG40,'11. Lists'!$J$35:$K$38,2,FALSE))</f>
        <v>1</v>
      </c>
    </row>
    <row r="41" spans="2:34" s="99" customFormat="1" ht="15.6" customHeight="1">
      <c r="B41" s="285">
        <v>2</v>
      </c>
      <c r="C41" s="138" t="s">
        <v>119</v>
      </c>
      <c r="D41" s="63" t="s">
        <v>146</v>
      </c>
      <c r="E41" s="348" t="str">
        <f>IF(D41="","",VLOOKUP(D41,'10. Condition and Temporal'!$B$6:$D$103,3,FALSE))</f>
        <v>N/A - Other</v>
      </c>
      <c r="F41" s="784" t="s">
        <v>145</v>
      </c>
      <c r="G41" s="785"/>
      <c r="H41" s="39" t="s">
        <v>121</v>
      </c>
      <c r="I41" s="786">
        <v>207.9306</v>
      </c>
      <c r="J41" s="787"/>
      <c r="K41" s="788"/>
      <c r="L41" s="789">
        <f>IF(C41="","",IFERROR(IF(I41="","",((I41/10000)*(V41*X41))*(AH41*AF41)*AD41),"This intervention is not permitted within the SSM ▲"))</f>
        <v>0</v>
      </c>
      <c r="M41" s="743"/>
      <c r="N41" s="790"/>
      <c r="O41" s="125"/>
      <c r="P41" s="87"/>
      <c r="Q41" s="157"/>
      <c r="R41" s="655"/>
      <c r="T41" s="791" t="str">
        <f>IF(C41="","",VLOOKUP(D41,'9. All Habitats + Multipliers'!$C$4:$K$102,5,FALSE))</f>
        <v>V.Low</v>
      </c>
      <c r="U41" s="792"/>
      <c r="V41" s="150">
        <f>IF(T41="","",VLOOKUP(T41,'11. Lists'!$B$47:$D$49,2,FALSE))</f>
        <v>0</v>
      </c>
      <c r="W41" s="224" t="str">
        <f>IF(F41="","",F41)</f>
        <v>N/A - Other</v>
      </c>
      <c r="X41" s="150">
        <f>IF(W41="","",VLOOKUP(W41,'11. Lists'!$F$47:$G$51,2,FALSE))</f>
        <v>0</v>
      </c>
      <c r="Y41" s="113"/>
      <c r="Z41" s="113"/>
      <c r="AA41" s="113"/>
      <c r="AB41" s="61" t="str">
        <f>IF(H41="","",H41)</f>
        <v>Area/compensation not in local strategy/ no local strategy</v>
      </c>
      <c r="AC41" s="60" t="str">
        <f>IF(AB41="","",VLOOKUP(AB41,'11. Lists'!$F$36:$H$38,2,FALSE))</f>
        <v>Low Strategic Significance</v>
      </c>
      <c r="AD41" s="150">
        <f>IF(AB41="","",VLOOKUP(AB41,'11. Lists'!$F$36:$H$38,3,FALSE))</f>
        <v>1</v>
      </c>
      <c r="AE41" s="61">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0</v>
      </c>
      <c r="AF41" s="158">
        <f>IF(AE41="","",VLOOKUP(AE41,'11. Lists'!$I$47:$K$80,3,FALSE))</f>
        <v>1</v>
      </c>
      <c r="AG41" s="61" t="str">
        <f>IF(D41="","",VLOOKUP(D41,'9. All Habitats + Multipliers'!$C$4:$K$102,7,FALSE))</f>
        <v>Low</v>
      </c>
      <c r="AH41" s="150">
        <f>IF(AG41="","",VLOOKUP(AG41,'11. Lists'!$J$35:$K$38,2,FALSE))</f>
        <v>1</v>
      </c>
    </row>
    <row r="42" spans="2:34" s="99" customFormat="1" ht="15.6" customHeight="1">
      <c r="B42" s="285">
        <v>3</v>
      </c>
      <c r="C42" s="138" t="s">
        <v>119</v>
      </c>
      <c r="D42" s="63" t="s">
        <v>120</v>
      </c>
      <c r="E42" s="348" t="str">
        <f>IF(D42="","",VLOOKUP(D42,'10. Condition and Temporal'!$B$6:$D$103,3,FALSE))</f>
        <v>N/A - Other</v>
      </c>
      <c r="F42" s="784" t="s">
        <v>145</v>
      </c>
      <c r="G42" s="785"/>
      <c r="H42" s="39" t="s">
        <v>121</v>
      </c>
      <c r="I42" s="786">
        <v>298.12939999999998</v>
      </c>
      <c r="J42" s="787"/>
      <c r="K42" s="788"/>
      <c r="L42" s="789">
        <f>IF(C42="","",IFERROR(IF(I42="","",((I42/10000)*(V42*X42))*(AH42*AF42)*AD42),"This intervention is not permitted within the SSM ▲"))</f>
        <v>0</v>
      </c>
      <c r="M42" s="743"/>
      <c r="N42" s="790"/>
      <c r="O42" s="125"/>
      <c r="P42" s="87"/>
      <c r="Q42" s="157"/>
      <c r="R42" s="655"/>
      <c r="T42" s="791" t="str">
        <f>IF(C42="","",VLOOKUP(D42,'9. All Habitats + Multipliers'!$C$4:$K$102,5,FALSE))</f>
        <v>V.Low</v>
      </c>
      <c r="U42" s="792"/>
      <c r="V42" s="150">
        <f>IF(T42="","",VLOOKUP(T42,'11. Lists'!$B$47:$D$49,2,FALSE))</f>
        <v>0</v>
      </c>
      <c r="W42" s="224" t="str">
        <f>IF(F42="","",F42)</f>
        <v>N/A - Other</v>
      </c>
      <c r="X42" s="150">
        <f>IF(W42="","",VLOOKUP(W42,'11. Lists'!$F$47:$G$51,2,FALSE))</f>
        <v>0</v>
      </c>
      <c r="Y42" s="113"/>
      <c r="Z42" s="113"/>
      <c r="AA42" s="113"/>
      <c r="AB42" s="61" t="str">
        <f>IF(H42="","",H42)</f>
        <v>Area/compensation not in local strategy/ no local strategy</v>
      </c>
      <c r="AC42" s="60" t="str">
        <f>IF(AB42="","",VLOOKUP(AB42,'11. Lists'!$F$36:$H$38,2,FALSE))</f>
        <v>Low Strategic Significance</v>
      </c>
      <c r="AD42" s="150">
        <f>IF(AB42="","",VLOOKUP(AB42,'11. Lists'!$F$36:$H$38,3,FALSE))</f>
        <v>1</v>
      </c>
      <c r="AE42" s="61">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0</v>
      </c>
      <c r="AF42" s="158">
        <f>IF(AE42="","",VLOOKUP(AE42,'11. Lists'!$I$47:$K$80,3,FALSE))</f>
        <v>1</v>
      </c>
      <c r="AG42" s="61" t="str">
        <f>IF(D42="","",VLOOKUP(D42,'9. All Habitats + Multipliers'!$C$4:$K$102,7,FALSE))</f>
        <v>Low</v>
      </c>
      <c r="AH42" s="150">
        <f>IF(AG42="","",VLOOKUP(AG42,'11. Lists'!$J$35:$K$38,2,FALSE))</f>
        <v>1</v>
      </c>
    </row>
    <row r="43" spans="2:34" s="99" customFormat="1" ht="15.6" customHeight="1">
      <c r="B43" s="285">
        <v>4</v>
      </c>
      <c r="C43" s="138"/>
      <c r="D43" s="63"/>
      <c r="E43" s="348" t="str">
        <f>IF(D43="","",VLOOKUP(D43,'10. Condition and Temporal'!$B$6:$D$103,3,FALSE))</f>
        <v/>
      </c>
      <c r="F43" s="784"/>
      <c r="G43" s="785"/>
      <c r="H43" s="39"/>
      <c r="I43" s="786"/>
      <c r="J43" s="787"/>
      <c r="K43" s="788"/>
      <c r="L43" s="789" t="str">
        <f>IF(C43="","",IFERROR(IF(I43="","",((I43/10000)*(V43*X43))*(AH43*AF43)*AD43),"This intervention is not permitted within the SSM ▲"))</f>
        <v/>
      </c>
      <c r="M43" s="743"/>
      <c r="N43" s="790"/>
      <c r="O43" s="125"/>
      <c r="P43" s="87"/>
      <c r="Q43" s="157"/>
      <c r="R43" s="655"/>
      <c r="T43" s="791" t="str">
        <f>IF(C43="","",VLOOKUP(D43,'9. All Habitats + Multipliers'!$C$4:$K$102,5,FALSE))</f>
        <v/>
      </c>
      <c r="U43" s="792"/>
      <c r="V43" s="150" t="str">
        <f>IF(T43="","",VLOOKUP(T43,'11. Lists'!$B$47:$D$49,2,FALSE))</f>
        <v/>
      </c>
      <c r="W43" s="224" t="str">
        <f>IF(F43="","",F43)</f>
        <v/>
      </c>
      <c r="X43" s="150" t="str">
        <f>IF(W43="","",VLOOKUP(W43,'11. Lists'!$F$47:$G$51,2,FALSE))</f>
        <v/>
      </c>
      <c r="Y43" s="113"/>
      <c r="Z43" s="113"/>
      <c r="AA43" s="113"/>
      <c r="AB43" s="61" t="str">
        <f>IF(H43="","",H43)</f>
        <v/>
      </c>
      <c r="AC43" s="60" t="str">
        <f>IF(AB43="","",VLOOKUP(AB43,'11. Lists'!$F$36:$H$38,2,FALSE))</f>
        <v/>
      </c>
      <c r="AD43" s="150" t="str">
        <f>IF(AB43="","",VLOOKUP(AB43,'11. Lists'!$F$36:$H$38,3,FALSE))</f>
        <v/>
      </c>
      <c r="AE43" s="61"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58" t="str">
        <f>IF(AE43="","",VLOOKUP(AE43,'11. Lists'!$I$47:$K$80,3,FALSE))</f>
        <v/>
      </c>
      <c r="AG43" s="61" t="str">
        <f>IF(D43="","",VLOOKUP(D43,'9. All Habitats + Multipliers'!$C$4:$K$102,7,FALSE))</f>
        <v/>
      </c>
      <c r="AH43" s="150" t="str">
        <f>IF(AG43="","",VLOOKUP(AG43,'11. Lists'!$J$35:$K$38,2,FALSE))</f>
        <v/>
      </c>
    </row>
    <row r="44" spans="2:34" s="99" customFormat="1" ht="15.6" customHeight="1">
      <c r="B44" s="285">
        <v>5</v>
      </c>
      <c r="C44" s="138"/>
      <c r="D44" s="63"/>
      <c r="E44" s="348" t="str">
        <f>IF(D44="","",VLOOKUP(D44,'10. Condition and Temporal'!$B$6:$D$103,3,FALSE))</f>
        <v/>
      </c>
      <c r="F44" s="784"/>
      <c r="G44" s="785"/>
      <c r="H44" s="39"/>
      <c r="I44" s="786"/>
      <c r="J44" s="787"/>
      <c r="K44" s="788"/>
      <c r="L44" s="789" t="str">
        <f>IF(C44="","",IFERROR(IF(I44="","",((I44/10000)*(V44*X44))*(AH44*AF44)*AD44),"This intervention is not permitted within the SSM ▲"))</f>
        <v/>
      </c>
      <c r="M44" s="743"/>
      <c r="N44" s="790"/>
      <c r="O44" s="125"/>
      <c r="P44" s="87"/>
      <c r="R44" s="655"/>
      <c r="T44" s="791" t="str">
        <f>IF(C44="","",VLOOKUP(D44,'9. All Habitats + Multipliers'!$C$4:$K$102,5,FALSE))</f>
        <v/>
      </c>
      <c r="U44" s="792"/>
      <c r="V44" s="150" t="str">
        <f>IF(T44="","",VLOOKUP(T44,'11. Lists'!$B$47:$D$49,2,FALSE))</f>
        <v/>
      </c>
      <c r="W44" s="224" t="str">
        <f>IF(F44="","",F44)</f>
        <v/>
      </c>
      <c r="X44" s="150" t="str">
        <f>IF(W44="","",VLOOKUP(W44,'11. Lists'!$F$47:$G$51,2,FALSE))</f>
        <v/>
      </c>
      <c r="Y44" s="113"/>
      <c r="Z44" s="113"/>
      <c r="AA44" s="113"/>
      <c r="AB44" s="61" t="str">
        <f>IF(H44="","",H44)</f>
        <v/>
      </c>
      <c r="AC44" s="60" t="str">
        <f>IF(AB44="","",VLOOKUP(AB44,'11. Lists'!$F$36:$H$38,2,FALSE))</f>
        <v/>
      </c>
      <c r="AD44" s="150" t="str">
        <f>IF(AB44="","",VLOOKUP(AB44,'11. Lists'!$F$36:$H$38,3,FALSE))</f>
        <v/>
      </c>
      <c r="AE44" s="61"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58" t="str">
        <f>IF(AE44="","",VLOOKUP(AE44,'11. Lists'!$I$47:$K$80,3,FALSE))</f>
        <v/>
      </c>
      <c r="AG44" s="61" t="str">
        <f>IF(D44="","",VLOOKUP(D44,'9. All Habitats + Multipliers'!$C$4:$K$102,7,FALSE))</f>
        <v/>
      </c>
      <c r="AH44" s="150" t="str">
        <f>IF(AG44="","",VLOOKUP(AG44,'11. Lists'!$J$35:$K$38,2,FALSE))</f>
        <v/>
      </c>
    </row>
    <row r="45" spans="2:34" s="99" customFormat="1" ht="15.6" customHeight="1">
      <c r="B45" s="285">
        <v>6</v>
      </c>
      <c r="C45" s="138"/>
      <c r="D45" s="63"/>
      <c r="E45" s="348" t="str">
        <f>IF(D45="","",VLOOKUP(D45,'10. Condition and Temporal'!$B$6:$D$103,3,FALSE))</f>
        <v/>
      </c>
      <c r="F45" s="784"/>
      <c r="G45" s="785"/>
      <c r="H45" s="39"/>
      <c r="I45" s="786"/>
      <c r="J45" s="787"/>
      <c r="K45" s="788"/>
      <c r="L45" s="789" t="str">
        <f>IF(C45="","",IFERROR(IF(I45="","",((I45/10000)*(V45*X45))*(AH45*AF45)*AD45),"This intervention is not permitted within the SSM ▲"))</f>
        <v/>
      </c>
      <c r="M45" s="743"/>
      <c r="N45" s="790"/>
      <c r="O45" s="125"/>
      <c r="P45" s="87"/>
      <c r="R45" s="655"/>
      <c r="T45" s="791" t="str">
        <f>IF(C45="","",VLOOKUP(D45,'9. All Habitats + Multipliers'!$C$4:$K$102,5,FALSE))</f>
        <v/>
      </c>
      <c r="U45" s="792"/>
      <c r="V45" s="150" t="str">
        <f>IF(T45="","",VLOOKUP(T45,'11. Lists'!$B$47:$D$49,2,FALSE))</f>
        <v/>
      </c>
      <c r="W45" s="224" t="str">
        <f>IF(F45="","",F45)</f>
        <v/>
      </c>
      <c r="X45" s="150" t="str">
        <f>IF(W45="","",VLOOKUP(W45,'11. Lists'!$F$47:$G$51,2,FALSE))</f>
        <v/>
      </c>
      <c r="Y45" s="113"/>
      <c r="Z45" s="113"/>
      <c r="AA45" s="113"/>
      <c r="AB45" s="61" t="str">
        <f>IF(H45="","",H45)</f>
        <v/>
      </c>
      <c r="AC45" s="60" t="str">
        <f>IF(AB45="","",VLOOKUP(AB45,'11. Lists'!$F$36:$H$38,2,FALSE))</f>
        <v/>
      </c>
      <c r="AD45" s="150" t="str">
        <f>IF(AB45="","",VLOOKUP(AB45,'11. Lists'!$F$36:$H$38,3,FALSE))</f>
        <v/>
      </c>
      <c r="AE45" s="61"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58" t="str">
        <f>IF(AE45="","",VLOOKUP(AE45,'11. Lists'!$I$47:$K$80,3,FALSE))</f>
        <v/>
      </c>
      <c r="AG45" s="61" t="str">
        <f>IF(D45="","",VLOOKUP(D45,'9. All Habitats + Multipliers'!$C$4:$K$102,7,FALSE))</f>
        <v/>
      </c>
      <c r="AH45" s="150" t="str">
        <f>IF(AG45="","",VLOOKUP(AG45,'11. Lists'!$J$35:$K$38,2,FALSE))</f>
        <v/>
      </c>
    </row>
    <row r="46" spans="2:34" s="99" customFormat="1" ht="15.6" customHeight="1">
      <c r="B46" s="285">
        <v>7</v>
      </c>
      <c r="C46" s="138"/>
      <c r="D46" s="63"/>
      <c r="E46" s="348" t="str">
        <f>IF(D46="","",VLOOKUP(D46,'10. Condition and Temporal'!$B$6:$D$103,3,FALSE))</f>
        <v/>
      </c>
      <c r="F46" s="784"/>
      <c r="G46" s="785"/>
      <c r="H46" s="39"/>
      <c r="I46" s="786"/>
      <c r="J46" s="787"/>
      <c r="K46" s="788"/>
      <c r="L46" s="789" t="str">
        <f>IF(C46="","",IFERROR(IF(I46="","",((I46/10000)*(V46*X46))*(AH46*AF46)*AD46),"This intervention is not permitted within the SSM ▲"))</f>
        <v/>
      </c>
      <c r="M46" s="743"/>
      <c r="N46" s="790"/>
      <c r="O46" s="125"/>
      <c r="P46" s="87"/>
      <c r="R46" s="655"/>
      <c r="T46" s="791" t="str">
        <f>IF(C46="","",VLOOKUP(D46,'9. All Habitats + Multipliers'!$C$4:$K$102,5,FALSE))</f>
        <v/>
      </c>
      <c r="U46" s="792"/>
      <c r="V46" s="150" t="str">
        <f>IF(T46="","",VLOOKUP(T46,'11. Lists'!$B$47:$D$49,2,FALSE))</f>
        <v/>
      </c>
      <c r="W46" s="224" t="str">
        <f>IF(F46="","",F46)</f>
        <v/>
      </c>
      <c r="X46" s="150" t="str">
        <f>IF(W46="","",VLOOKUP(W46,'11. Lists'!$F$47:$G$51,2,FALSE))</f>
        <v/>
      </c>
      <c r="Y46" s="113"/>
      <c r="Z46" s="113"/>
      <c r="AA46" s="113"/>
      <c r="AB46" s="61" t="str">
        <f>IF(H46="","",H46)</f>
        <v/>
      </c>
      <c r="AC46" s="60" t="str">
        <f>IF(AB46="","",VLOOKUP(AB46,'11. Lists'!$F$36:$H$38,2,FALSE))</f>
        <v/>
      </c>
      <c r="AD46" s="150" t="str">
        <f>IF(AB46="","",VLOOKUP(AB46,'11. Lists'!$F$36:$H$38,3,FALSE))</f>
        <v/>
      </c>
      <c r="AE46" s="61"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58" t="str">
        <f>IF(AE46="","",VLOOKUP(AE46,'11. Lists'!$I$47:$K$80,3,FALSE))</f>
        <v/>
      </c>
      <c r="AG46" s="61" t="str">
        <f>IF(D46="","",VLOOKUP(D46,'9. All Habitats + Multipliers'!$C$4:$K$102,7,FALSE))</f>
        <v/>
      </c>
      <c r="AH46" s="150" t="str">
        <f>IF(AG46="","",VLOOKUP(AG46,'11. Lists'!$J$35:$K$38,2,FALSE))</f>
        <v/>
      </c>
    </row>
    <row r="47" spans="2:34" s="99" customFormat="1" ht="15.6" customHeight="1">
      <c r="B47" s="285">
        <v>8</v>
      </c>
      <c r="C47" s="138"/>
      <c r="D47" s="63"/>
      <c r="E47" s="348" t="str">
        <f>IF(D47="","",VLOOKUP(D47,'10. Condition and Temporal'!$B$6:$D$103,3,FALSE))</f>
        <v/>
      </c>
      <c r="F47" s="784"/>
      <c r="G47" s="785"/>
      <c r="H47" s="39"/>
      <c r="I47" s="786"/>
      <c r="J47" s="787"/>
      <c r="K47" s="788"/>
      <c r="L47" s="789" t="str">
        <f>IF(C47="","",IFERROR(IF(I47="","",((I47/10000)*(V47*X47))*(AH47*AF47)*AD47),"This intervention is not permitted within the SSM ▲"))</f>
        <v/>
      </c>
      <c r="M47" s="743"/>
      <c r="N47" s="790"/>
      <c r="O47" s="125"/>
      <c r="P47" s="87"/>
      <c r="R47" s="655"/>
      <c r="T47" s="791" t="str">
        <f>IF(C47="","",VLOOKUP(D47,'9. All Habitats + Multipliers'!$C$4:$K$102,5,FALSE))</f>
        <v/>
      </c>
      <c r="U47" s="792"/>
      <c r="V47" s="150" t="str">
        <f>IF(T47="","",VLOOKUP(T47,'11. Lists'!$B$47:$D$49,2,FALSE))</f>
        <v/>
      </c>
      <c r="W47" s="224" t="str">
        <f>IF(F47="","",F47)</f>
        <v/>
      </c>
      <c r="X47" s="150" t="str">
        <f>IF(W47="","",VLOOKUP(W47,'11. Lists'!$F$47:$G$51,2,FALSE))</f>
        <v/>
      </c>
      <c r="Y47" s="113"/>
      <c r="Z47" s="113"/>
      <c r="AA47" s="113"/>
      <c r="AB47" s="61" t="str">
        <f>IF(H47="","",H47)</f>
        <v/>
      </c>
      <c r="AC47" s="60" t="str">
        <f>IF(AB47="","",VLOOKUP(AB47,'11. Lists'!$F$36:$H$38,2,FALSE))</f>
        <v/>
      </c>
      <c r="AD47" s="150" t="str">
        <f>IF(AB47="","",VLOOKUP(AB47,'11. Lists'!$F$36:$H$38,3,FALSE))</f>
        <v/>
      </c>
      <c r="AE47" s="61"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58" t="str">
        <f>IF(AE47="","",VLOOKUP(AE47,'11. Lists'!$I$47:$K$80,3,FALSE))</f>
        <v/>
      </c>
      <c r="AG47" s="61" t="str">
        <f>IF(D47="","",VLOOKUP(D47,'9. All Habitats + Multipliers'!$C$4:$K$102,7,FALSE))</f>
        <v/>
      </c>
      <c r="AH47" s="150" t="str">
        <f>IF(AG47="","",VLOOKUP(AG47,'11. Lists'!$J$35:$K$38,2,FALSE))</f>
        <v/>
      </c>
    </row>
    <row r="48" spans="2:34" s="99" customFormat="1" ht="15.6" customHeight="1">
      <c r="B48" s="285">
        <v>9</v>
      </c>
      <c r="C48" s="138"/>
      <c r="D48" s="63"/>
      <c r="E48" s="348" t="str">
        <f>IF(D48="","",VLOOKUP(D48,'10. Condition and Temporal'!$B$6:$D$103,3,FALSE))</f>
        <v/>
      </c>
      <c r="F48" s="784"/>
      <c r="G48" s="785"/>
      <c r="H48" s="39"/>
      <c r="I48" s="786"/>
      <c r="J48" s="787"/>
      <c r="K48" s="788"/>
      <c r="L48" s="789" t="str">
        <f>IF(C48="","",IFERROR(IF(I48="","",((I48/10000)*(V48*X48))*(AH48*AF48)*AD48),"This intervention is not permitted within the SSM ▲"))</f>
        <v/>
      </c>
      <c r="M48" s="743"/>
      <c r="N48" s="790"/>
      <c r="O48" s="125"/>
      <c r="P48" s="87"/>
      <c r="R48" s="655"/>
      <c r="T48" s="791" t="str">
        <f>IF(C48="","",VLOOKUP(D48,'9. All Habitats + Multipliers'!$C$4:$K$102,5,FALSE))</f>
        <v/>
      </c>
      <c r="U48" s="792"/>
      <c r="V48" s="150" t="str">
        <f>IF(T48="","",VLOOKUP(T48,'11. Lists'!$B$47:$D$49,2,FALSE))</f>
        <v/>
      </c>
      <c r="W48" s="224" t="str">
        <f>IF(F48="","",F48)</f>
        <v/>
      </c>
      <c r="X48" s="150" t="str">
        <f>IF(W48="","",VLOOKUP(W48,'11. Lists'!$F$47:$G$51,2,FALSE))</f>
        <v/>
      </c>
      <c r="Y48" s="113"/>
      <c r="Z48" s="113"/>
      <c r="AA48" s="113"/>
      <c r="AB48" s="61" t="str">
        <f>IF(H48="","",H48)</f>
        <v/>
      </c>
      <c r="AC48" s="60" t="str">
        <f>IF(AB48="","",VLOOKUP(AB48,'11. Lists'!$F$36:$H$38,2,FALSE))</f>
        <v/>
      </c>
      <c r="AD48" s="150" t="str">
        <f>IF(AB48="","",VLOOKUP(AB48,'11. Lists'!$F$36:$H$38,3,FALSE))</f>
        <v/>
      </c>
      <c r="AE48" s="61"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58" t="str">
        <f>IF(AE48="","",VLOOKUP(AE48,'11. Lists'!$I$47:$K$80,3,FALSE))</f>
        <v/>
      </c>
      <c r="AG48" s="61" t="str">
        <f>IF(D48="","",VLOOKUP(D48,'9. All Habitats + Multipliers'!$C$4:$K$102,7,FALSE))</f>
        <v/>
      </c>
      <c r="AH48" s="150" t="str">
        <f>IF(AG48="","",VLOOKUP(AG48,'11. Lists'!$J$35:$K$38,2,FALSE))</f>
        <v/>
      </c>
    </row>
    <row r="49" spans="2:53" s="99" customFormat="1" ht="15.6" customHeight="1">
      <c r="B49" s="285">
        <v>10</v>
      </c>
      <c r="C49" s="139"/>
      <c r="D49" s="63"/>
      <c r="E49" s="348" t="str">
        <f>IF(D49="","",VLOOKUP(D49,'10. Condition and Temporal'!$B$6:$D$103,3,FALSE))</f>
        <v/>
      </c>
      <c r="F49" s="784"/>
      <c r="G49" s="785"/>
      <c r="H49" s="39"/>
      <c r="I49" s="786"/>
      <c r="J49" s="787"/>
      <c r="K49" s="788"/>
      <c r="L49" s="789" t="str">
        <f>IF(C49="","",IFERROR(IF(I49="","",((I49/10000)*(V49*X49))*(AH49*AF49)*AD49),"This intervention is not permitted within the SSM ▲"))</f>
        <v/>
      </c>
      <c r="M49" s="743"/>
      <c r="N49" s="790"/>
      <c r="O49" s="125"/>
      <c r="P49" s="87"/>
      <c r="R49" s="655"/>
      <c r="T49" s="791" t="str">
        <f>IF(C49="","",VLOOKUP(D49,'9. All Habitats + Multipliers'!$C$4:$K$102,5,FALSE))</f>
        <v/>
      </c>
      <c r="U49" s="792"/>
      <c r="V49" s="150" t="str">
        <f>IF(T49="","",VLOOKUP(T49,'11. Lists'!$B$47:$D$49,2,FALSE))</f>
        <v/>
      </c>
      <c r="W49" s="224" t="str">
        <f>IF(F49="","",F49)</f>
        <v/>
      </c>
      <c r="X49" s="150" t="str">
        <f>IF(W49="","",VLOOKUP(W49,'11. Lists'!$F$47:$G$51,2,FALSE))</f>
        <v/>
      </c>
      <c r="Y49" s="113"/>
      <c r="Z49" s="113"/>
      <c r="AA49" s="113"/>
      <c r="AB49" s="61" t="str">
        <f>IF(H49="","",H49)</f>
        <v/>
      </c>
      <c r="AC49" s="60" t="str">
        <f>IF(AB49="","",VLOOKUP(AB49,'11. Lists'!$F$36:$H$38,2,FALSE))</f>
        <v/>
      </c>
      <c r="AD49" s="150" t="str">
        <f>IF(AB49="","",VLOOKUP(AB49,'11. Lists'!$F$36:$H$38,3,FALSE))</f>
        <v/>
      </c>
      <c r="AE49" s="61"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58" t="str">
        <f>IF(AE49="","",VLOOKUP(AE49,'11. Lists'!$I$47:$K$80,3,FALSE))</f>
        <v/>
      </c>
      <c r="AG49" s="61" t="str">
        <f>IF(D49="","",VLOOKUP(D49,'9. All Habitats + Multipliers'!$C$4:$K$102,7,FALSE))</f>
        <v/>
      </c>
      <c r="AH49" s="150" t="str">
        <f>IF(AG49="","",VLOOKUP(AG49,'11. Lists'!$J$35:$K$38,2,FALSE))</f>
        <v/>
      </c>
    </row>
    <row r="50" spans="2:53" s="99" customFormat="1" ht="15.6" customHeight="1">
      <c r="B50" s="285">
        <v>11</v>
      </c>
      <c r="C50" s="139"/>
      <c r="D50" s="63"/>
      <c r="E50" s="348" t="str">
        <f>IF(D50="","",VLOOKUP(D50,'10. Condition and Temporal'!$B$6:$D$103,3,FALSE))</f>
        <v/>
      </c>
      <c r="F50" s="784"/>
      <c r="G50" s="785"/>
      <c r="H50" s="39"/>
      <c r="I50" s="786"/>
      <c r="J50" s="787"/>
      <c r="K50" s="788"/>
      <c r="L50" s="789" t="str">
        <f>IF(C50="","",IFERROR(IF(I50="","",((I50/10000)*(V50*X50))*(AH50*AF50)*AD50),"This intervention is not permitted within the SSM ▲"))</f>
        <v/>
      </c>
      <c r="M50" s="743"/>
      <c r="N50" s="790"/>
      <c r="O50" s="125"/>
      <c r="P50" s="87"/>
      <c r="R50" s="655"/>
      <c r="T50" s="791" t="str">
        <f>IF(C50="","",VLOOKUP(D50,'9. All Habitats + Multipliers'!$C$4:$K$102,5,FALSE))</f>
        <v/>
      </c>
      <c r="U50" s="792"/>
      <c r="V50" s="150" t="str">
        <f>IF(T50="","",VLOOKUP(T50,'11. Lists'!$B$47:$D$49,2,FALSE))</f>
        <v/>
      </c>
      <c r="W50" s="224" t="str">
        <f>IF(F50="","",F50)</f>
        <v/>
      </c>
      <c r="X50" s="150" t="str">
        <f>IF(W50="","",VLOOKUP(W50,'11. Lists'!$F$47:$G$51,2,FALSE))</f>
        <v/>
      </c>
      <c r="Y50" s="113"/>
      <c r="Z50" s="113"/>
      <c r="AA50" s="113"/>
      <c r="AB50" s="61" t="str">
        <f>IF(H50="","",H50)</f>
        <v/>
      </c>
      <c r="AC50" s="60" t="str">
        <f>IF(AB50="","",VLOOKUP(AB50,'11. Lists'!$F$36:$H$38,2,FALSE))</f>
        <v/>
      </c>
      <c r="AD50" s="150" t="str">
        <f>IF(AB50="","",VLOOKUP(AB50,'11. Lists'!$F$36:$H$38,3,FALSE))</f>
        <v/>
      </c>
      <c r="AE50" s="61"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58" t="str">
        <f>IF(AE50="","",VLOOKUP(AE50,'11. Lists'!$I$47:$K$80,3,FALSE))</f>
        <v/>
      </c>
      <c r="AG50" s="61" t="str">
        <f>IF(D50="","",VLOOKUP(D50,'9. All Habitats + Multipliers'!$C$4:$K$102,7,FALSE))</f>
        <v/>
      </c>
      <c r="AH50" s="150" t="str">
        <f>IF(AG50="","",VLOOKUP(AG50,'11. Lists'!$J$35:$K$38,2,FALSE))</f>
        <v/>
      </c>
    </row>
    <row r="51" spans="2:53" s="99" customFormat="1" ht="15.6" customHeight="1">
      <c r="B51" s="285">
        <v>12</v>
      </c>
      <c r="C51" s="139"/>
      <c r="D51" s="63"/>
      <c r="E51" s="348" t="str">
        <f>IF(D51="","",VLOOKUP(D51,'10. Condition and Temporal'!$B$6:$D$103,3,FALSE))</f>
        <v/>
      </c>
      <c r="F51" s="784"/>
      <c r="G51" s="785"/>
      <c r="H51" s="39"/>
      <c r="I51" s="786"/>
      <c r="J51" s="787"/>
      <c r="K51" s="788"/>
      <c r="L51" s="789" t="str">
        <f>IF(C51="","",IFERROR(IF(I51="","",((I51/10000)*(V51*X51))*(AH51*AF51)*AD51),"This intervention is not permitted within the SSM ▲"))</f>
        <v/>
      </c>
      <c r="M51" s="743"/>
      <c r="N51" s="790"/>
      <c r="O51" s="125"/>
      <c r="P51" s="87"/>
      <c r="R51" s="655"/>
      <c r="T51" s="791" t="str">
        <f>IF(C51="","",VLOOKUP(D51,'9. All Habitats + Multipliers'!$C$4:$K$102,5,FALSE))</f>
        <v/>
      </c>
      <c r="U51" s="792"/>
      <c r="V51" s="150" t="str">
        <f>IF(T51="","",VLOOKUP(T51,'11. Lists'!$B$47:$D$49,2,FALSE))</f>
        <v/>
      </c>
      <c r="W51" s="224" t="str">
        <f>IF(F51="","",F51)</f>
        <v/>
      </c>
      <c r="X51" s="150" t="str">
        <f>IF(W51="","",VLOOKUP(W51,'11. Lists'!$F$47:$G$51,2,FALSE))</f>
        <v/>
      </c>
      <c r="Y51" s="113"/>
      <c r="Z51" s="113"/>
      <c r="AA51" s="113"/>
      <c r="AB51" s="61" t="str">
        <f>IF(H51="","",H51)</f>
        <v/>
      </c>
      <c r="AC51" s="60" t="str">
        <f>IF(AB51="","",VLOOKUP(AB51,'11. Lists'!$F$36:$H$38,2,FALSE))</f>
        <v/>
      </c>
      <c r="AD51" s="150" t="str">
        <f>IF(AB51="","",VLOOKUP(AB51,'11. Lists'!$F$36:$H$38,3,FALSE))</f>
        <v/>
      </c>
      <c r="AE51" s="61"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58" t="str">
        <f>IF(AE51="","",VLOOKUP(AE51,'11. Lists'!$I$47:$K$80,3,FALSE))</f>
        <v/>
      </c>
      <c r="AG51" s="61" t="str">
        <f>IF(D51="","",VLOOKUP(D51,'9. All Habitats + Multipliers'!$C$4:$K$102,7,FALSE))</f>
        <v/>
      </c>
      <c r="AH51" s="150" t="str">
        <f>IF(AG51="","",VLOOKUP(AG51,'11. Lists'!$J$35:$K$38,2,FALSE))</f>
        <v/>
      </c>
    </row>
    <row r="52" spans="2:53" s="99" customFormat="1" ht="15.6" customHeight="1">
      <c r="B52" s="285">
        <v>13</v>
      </c>
      <c r="C52" s="139"/>
      <c r="D52" s="63"/>
      <c r="E52" s="348" t="str">
        <f>IF(D52="","",VLOOKUP(D52,'10. Condition and Temporal'!$B$6:$D$103,3,FALSE))</f>
        <v/>
      </c>
      <c r="F52" s="784"/>
      <c r="G52" s="785"/>
      <c r="H52" s="39"/>
      <c r="I52" s="786"/>
      <c r="J52" s="787"/>
      <c r="K52" s="788"/>
      <c r="L52" s="789" t="str">
        <f>IF(C52="","",IFERROR(IF(I52="","",((I52/10000)*(V52*X52))*(AH52*AF52)*AD52),"This intervention is not permitted within the SSM ▲"))</f>
        <v/>
      </c>
      <c r="M52" s="743"/>
      <c r="N52" s="790"/>
      <c r="O52" s="125"/>
      <c r="P52" s="87"/>
      <c r="R52" s="655"/>
      <c r="T52" s="791" t="str">
        <f>IF(C52="","",VLOOKUP(D52,'9. All Habitats + Multipliers'!$C$4:$K$102,5,FALSE))</f>
        <v/>
      </c>
      <c r="U52" s="792"/>
      <c r="V52" s="150" t="str">
        <f>IF(T52="","",VLOOKUP(T52,'11. Lists'!$B$47:$D$49,2,FALSE))</f>
        <v/>
      </c>
      <c r="W52" s="224" t="str">
        <f>IF(F52="","",F52)</f>
        <v/>
      </c>
      <c r="X52" s="150" t="str">
        <f>IF(W52="","",VLOOKUP(W52,'11. Lists'!$F$47:$G$51,2,FALSE))</f>
        <v/>
      </c>
      <c r="Y52" s="113"/>
      <c r="Z52" s="113"/>
      <c r="AA52" s="113"/>
      <c r="AB52" s="61" t="str">
        <f>IF(H52="","",H52)</f>
        <v/>
      </c>
      <c r="AC52" s="60" t="str">
        <f>IF(AB52="","",VLOOKUP(AB52,'11. Lists'!$F$36:$H$38,2,FALSE))</f>
        <v/>
      </c>
      <c r="AD52" s="150" t="str">
        <f>IF(AB52="","",VLOOKUP(AB52,'11. Lists'!$F$36:$H$38,3,FALSE))</f>
        <v/>
      </c>
      <c r="AE52" s="61"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58" t="str">
        <f>IF(AE52="","",VLOOKUP(AE52,'11. Lists'!$I$47:$K$80,3,FALSE))</f>
        <v/>
      </c>
      <c r="AG52" s="61" t="str">
        <f>IF(D52="","",VLOOKUP(D52,'9. All Habitats + Multipliers'!$C$4:$K$102,7,FALSE))</f>
        <v/>
      </c>
      <c r="AH52" s="150" t="str">
        <f>IF(AG52="","",VLOOKUP(AG52,'11. Lists'!$J$35:$K$38,2,FALSE))</f>
        <v/>
      </c>
    </row>
    <row r="53" spans="2:53" s="99" customFormat="1" ht="15.6" customHeight="1">
      <c r="B53" s="285">
        <v>14</v>
      </c>
      <c r="C53" s="139"/>
      <c r="D53" s="63"/>
      <c r="E53" s="348" t="str">
        <f>IF(D53="","",VLOOKUP(D53,'10. Condition and Temporal'!$B$6:$D$103,3,FALSE))</f>
        <v/>
      </c>
      <c r="F53" s="784"/>
      <c r="G53" s="785"/>
      <c r="H53" s="39"/>
      <c r="I53" s="786"/>
      <c r="J53" s="787"/>
      <c r="K53" s="788"/>
      <c r="L53" s="789" t="str">
        <f>IF(C53="","",IFERROR(IF(I53="","",((I53/10000)*(V53*X53))*(AH53*AF53)*AD53),"This intervention is not permitted within the SSM ▲"))</f>
        <v/>
      </c>
      <c r="M53" s="743"/>
      <c r="N53" s="790"/>
      <c r="O53" s="125"/>
      <c r="P53" s="87"/>
      <c r="R53" s="655"/>
      <c r="T53" s="791" t="str">
        <f>IF(C53="","",VLOOKUP(D53,'9. All Habitats + Multipliers'!$C$4:$K$102,5,FALSE))</f>
        <v/>
      </c>
      <c r="U53" s="792"/>
      <c r="V53" s="150" t="str">
        <f>IF(T53="","",VLOOKUP(T53,'11. Lists'!$B$47:$D$49,2,FALSE))</f>
        <v/>
      </c>
      <c r="W53" s="224" t="str">
        <f>IF(F53="","",F53)</f>
        <v/>
      </c>
      <c r="X53" s="150" t="str">
        <f>IF(W53="","",VLOOKUP(W53,'11. Lists'!$F$47:$G$51,2,FALSE))</f>
        <v/>
      </c>
      <c r="Y53" s="113"/>
      <c r="Z53" s="113"/>
      <c r="AA53" s="113"/>
      <c r="AB53" s="61" t="str">
        <f>IF(H53="","",H53)</f>
        <v/>
      </c>
      <c r="AC53" s="60" t="str">
        <f>IF(AB53="","",VLOOKUP(AB53,'11. Lists'!$F$36:$H$38,2,FALSE))</f>
        <v/>
      </c>
      <c r="AD53" s="150" t="str">
        <f>IF(AB53="","",VLOOKUP(AB53,'11. Lists'!$F$36:$H$38,3,FALSE))</f>
        <v/>
      </c>
      <c r="AE53" s="61"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58" t="str">
        <f>IF(AE53="","",VLOOKUP(AE53,'11. Lists'!$I$47:$K$80,3,FALSE))</f>
        <v/>
      </c>
      <c r="AG53" s="61" t="str">
        <f>IF(D53="","",VLOOKUP(D53,'9. All Habitats + Multipliers'!$C$4:$K$102,7,FALSE))</f>
        <v/>
      </c>
      <c r="AH53" s="150" t="str">
        <f>IF(AG53="","",VLOOKUP(AG53,'11. Lists'!$J$35:$K$38,2,FALSE))</f>
        <v/>
      </c>
    </row>
    <row r="54" spans="2:53" s="99" customFormat="1" ht="15.6" customHeight="1">
      <c r="B54" s="285">
        <v>15</v>
      </c>
      <c r="C54" s="139"/>
      <c r="D54" s="63"/>
      <c r="E54" s="348" t="str">
        <f>IF(D54="","",VLOOKUP(D54,'10. Condition and Temporal'!$B$6:$D$103,3,FALSE))</f>
        <v/>
      </c>
      <c r="F54" s="784"/>
      <c r="G54" s="785"/>
      <c r="H54" s="39"/>
      <c r="I54" s="786"/>
      <c r="J54" s="787"/>
      <c r="K54" s="788"/>
      <c r="L54" s="789" t="str">
        <f>IF(C54="","",IFERROR(IF(I54="","",((I54/10000)*(V54*X54))*(AH54*AF54)*AD54),"This intervention is not permitted within the SSM ▲"))</f>
        <v/>
      </c>
      <c r="M54" s="743"/>
      <c r="N54" s="790"/>
      <c r="O54" s="125"/>
      <c r="P54" s="87"/>
      <c r="R54" s="655"/>
      <c r="T54" s="791" t="str">
        <f>IF(C54="","",VLOOKUP(D54,'9. All Habitats + Multipliers'!$C$4:$K$102,5,FALSE))</f>
        <v/>
      </c>
      <c r="U54" s="792"/>
      <c r="V54" s="150" t="str">
        <f>IF(T54="","",VLOOKUP(T54,'11. Lists'!$B$47:$D$49,2,FALSE))</f>
        <v/>
      </c>
      <c r="W54" s="224" t="str">
        <f>IF(F54="","",F54)</f>
        <v/>
      </c>
      <c r="X54" s="150" t="str">
        <f>IF(W54="","",VLOOKUP(W54,'11. Lists'!$F$47:$G$51,2,FALSE))</f>
        <v/>
      </c>
      <c r="Y54" s="113"/>
      <c r="Z54" s="113"/>
      <c r="AA54" s="113"/>
      <c r="AB54" s="61" t="str">
        <f>IF(H54="","",H54)</f>
        <v/>
      </c>
      <c r="AC54" s="60" t="str">
        <f>IF(AB54="","",VLOOKUP(AB54,'11. Lists'!$F$36:$H$38,2,FALSE))</f>
        <v/>
      </c>
      <c r="AD54" s="150" t="str">
        <f>IF(AB54="","",VLOOKUP(AB54,'11. Lists'!$F$36:$H$38,3,FALSE))</f>
        <v/>
      </c>
      <c r="AE54" s="61"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58" t="str">
        <f>IF(AE54="","",VLOOKUP(AE54,'11. Lists'!$I$47:$K$80,3,FALSE))</f>
        <v/>
      </c>
      <c r="AG54" s="61" t="str">
        <f>IF(D54="","",VLOOKUP(D54,'9. All Habitats + Multipliers'!$C$4:$K$102,7,FALSE))</f>
        <v/>
      </c>
      <c r="AH54" s="150" t="str">
        <f>IF(AG54="","",VLOOKUP(AG54,'11. Lists'!$J$35:$K$38,2,FALSE))</f>
        <v/>
      </c>
    </row>
    <row r="55" spans="2:53" s="99" customFormat="1" ht="15.6" customHeight="1">
      <c r="B55" s="285">
        <v>16</v>
      </c>
      <c r="C55" s="139"/>
      <c r="D55" s="63"/>
      <c r="E55" s="348" t="str">
        <f>IF(D55="","",VLOOKUP(D55,'10. Condition and Temporal'!$B$6:$D$103,3,FALSE))</f>
        <v/>
      </c>
      <c r="F55" s="784"/>
      <c r="G55" s="785"/>
      <c r="H55" s="39"/>
      <c r="I55" s="786"/>
      <c r="J55" s="787"/>
      <c r="K55" s="788"/>
      <c r="L55" s="789" t="str">
        <f>IF(C55="","",IFERROR(IF(I55="","",((I55/10000)*(V55*X55))*(AH55*AF55)*AD55),"This intervention is not permitted within the SSM ▲"))</f>
        <v/>
      </c>
      <c r="M55" s="743"/>
      <c r="N55" s="790"/>
      <c r="O55" s="125"/>
      <c r="P55" s="87"/>
      <c r="R55" s="655"/>
      <c r="T55" s="791" t="str">
        <f>IF(C55="","",VLOOKUP(D55,'9. All Habitats + Multipliers'!$C$4:$K$102,5,FALSE))</f>
        <v/>
      </c>
      <c r="U55" s="792"/>
      <c r="V55" s="150" t="str">
        <f>IF(T55="","",VLOOKUP(T55,'11. Lists'!$B$47:$D$49,2,FALSE))</f>
        <v/>
      </c>
      <c r="W55" s="224" t="str">
        <f>IF(F55="","",F55)</f>
        <v/>
      </c>
      <c r="X55" s="150" t="str">
        <f>IF(W55="","",VLOOKUP(W55,'11. Lists'!$F$47:$G$51,2,FALSE))</f>
        <v/>
      </c>
      <c r="Y55" s="113"/>
      <c r="Z55" s="113"/>
      <c r="AA55" s="113"/>
      <c r="AB55" s="61" t="str">
        <f>IF(H55="","",H55)</f>
        <v/>
      </c>
      <c r="AC55" s="60" t="str">
        <f>IF(AB55="","",VLOOKUP(AB55,'11. Lists'!$F$36:$H$38,2,FALSE))</f>
        <v/>
      </c>
      <c r="AD55" s="150" t="str">
        <f>IF(AB55="","",VLOOKUP(AB55,'11. Lists'!$F$36:$H$38,3,FALSE))</f>
        <v/>
      </c>
      <c r="AE55" s="61"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58" t="str">
        <f>IF(AE55="","",VLOOKUP(AE55,'11. Lists'!$I$47:$K$80,3,FALSE))</f>
        <v/>
      </c>
      <c r="AG55" s="61" t="str">
        <f>IF(D55="","",VLOOKUP(D55,'9. All Habitats + Multipliers'!$C$4:$K$102,7,FALSE))</f>
        <v/>
      </c>
      <c r="AH55" s="150" t="str">
        <f>IF(AG55="","",VLOOKUP(AG55,'11. Lists'!$J$35:$K$38,2,FALSE))</f>
        <v/>
      </c>
    </row>
    <row r="56" spans="2:53" s="99" customFormat="1" ht="15.6" customHeight="1">
      <c r="B56" s="285">
        <v>17</v>
      </c>
      <c r="C56" s="139"/>
      <c r="D56" s="63"/>
      <c r="E56" s="348" t="str">
        <f>IF(D56="","",VLOOKUP(D56,'10. Condition and Temporal'!$B$6:$D$103,3,FALSE))</f>
        <v/>
      </c>
      <c r="F56" s="784"/>
      <c r="G56" s="785"/>
      <c r="H56" s="39"/>
      <c r="I56" s="786"/>
      <c r="J56" s="787"/>
      <c r="K56" s="788"/>
      <c r="L56" s="789" t="str">
        <f>IF(C56="","",IFERROR(IF(I56="","",((I56/10000)*(V56*X56))*(AH56*AF56)*AD56),"This intervention is not permitted within the SSM ▲"))</f>
        <v/>
      </c>
      <c r="M56" s="743"/>
      <c r="N56" s="790"/>
      <c r="O56" s="125"/>
      <c r="P56" s="87"/>
      <c r="R56" s="655"/>
      <c r="T56" s="791" t="str">
        <f>IF(C56="","",VLOOKUP(D56,'9. All Habitats + Multipliers'!$C$4:$K$102,5,FALSE))</f>
        <v/>
      </c>
      <c r="U56" s="792"/>
      <c r="V56" s="150" t="str">
        <f>IF(T56="","",VLOOKUP(T56,'11. Lists'!$B$47:$D$49,2,FALSE))</f>
        <v/>
      </c>
      <c r="W56" s="224" t="str">
        <f>IF(F56="","",F56)</f>
        <v/>
      </c>
      <c r="X56" s="150" t="str">
        <f>IF(W56="","",VLOOKUP(W56,'11. Lists'!$F$47:$G$51,2,FALSE))</f>
        <v/>
      </c>
      <c r="Y56" s="113"/>
      <c r="Z56" s="113"/>
      <c r="AA56" s="113"/>
      <c r="AB56" s="61" t="str">
        <f>IF(H56="","",H56)</f>
        <v/>
      </c>
      <c r="AC56" s="60" t="str">
        <f>IF(AB56="","",VLOOKUP(AB56,'11. Lists'!$F$36:$H$38,2,FALSE))</f>
        <v/>
      </c>
      <c r="AD56" s="150" t="str">
        <f>IF(AB56="","",VLOOKUP(AB56,'11. Lists'!$F$36:$H$38,3,FALSE))</f>
        <v/>
      </c>
      <c r="AE56" s="61"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58" t="str">
        <f>IF(AE56="","",VLOOKUP(AE56,'11. Lists'!$I$47:$K$80,3,FALSE))</f>
        <v/>
      </c>
      <c r="AG56" s="61" t="str">
        <f>IF(D56="","",VLOOKUP(D56,'9. All Habitats + Multipliers'!$C$4:$K$102,7,FALSE))</f>
        <v/>
      </c>
      <c r="AH56" s="150" t="str">
        <f>IF(AG56="","",VLOOKUP(AG56,'11. Lists'!$J$35:$K$38,2,FALSE))</f>
        <v/>
      </c>
    </row>
    <row r="57" spans="2:53" s="99" customFormat="1" ht="15.6" customHeight="1">
      <c r="B57" s="285">
        <v>18</v>
      </c>
      <c r="C57" s="139"/>
      <c r="D57" s="63"/>
      <c r="E57" s="348" t="str">
        <f>IF(D57="","",VLOOKUP(D57,'10. Condition and Temporal'!$B$6:$D$103,3,FALSE))</f>
        <v/>
      </c>
      <c r="F57" s="784"/>
      <c r="G57" s="785"/>
      <c r="H57" s="39"/>
      <c r="I57" s="786"/>
      <c r="J57" s="787"/>
      <c r="K57" s="788"/>
      <c r="L57" s="789" t="str">
        <f>IF(C57="","",IFERROR(IF(I57="","",((I57/10000)*(V57*X57))*(AH57*AF57)*AD57),"This intervention is not permitted within the SSM ▲"))</f>
        <v/>
      </c>
      <c r="M57" s="743"/>
      <c r="N57" s="790"/>
      <c r="O57" s="125"/>
      <c r="P57" s="87"/>
      <c r="R57" s="655"/>
      <c r="T57" s="791" t="str">
        <f>IF(C57="","",VLOOKUP(D57,'9. All Habitats + Multipliers'!$C$4:$K$102,5,FALSE))</f>
        <v/>
      </c>
      <c r="U57" s="792"/>
      <c r="V57" s="150" t="str">
        <f>IF(T57="","",VLOOKUP(T57,'11. Lists'!$B$47:$D$49,2,FALSE))</f>
        <v/>
      </c>
      <c r="W57" s="224" t="str">
        <f>IF(F57="","",F57)</f>
        <v/>
      </c>
      <c r="X57" s="150" t="str">
        <f>IF(W57="","",VLOOKUP(W57,'11. Lists'!$F$47:$G$51,2,FALSE))</f>
        <v/>
      </c>
      <c r="Y57" s="113"/>
      <c r="Z57" s="113"/>
      <c r="AA57" s="113"/>
      <c r="AB57" s="61" t="str">
        <f>IF(H57="","",H57)</f>
        <v/>
      </c>
      <c r="AC57" s="60" t="str">
        <f>IF(AB57="","",VLOOKUP(AB57,'11. Lists'!$F$36:$H$38,2,FALSE))</f>
        <v/>
      </c>
      <c r="AD57" s="150" t="str">
        <f>IF(AB57="","",VLOOKUP(AB57,'11. Lists'!$F$36:$H$38,3,FALSE))</f>
        <v/>
      </c>
      <c r="AE57" s="61"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58" t="str">
        <f>IF(AE57="","",VLOOKUP(AE57,'11. Lists'!$I$47:$K$80,3,FALSE))</f>
        <v/>
      </c>
      <c r="AG57" s="61" t="str">
        <f>IF(D57="","",VLOOKUP(D57,'9. All Habitats + Multipliers'!$C$4:$K$102,7,FALSE))</f>
        <v/>
      </c>
      <c r="AH57" s="150" t="str">
        <f>IF(AG57="","",VLOOKUP(AG57,'11. Lists'!$J$35:$K$38,2,FALSE))</f>
        <v/>
      </c>
    </row>
    <row r="58" spans="2:53" s="99" customFormat="1" ht="15.6" customHeight="1">
      <c r="B58" s="285">
        <v>19</v>
      </c>
      <c r="C58" s="139"/>
      <c r="D58" s="63"/>
      <c r="E58" s="348" t="str">
        <f>IF(D58="","",VLOOKUP(D58,'10. Condition and Temporal'!$B$6:$D$103,3,FALSE))</f>
        <v/>
      </c>
      <c r="F58" s="784"/>
      <c r="G58" s="785"/>
      <c r="H58" s="39"/>
      <c r="I58" s="786"/>
      <c r="J58" s="787"/>
      <c r="K58" s="788"/>
      <c r="L58" s="789" t="str">
        <f>IF(C58="","",IFERROR(IF(I58="","",((I58/10000)*(V58*X58))*(AH58*AF58)*AD58),"This intervention is not permitted within the SSM ▲"))</f>
        <v/>
      </c>
      <c r="M58" s="743"/>
      <c r="N58" s="790"/>
      <c r="O58" s="125"/>
      <c r="P58" s="87"/>
      <c r="R58" s="655"/>
      <c r="T58" s="791" t="str">
        <f>IF(C58="","",VLOOKUP(D58,'9. All Habitats + Multipliers'!$C$4:$K$102,5,FALSE))</f>
        <v/>
      </c>
      <c r="U58" s="792"/>
      <c r="V58" s="150" t="str">
        <f>IF(T58="","",VLOOKUP(T58,'11. Lists'!$B$47:$D$49,2,FALSE))</f>
        <v/>
      </c>
      <c r="W58" s="224" t="str">
        <f>IF(F58="","",F58)</f>
        <v/>
      </c>
      <c r="X58" s="150" t="str">
        <f>IF(W58="","",VLOOKUP(W58,'11. Lists'!$F$47:$G$51,2,FALSE))</f>
        <v/>
      </c>
      <c r="Y58" s="113"/>
      <c r="Z58" s="113"/>
      <c r="AA58" s="113"/>
      <c r="AB58" s="61" t="str">
        <f>IF(H58="","",H58)</f>
        <v/>
      </c>
      <c r="AC58" s="60" t="str">
        <f>IF(AB58="","",VLOOKUP(AB58,'11. Lists'!$F$36:$H$38,2,FALSE))</f>
        <v/>
      </c>
      <c r="AD58" s="150" t="str">
        <f>IF(AB58="","",VLOOKUP(AB58,'11. Lists'!$F$36:$H$38,3,FALSE))</f>
        <v/>
      </c>
      <c r="AE58" s="61"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58" t="str">
        <f>IF(AE58="","",VLOOKUP(AE58,'11. Lists'!$I$47:$K$80,3,FALSE))</f>
        <v/>
      </c>
      <c r="AG58" s="61" t="str">
        <f>IF(D58="","",VLOOKUP(D58,'9. All Habitats + Multipliers'!$C$4:$K$102,7,FALSE))</f>
        <v/>
      </c>
      <c r="AH58" s="150" t="str">
        <f>IF(AG58="","",VLOOKUP(AG58,'11. Lists'!$J$35:$K$38,2,FALSE))</f>
        <v/>
      </c>
    </row>
    <row r="59" spans="2:53" s="99" customFormat="1" ht="16.149999999999999" customHeight="1">
      <c r="B59" s="287">
        <v>20</v>
      </c>
      <c r="C59" s="139"/>
      <c r="D59" s="63"/>
      <c r="E59" s="348" t="str">
        <f>IF(D59="","",VLOOKUP(D59,'10. Condition and Temporal'!$B$6:$D$103,3,FALSE))</f>
        <v/>
      </c>
      <c r="F59" s="784"/>
      <c r="G59" s="785"/>
      <c r="H59" s="140"/>
      <c r="I59" s="786"/>
      <c r="J59" s="787"/>
      <c r="K59" s="788"/>
      <c r="L59" s="789" t="str">
        <f>IF(C59="","",IFERROR(IF(I59="","",((I59/10000)*(V59*X59))*(AH59*AF59)*AD59),"This intervention is not permitted within the SSM ▲"))</f>
        <v/>
      </c>
      <c r="M59" s="743"/>
      <c r="N59" s="790"/>
      <c r="O59" s="96"/>
      <c r="P59" s="82"/>
      <c r="R59" s="655"/>
      <c r="T59" s="791" t="str">
        <f>IF(C59="","",VLOOKUP(D59,'9. All Habitats + Multipliers'!$C$4:$K$102,5,FALSE))</f>
        <v/>
      </c>
      <c r="U59" s="792"/>
      <c r="V59" s="150" t="str">
        <f>IF(T59="","",VLOOKUP(T59,'11. Lists'!$B$47:$D$49,2,FALSE))</f>
        <v/>
      </c>
      <c r="W59" s="224" t="str">
        <f>IF(F59="","",F59)</f>
        <v/>
      </c>
      <c r="X59" s="150" t="str">
        <f>IF(W59="","",VLOOKUP(W59,'11. Lists'!$F$47:$G$51,2,FALSE))</f>
        <v/>
      </c>
      <c r="Y59" s="113"/>
      <c r="Z59" s="113"/>
      <c r="AA59" s="113"/>
      <c r="AB59" s="61" t="str">
        <f>IF(H59="","",H59)</f>
        <v/>
      </c>
      <c r="AC59" s="60" t="str">
        <f>IF(AB59="","",VLOOKUP(AB59,'11. Lists'!$F$36:$H$38,2,FALSE))</f>
        <v/>
      </c>
      <c r="AD59" s="150" t="str">
        <f>IF(AB59="","",VLOOKUP(AB59,'11. Lists'!$F$36:$H$38,3,FALSE))</f>
        <v/>
      </c>
      <c r="AE59" s="61" t="str">
        <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f>
        <v/>
      </c>
      <c r="AF59" s="158" t="str">
        <f>IF(AE59="","",VLOOKUP(AE59,'11. Lists'!$I$47:$K$80,3,FALSE))</f>
        <v/>
      </c>
      <c r="AG59" s="61" t="str">
        <f>IF(D59="","",VLOOKUP(D59,'9. All Habitats + Multipliers'!$C$4:$K$102,7,FALSE))</f>
        <v/>
      </c>
      <c r="AH59" s="150" t="str">
        <f>IF(AG59="","",VLOOKUP(AG59,'11. Lists'!$J$35:$K$38,2,FALSE))</f>
        <v/>
      </c>
    </row>
    <row r="60" spans="2:53" s="99" customFormat="1" ht="29.45" customHeight="1">
      <c r="B60" s="288" t="s">
        <v>123</v>
      </c>
      <c r="C60" s="152" t="s">
        <v>124</v>
      </c>
      <c r="D60" s="45" t="s">
        <v>125</v>
      </c>
      <c r="E60" s="59" t="s">
        <v>147</v>
      </c>
      <c r="F60" s="793" t="s">
        <v>147</v>
      </c>
      <c r="G60" s="794"/>
      <c r="H60" s="58" t="s">
        <v>121</v>
      </c>
      <c r="I60" s="795">
        <f>O99</f>
        <v>0</v>
      </c>
      <c r="J60" s="796"/>
      <c r="K60" s="797"/>
      <c r="L60" s="798">
        <f>IF(D60="","",((I60/10000)*(V60*X60))*(AH60*AF60)*AD60)</f>
        <v>0</v>
      </c>
      <c r="M60" s="799"/>
      <c r="N60" s="718"/>
      <c r="O60" s="107"/>
      <c r="P60" s="108"/>
      <c r="R60" s="655"/>
      <c r="T60" s="800" t="str">
        <f>IF(C60="","",VLOOKUP(D60,'9. All Habitats + Multipliers'!$C$4:$K$102,5,FALSE))</f>
        <v>Medium</v>
      </c>
      <c r="U60" s="801"/>
      <c r="V60" s="153">
        <f>IF(T60="","",VLOOKUP(T60,'11. Lists'!$B$47:$D$49,2,FALSE))</f>
        <v>4</v>
      </c>
      <c r="W60" s="351" t="str">
        <f>IF(F60="","",F60)</f>
        <v>Moderate</v>
      </c>
      <c r="X60" s="153">
        <f>IF(W60="","",VLOOKUP(W60,'11. Lists'!$F$47:$G$51,2,FALSE))</f>
        <v>2</v>
      </c>
      <c r="Y60" s="113"/>
      <c r="Z60" s="113"/>
      <c r="AA60" s="113"/>
      <c r="AB60" s="57" t="str">
        <f>IF(H60="","",H60)</f>
        <v>Area/compensation not in local strategy/ no local strategy</v>
      </c>
      <c r="AC60" s="56" t="str">
        <f>IF(AB60="","",VLOOKUP(AB60,'11. Lists'!$F$36:$H$38,2,FALSE))</f>
        <v>Low Strategic Significance</v>
      </c>
      <c r="AD60" s="153">
        <f>IF(AB60="","",VLOOKUP(AB60,'11. Lists'!$F$36:$H$38,3,FALSE))</f>
        <v>1</v>
      </c>
      <c r="AE60" s="57">
        <f>IF(F60="","",IF(F60="Moderate",VLOOKUP(D60,'10. Condition and Temporal'!$B$6:$L$103,6,FALSE),IF('5. Area Habitats'!F60="Good",VLOOKUP(D60,'10. Condition and Temporal'!$B$6:$L$103,7,FALSE),VLOOKUP(D60,'10. Condition and Temporal'!$B$6:$L$103,8,FALSE))))</f>
        <v>27</v>
      </c>
      <c r="AF60" s="159">
        <f>IF(AE60="","",VLOOKUP(AE60,'11. Lists'!$I$47:$K$80,3,FALSE))</f>
        <v>0.38215316459999998</v>
      </c>
      <c r="AG60" s="57" t="str">
        <f>IF(D60="","",VLOOKUP(D60,'9. All Habitats + Multipliers'!$C$4:$K$102,7,FALSE))</f>
        <v>Low</v>
      </c>
      <c r="AH60" s="153">
        <f>IF(AG60="","",VLOOKUP(AG60,'11. Lists'!$J$35:$K$38,2,FALSE))</f>
        <v>1</v>
      </c>
    </row>
    <row r="61" spans="2:53" s="99" customFormat="1" ht="15" customHeight="1">
      <c r="H61" s="17" t="s">
        <v>127</v>
      </c>
      <c r="I61" s="760">
        <f>SUMIFS(I40:I59,D40:D59,"&lt;&gt;"&amp;'11. Lists'!Q10,D40:D59,"&lt;&gt;"&amp;'11. Lists'!Q11,D40:D59,"&lt;&gt;"&amp;'11. Lists'!I4,D40:D59,"&lt;&gt;"&amp;'11. Lists'!I2,D40:D59,"&lt;&gt;"&amp;'11. Lists'!I3)</f>
        <v>546.9683</v>
      </c>
      <c r="J61" s="761"/>
      <c r="K61" s="762"/>
      <c r="L61" s="720">
        <f>SUM(L40:N60)</f>
        <v>0</v>
      </c>
      <c r="M61" s="763"/>
      <c r="N61" s="719"/>
      <c r="R61" s="655"/>
    </row>
    <row r="62" spans="2:53" s="99" customFormat="1" ht="15" customHeight="1">
      <c r="H62" s="289" t="s">
        <v>148</v>
      </c>
      <c r="I62" s="764" t="str">
        <f>IF(M32=0,"Areas Acceptable ✓",IF(OR(I61-M32&lt;=-0.001,(I61-M32&gt;=0.001)),("Error - Area of habitat creation must match area lost ▲"),("Areas Acceptable ✓")))</f>
        <v>Areas Acceptable ✓</v>
      </c>
      <c r="J62" s="765"/>
      <c r="K62" s="765"/>
      <c r="L62" s="765"/>
      <c r="M62" s="765"/>
      <c r="N62" s="766"/>
      <c r="O62" s="199">
        <f>IFERROR(FIND("Error",I62),0)</f>
        <v>0</v>
      </c>
      <c r="R62" s="655"/>
    </row>
    <row r="63" spans="2:53" s="99" customFormat="1">
      <c r="I63" s="429">
        <f>SUM($I$40:$K$60)</f>
        <v>546.9683</v>
      </c>
      <c r="R63" s="655"/>
      <c r="BA63" s="114" t="s">
        <v>149</v>
      </c>
    </row>
    <row r="64" spans="2:53" s="99" customFormat="1" ht="21" customHeight="1">
      <c r="B64" s="121" t="s">
        <v>150</v>
      </c>
      <c r="D64" s="148"/>
      <c r="H64" s="100"/>
      <c r="R64" s="655"/>
      <c r="BA64" s="114" t="s">
        <v>151</v>
      </c>
    </row>
    <row r="65" spans="1:76" s="99" customFormat="1" ht="15" customHeight="1">
      <c r="A65" s="149"/>
      <c r="R65" s="655" t="s">
        <v>82</v>
      </c>
    </row>
    <row r="66" spans="1:76" s="99" customFormat="1" ht="16.149999999999999" customHeight="1">
      <c r="A66" s="149"/>
      <c r="B66" s="767" t="s">
        <v>152</v>
      </c>
      <c r="C66" s="769" t="s">
        <v>153</v>
      </c>
      <c r="D66" s="770"/>
      <c r="E66" s="771" t="s">
        <v>154</v>
      </c>
      <c r="F66" s="772"/>
      <c r="G66" s="773"/>
      <c r="H66" s="754" t="s">
        <v>155</v>
      </c>
      <c r="I66" s="754" t="s">
        <v>156</v>
      </c>
      <c r="J66" s="774" t="s">
        <v>157</v>
      </c>
      <c r="K66" s="775"/>
      <c r="L66" s="769" t="s">
        <v>158</v>
      </c>
      <c r="M66" s="779" t="s">
        <v>159</v>
      </c>
      <c r="N66" s="770"/>
      <c r="O66" s="782" t="s">
        <v>95</v>
      </c>
      <c r="P66" s="783"/>
      <c r="R66" s="655"/>
      <c r="T66" s="751" t="s">
        <v>160</v>
      </c>
      <c r="U66" s="752"/>
      <c r="V66" s="752"/>
      <c r="W66" s="752"/>
      <c r="X66" s="752"/>
      <c r="Y66" s="752"/>
      <c r="Z66" s="752"/>
      <c r="AA66" s="752"/>
      <c r="AB66" s="752"/>
      <c r="AC66" s="752"/>
      <c r="AD66" s="753"/>
      <c r="AE66" s="754" t="s">
        <v>161</v>
      </c>
      <c r="AF66" s="751" t="s">
        <v>162</v>
      </c>
      <c r="AG66" s="752"/>
      <c r="AH66" s="752"/>
      <c r="AI66" s="752"/>
      <c r="AJ66" s="752"/>
      <c r="AK66" s="752"/>
      <c r="AL66" s="752"/>
      <c r="AM66" s="752"/>
      <c r="AN66" s="752"/>
      <c r="AO66" s="752"/>
      <c r="AP66" s="753"/>
      <c r="AQ66" s="756" t="s">
        <v>163</v>
      </c>
      <c r="AR66" s="751" t="s">
        <v>162</v>
      </c>
      <c r="AS66" s="752"/>
      <c r="AT66" s="752"/>
      <c r="AU66" s="752"/>
      <c r="AV66" s="752"/>
      <c r="AW66" s="752"/>
      <c r="AX66" s="752"/>
      <c r="AY66" s="452"/>
      <c r="BA66" s="69" t="s">
        <v>164</v>
      </c>
      <c r="BB66" s="225">
        <f>COUNTIF(BB68:BB87,"?*")</f>
        <v>0</v>
      </c>
      <c r="BC66" s="225">
        <f>COUNTIF(BC68:BC87,"?*")</f>
        <v>1</v>
      </c>
      <c r="BD66" s="225">
        <f>COUNTIF(BD68:BD87,"?*")</f>
        <v>1</v>
      </c>
      <c r="BE66" s="225">
        <f>COUNTIF(BE68:BE87,"?*")</f>
        <v>0</v>
      </c>
      <c r="BF66" s="225">
        <f>COUNTIF(BF68:BF87,"?*")</f>
        <v>0</v>
      </c>
      <c r="BG66" s="225">
        <f>COUNTIF(BG68:BG87,"?*")</f>
        <v>0</v>
      </c>
      <c r="BH66" s="225">
        <f>COUNTIF(BH68:BH87,"?*")</f>
        <v>0</v>
      </c>
      <c r="BI66" s="225">
        <f>COUNTIF(BI68:BI87,"?*")</f>
        <v>0</v>
      </c>
      <c r="BJ66" s="225">
        <f>COUNTIF(BJ68:BJ87,"?*")</f>
        <v>0</v>
      </c>
      <c r="BK66" s="225">
        <f>COUNTIF(BK68:BK87,"?*")</f>
        <v>0</v>
      </c>
      <c r="BL66" s="225">
        <f>COUNTIF(BL68:BL87,"?*")</f>
        <v>0</v>
      </c>
      <c r="BM66" s="225">
        <f>COUNTIF(BM68:BM87,"?*")</f>
        <v>0</v>
      </c>
      <c r="BN66" s="225">
        <f>COUNTIF(BN68:BN87,"?*")</f>
        <v>0</v>
      </c>
      <c r="BO66" s="225">
        <f>COUNTIF(BO68:BO87,"?*")</f>
        <v>0</v>
      </c>
      <c r="BP66" s="225">
        <f>COUNTIF(BP68:BP87,"?*")</f>
        <v>0</v>
      </c>
      <c r="BQ66" s="225">
        <f>COUNTIF(BQ68:BQ87,"?*")</f>
        <v>0</v>
      </c>
      <c r="BR66" s="225">
        <f>COUNTIF(BR68:BR87,"?*")</f>
        <v>0</v>
      </c>
      <c r="BS66" s="225">
        <f>COUNTIF(BS68:BS87,"?*")</f>
        <v>0</v>
      </c>
      <c r="BT66" s="225">
        <f>COUNTIF(BT68:BT87,"?*")</f>
        <v>0</v>
      </c>
      <c r="BU66" s="225">
        <f>COUNTIF(BU68:BU87,"?*")</f>
        <v>0</v>
      </c>
    </row>
    <row r="67" spans="1:76" s="99" customFormat="1" ht="48.6" customHeight="1">
      <c r="A67" s="149"/>
      <c r="B67" s="768"/>
      <c r="C67" s="240" t="s">
        <v>165</v>
      </c>
      <c r="D67" s="42" t="s">
        <v>166</v>
      </c>
      <c r="E67" s="146" t="s">
        <v>167</v>
      </c>
      <c r="F67" s="737" t="s">
        <v>168</v>
      </c>
      <c r="G67" s="738"/>
      <c r="H67" s="755"/>
      <c r="I67" s="755"/>
      <c r="J67" s="776"/>
      <c r="K67" s="777"/>
      <c r="L67" s="778"/>
      <c r="M67" s="780"/>
      <c r="N67" s="781"/>
      <c r="O67" s="55" t="s">
        <v>110</v>
      </c>
      <c r="P67" s="42" t="s">
        <v>111</v>
      </c>
      <c r="R67" s="655"/>
      <c r="T67" s="49" t="s">
        <v>169</v>
      </c>
      <c r="U67" s="16" t="s">
        <v>170</v>
      </c>
      <c r="V67" s="355" t="s">
        <v>171</v>
      </c>
      <c r="W67" s="492" t="s">
        <v>172</v>
      </c>
      <c r="X67" s="493" t="s">
        <v>173</v>
      </c>
      <c r="Y67" s="358"/>
      <c r="Z67" s="358"/>
      <c r="AA67" s="358"/>
      <c r="AB67" s="493" t="s">
        <v>174</v>
      </c>
      <c r="AC67" s="493" t="s">
        <v>175</v>
      </c>
      <c r="AD67" s="355" t="s">
        <v>176</v>
      </c>
      <c r="AE67" s="755"/>
      <c r="AF67" s="48" t="s">
        <v>169</v>
      </c>
      <c r="AG67" s="16" t="s">
        <v>112</v>
      </c>
      <c r="AH67" s="355" t="s">
        <v>113</v>
      </c>
      <c r="AI67" s="492" t="s">
        <v>114</v>
      </c>
      <c r="AJ67" s="360" t="s">
        <v>113</v>
      </c>
      <c r="AK67" s="66"/>
      <c r="AL67" s="66"/>
      <c r="AM67" s="66"/>
      <c r="AN67" s="361" t="s">
        <v>98</v>
      </c>
      <c r="AO67" s="493" t="s">
        <v>98</v>
      </c>
      <c r="AP67" s="503" t="s">
        <v>115</v>
      </c>
      <c r="AQ67" s="757"/>
      <c r="AR67" s="355" t="s">
        <v>177</v>
      </c>
      <c r="AS67" s="16" t="s">
        <v>178</v>
      </c>
      <c r="AT67" s="355" t="s">
        <v>179</v>
      </c>
      <c r="AU67" s="47" t="s">
        <v>180</v>
      </c>
      <c r="AV67" s="355" t="s">
        <v>181</v>
      </c>
      <c r="AW67" s="50" t="s">
        <v>182</v>
      </c>
      <c r="AX67" s="44" t="s">
        <v>183</v>
      </c>
      <c r="AY67" s="453" t="s">
        <v>184</v>
      </c>
      <c r="BA67" s="144" t="s">
        <v>185</v>
      </c>
      <c r="BB67" s="209">
        <v>1</v>
      </c>
      <c r="BC67" s="209">
        <v>2</v>
      </c>
      <c r="BD67" s="209">
        <v>3</v>
      </c>
      <c r="BE67" s="209">
        <v>4</v>
      </c>
      <c r="BF67" s="209">
        <v>5</v>
      </c>
      <c r="BG67" s="209">
        <v>6</v>
      </c>
      <c r="BH67" s="209">
        <v>7</v>
      </c>
      <c r="BI67" s="209">
        <v>8</v>
      </c>
      <c r="BJ67" s="209">
        <v>9</v>
      </c>
      <c r="BK67" s="209">
        <v>10</v>
      </c>
      <c r="BL67" s="209">
        <v>11</v>
      </c>
      <c r="BM67" s="209">
        <v>12</v>
      </c>
      <c r="BN67" s="209">
        <v>13</v>
      </c>
      <c r="BO67" s="209">
        <v>14</v>
      </c>
      <c r="BP67" s="209">
        <v>15</v>
      </c>
      <c r="BQ67" s="209">
        <v>16</v>
      </c>
      <c r="BR67" s="209">
        <v>17</v>
      </c>
      <c r="BS67" s="209">
        <v>18</v>
      </c>
      <c r="BT67" s="209">
        <v>19</v>
      </c>
      <c r="BU67" s="209">
        <v>20</v>
      </c>
      <c r="BV67" s="223" t="s">
        <v>186</v>
      </c>
      <c r="BW67" s="209" t="s">
        <v>187</v>
      </c>
      <c r="BX67" s="209" t="s">
        <v>188</v>
      </c>
    </row>
    <row r="68" spans="1:76" s="99" customFormat="1" ht="15.6" customHeight="1">
      <c r="A68" s="149"/>
      <c r="B68" s="284">
        <v>1</v>
      </c>
      <c r="C68" s="236" t="str">
        <f>IF(D68="","",C11)</f>
        <v/>
      </c>
      <c r="D68" s="237" t="str">
        <f>IF(OR(K11=0, K11=""),"",D11)</f>
        <v/>
      </c>
      <c r="E68" s="238" t="str">
        <f>IF(AX68="","",AX68)</f>
        <v/>
      </c>
      <c r="F68" s="758"/>
      <c r="G68" s="759"/>
      <c r="H68" s="204" t="str">
        <f>IF(D68="","",AB68)</f>
        <v/>
      </c>
      <c r="I68" s="334" t="str">
        <f>IF(OR(K11="", K11=0),"",K11)</f>
        <v/>
      </c>
      <c r="J68" s="741" t="str">
        <f>IFERROR(IF(F68="","",VLOOKUP(F68,'10. Condition and Temporal'!$B$6:$F$103,5,FALSE)), "Error ▲")</f>
        <v/>
      </c>
      <c r="K68" s="742"/>
      <c r="L68" s="304" t="str">
        <f>IFERROR(IF(D68="","",IF(AX68="Distinctiveness",(((((I68*AH68*AJ68)-(I68*V68*X68))*(AV68*AT68))+(I68*V68*X68))*(AP68))/10000,((((I68*AJ68*AH68)-(I68*V68*X68))*(AV68*AR68))+(I68*V68*X68))*AP68/10000)),"Error ▲")</f>
        <v/>
      </c>
      <c r="M68" s="743" t="str">
        <f>IFERROR(IF(F68="","",L68-AD68), "Error ▲")</f>
        <v/>
      </c>
      <c r="N68" s="744"/>
      <c r="O68" s="239"/>
      <c r="P68" s="77"/>
      <c r="R68" s="655"/>
      <c r="T68" s="217" t="str">
        <f>IF(D68="","",K11)</f>
        <v/>
      </c>
      <c r="U68" s="22" t="str">
        <f>IF($D68="","",T11)</f>
        <v/>
      </c>
      <c r="V68" s="363" t="str">
        <f>IF($D68="","",V11)</f>
        <v/>
      </c>
      <c r="W68" s="22" t="str">
        <f>IF($D68="","",W11)</f>
        <v/>
      </c>
      <c r="X68" s="363" t="str">
        <f>IF($D68="","",X11)</f>
        <v/>
      </c>
      <c r="Y68" s="371"/>
      <c r="Z68" s="349"/>
      <c r="AA68" s="494"/>
      <c r="AB68" s="22" t="str">
        <f>IF($D68="","",AB11)</f>
        <v/>
      </c>
      <c r="AC68" s="363" t="str">
        <f>IF($D68="","",AD11)</f>
        <v/>
      </c>
      <c r="AD68" s="497" t="str">
        <f>IF(AC68="","",(T68*V68*X68)*AC68/10000)</f>
        <v/>
      </c>
      <c r="AE68" s="497" t="str">
        <f>IF(AD68="","",IF(AH68&lt;V68,"Not Acceptable","Acceptable"))</f>
        <v/>
      </c>
      <c r="AF68" s="497" t="str">
        <f>IF(D68="","",I68)</f>
        <v/>
      </c>
      <c r="AG68" s="22" t="str">
        <f>IF(D68="","",VLOOKUP(F68,'9. All Habitats + Multipliers'!$C$4:$K$102,5,FALSE))</f>
        <v/>
      </c>
      <c r="AH68" s="500" t="str">
        <f>IF(AG68="","",VLOOKUP(AG68,'11. Lists'!$B$47:$D$49,2,FALSE))</f>
        <v/>
      </c>
      <c r="AI68" s="22" t="str">
        <f>IF(D68="","",J68)</f>
        <v/>
      </c>
      <c r="AJ68" s="363" t="str">
        <f>IF(AI68="","",VLOOKUP(AI68,'11. Lists'!$F$47:$G$51,2,FALSE))</f>
        <v/>
      </c>
      <c r="AK68" s="502"/>
      <c r="AL68" s="362"/>
      <c r="AM68" s="505"/>
      <c r="AN68" s="22" t="str">
        <f>IF(H68="","",H68)</f>
        <v/>
      </c>
      <c r="AO68" s="21" t="str">
        <f>IF(AN68="","",VLOOKUP(AN68,'11. Lists'!$F$36:$H$38,2,FALSE))</f>
        <v/>
      </c>
      <c r="AP68" s="363" t="str">
        <f>IF(AN68="","",VLOOKUP(AN68,'11. Lists'!$F$36:$H$38,3,FALSE))</f>
        <v/>
      </c>
      <c r="AQ68" s="22" t="str">
        <f>IF(D68="","",IF(AX68="Distinctiveness","N/A",VLOOKUP(F68,'10. Condition and Temporal'!$B$6:$L$103,11,FALSE)))</f>
        <v/>
      </c>
      <c r="AR68" s="506" t="str">
        <f>IF(AQ68="","",IF(AQ68="N/A","1",VLOOKUP(AQ68,'11. Lists'!$I$47:$K$80,3,FALSE)))</f>
        <v/>
      </c>
      <c r="AS68" s="509" t="str">
        <f>IF(D68="","",IF(AX68="Condition","N/A",VLOOKUP(F68,'10. Condition and Temporal'!$B$6:$M$106,12,FALSE)))</f>
        <v/>
      </c>
      <c r="AT68" s="506" t="str">
        <f>IF(AS68="","",IF(AS68="N/A","1",VLOOKUP(AS68,'11. Lists'!$I$47:$K$80,3,FALSE)))</f>
        <v/>
      </c>
      <c r="AU68" s="22" t="str">
        <f>IF(D68="","",VLOOKUP(F68,'9. All Habitats + Multipliers'!$C$4:$K$102,8,FALSE))</f>
        <v/>
      </c>
      <c r="AV68" s="363" t="str">
        <f>IF(AU68="","",VLOOKUP(AU68,'11. Lists'!$J$35:$K$38,2,FALSE))</f>
        <v/>
      </c>
      <c r="AW68" s="497" t="str">
        <f>IF(D68="","",VLOOKUP(D68,'10. Condition and Temporal'!$B$6:$M$103,4,FALSE))</f>
        <v/>
      </c>
      <c r="AX68" s="497" t="str">
        <f>IF(F68="","",IF(D68=F68,"Condition","Distinctiveness"))</f>
        <v/>
      </c>
      <c r="AY68" s="454" t="str">
        <f>IF(COUNTIF(F68,"*grassland*"),"Grassland",IF(COUNTIF(F68,"*scree*"),"Sparsely vegetated land",C68))</f>
        <v/>
      </c>
      <c r="BA68" s="61">
        <v>1</v>
      </c>
      <c r="BB68" s="60" t="str">
        <f>TRIM(MID(SUBSTITUTE($AW$68,$BA$64,REPT(" ",LEN($AW$68))),($BA68-1)*LEN($AW$68)+1,LEN($AW$68)))</f>
        <v/>
      </c>
      <c r="BC68" s="60" t="str">
        <f>TRIM(MID(SUBSTITUTE($AW$69,$BA$64,REPT(" ",LEN($AW$69))),($BA68-1)*LEN($AW$69)+1,LEN($AW$69)))</f>
        <v>Bare ground</v>
      </c>
      <c r="BD68" s="60" t="str">
        <f>TRIM(MID(SUBSTITUTE($AW$70,$BA$64,REPT(" ",LEN($AW$70))),($BA68-1)*LEN($AW$70)+1,LEN($AW$70)))</f>
        <v>Bare ground</v>
      </c>
      <c r="BE68" s="60" t="str">
        <f>TRIM(MID(SUBSTITUTE($AW$71,$BA$64,REPT(" ",LEN($AW$71))),($BA68-1)*LEN($AW$71)+1,LEN($AW$71)))</f>
        <v/>
      </c>
      <c r="BF68" s="60" t="str">
        <f>TRIM(MID(SUBSTITUTE($AW$72,$BA$64,REPT(" ",LEN($AW$72))),($BA68-1)*LEN($AW$72)+1,LEN($AW$72)))</f>
        <v/>
      </c>
      <c r="BG68" s="60" t="str">
        <f>TRIM(MID(SUBSTITUTE($AW$73,$BA$64,REPT(" ",LEN($AW$73))),($BA68-1)*LEN($AW$73)+1,LEN($AW$73)))</f>
        <v/>
      </c>
      <c r="BH68" s="60" t="str">
        <f>TRIM(MID(SUBSTITUTE($AW$74,$BA$64,REPT(" ",LEN($AW$74))),($BA68-1)*LEN($AW$74)+1,LEN($AW$74)))</f>
        <v/>
      </c>
      <c r="BI68" s="60" t="str">
        <f>TRIM(MID(SUBSTITUTE($AW$75,$BA$64,REPT(" ",LEN($AW$75))),($BA68-1)*LEN($AW$75)+1,LEN($AW$75)))</f>
        <v/>
      </c>
      <c r="BJ68" s="60" t="str">
        <f>TRIM(MID(SUBSTITUTE($AW$76,$BA$64,REPT(" ",LEN($AW$76))),($BA68-1)*LEN($AW$76)+1,LEN($AW$76)))</f>
        <v/>
      </c>
      <c r="BK68" s="60" t="str">
        <f>TRIM(MID(SUBSTITUTE($AW$77,$BA$64,REPT(" ",LEN($AW$77))),($BA68-1)*LEN($AW$77)+1,LEN($AW$77)))</f>
        <v/>
      </c>
      <c r="BL68" s="60" t="str">
        <f>TRIM(MID(SUBSTITUTE($AW$78,$BA$64,REPT(" ",LEN($AW$78))),($BA68-1)*LEN($AW$78)+1,LEN($AW$78)))</f>
        <v/>
      </c>
      <c r="BM68" s="60" t="str">
        <f>TRIM(MID(SUBSTITUTE($AW$79,$BA$64,REPT(" ",LEN($AW$79))),($BA68-1)*LEN($AW$79)+1,LEN($AW$79)))</f>
        <v/>
      </c>
      <c r="BN68" s="60" t="str">
        <f>TRIM(MID(SUBSTITUTE($AW$80,$BA$64,REPT(" ",LEN($AW$80))),($BA68-1)*LEN($AW$80)+1,LEN($AW$80)))</f>
        <v/>
      </c>
      <c r="BO68" s="60" t="str">
        <f>TRIM(MID(SUBSTITUTE($AW$81,$BA$64,REPT(" ",LEN($AW$81))),($BA68-1)*LEN($AW$81)+1,LEN($AW$81)))</f>
        <v/>
      </c>
      <c r="BP68" s="60" t="str">
        <f>TRIM(MID(SUBSTITUTE($AW$82,$BA$64,REPT(" ",LEN($AW$82))),($BA68-1)*LEN($AW$82)+1,LEN($AW$82)))</f>
        <v/>
      </c>
      <c r="BQ68" s="60" t="str">
        <f>TRIM(MID(SUBSTITUTE($AW$83,$BA$64,REPT(" ",LEN($AW$83))),($BA68-1)*LEN($AW$83)+1,LEN($AW$83)))</f>
        <v/>
      </c>
      <c r="BR68" s="60" t="str">
        <f>TRIM(MID(SUBSTITUTE($AW$84,$BA$64,REPT(" ",LEN($AW$84))),($BA68-1)*LEN($AW$84)+1,LEN($AW$84)))</f>
        <v/>
      </c>
      <c r="BS68" s="60" t="str">
        <f>TRIM(MID(SUBSTITUTE($AW$85,$BA$64,REPT(" ",LEN($AW$85))),($BA68-1)*LEN($AW$85)+1,LEN($AW$85)))</f>
        <v/>
      </c>
      <c r="BT68" s="60" t="str">
        <f>TRIM(MID(SUBSTITUTE($AW$86,$BA$64,REPT(" ",LEN($AW$86))),($BA68-1)*LEN($AW$86)+1,LEN($AW$86)))</f>
        <v/>
      </c>
      <c r="BU68" s="150" t="str">
        <f>TRIM(MID(SUBSTITUTE($AW$87,$BA$64,REPT(" ",LEN($AW$87))),($BA68-1)*LEN($AW$87)+1,LEN($AW$87)))</f>
        <v/>
      </c>
      <c r="BV68" s="224" t="str">
        <f>IF(BX68=0,"",CONCATENATE(BW68,"68:",BW68,BX68+67))</f>
        <v/>
      </c>
      <c r="BW68" s="60" t="s">
        <v>189</v>
      </c>
      <c r="BX68" s="60">
        <f>BB66</f>
        <v>0</v>
      </c>
    </row>
    <row r="69" spans="1:76" s="99" customFormat="1" ht="15.6" customHeight="1">
      <c r="A69" s="149"/>
      <c r="B69" s="285">
        <v>2</v>
      </c>
      <c r="C69" s="166" t="str">
        <f>IF(D69="","",C12)</f>
        <v>Urban</v>
      </c>
      <c r="D69" s="237" t="str">
        <f>IF(OR(K12=0, K12=""),"",D12)</f>
        <v>Bare ground</v>
      </c>
      <c r="E69" s="207" t="str">
        <f>IF(AX69="","",AX69)</f>
        <v>Condition</v>
      </c>
      <c r="F69" s="739" t="s">
        <v>122</v>
      </c>
      <c r="G69" s="740"/>
      <c r="H69" s="204" t="str">
        <f>IF(D69="","",AB69)</f>
        <v>Area/compensation not in local strategy/ no local strategy</v>
      </c>
      <c r="I69" s="334">
        <f>IF(OR(K12="", K12=0),"",K12)</f>
        <v>424.02159999999998</v>
      </c>
      <c r="J69" s="741" t="str">
        <f>IFERROR(IF(F69="","",VLOOKUP(F69,'10. Condition and Temporal'!$B$6:$F$103,5,FALSE)), "Error ▲")</f>
        <v>Good</v>
      </c>
      <c r="K69" s="742"/>
      <c r="L69" s="304">
        <f>IFERROR(IF(D69="","",IF(AX69="Distinctiveness",(((((I69*AH69*AJ69)-(I69*V69*X69))*(AV69*AT69))+(I69*V69*X69))*(AP69))/10000,((((I69*AJ69*AH69)-(I69*V69*X69))*(AV69*AR69))+(I69*V69*X69))*AP69/10000)),"Error ▲")</f>
        <v>0.25144480879999997</v>
      </c>
      <c r="M69" s="743">
        <f>IFERROR(IF(F69="","",L69-AD69), "Error ▲")</f>
        <v>8.183616879999997E-2</v>
      </c>
      <c r="N69" s="744"/>
      <c r="O69" s="135"/>
      <c r="P69" s="87"/>
      <c r="R69" s="655"/>
      <c r="T69" s="217">
        <f>IF(D69="","",K12)</f>
        <v>424.02159999999998</v>
      </c>
      <c r="U69" s="161" t="str">
        <f>IF($D69="","",T12)</f>
        <v>Low</v>
      </c>
      <c r="V69" s="150">
        <f>IF($D69="","",V12)</f>
        <v>2</v>
      </c>
      <c r="W69" s="61" t="str">
        <f>IF($D69="","",W12)</f>
        <v>Moderate</v>
      </c>
      <c r="X69" s="150">
        <f>IF($D69="","",X12)</f>
        <v>2</v>
      </c>
      <c r="Y69" s="371"/>
      <c r="Z69" s="349"/>
      <c r="AA69" s="494"/>
      <c r="AB69" s="61" t="str">
        <f>IF($D69="","",AB12)</f>
        <v>Area/compensation not in local strategy/ no local strategy</v>
      </c>
      <c r="AC69" s="162">
        <f>IF($D69="","",AD12)</f>
        <v>1</v>
      </c>
      <c r="AD69" s="217">
        <f>IF(AC69="","",(T69*V69*X69)*AC69/10000)</f>
        <v>0.16960864</v>
      </c>
      <c r="AE69" s="217" t="str">
        <f>IF(AD69="","",IF(AH69&lt;V69,"Not Acceptable","Acceptable"))</f>
        <v>Acceptable</v>
      </c>
      <c r="AF69" s="498">
        <f>IF(D69="","",I69)</f>
        <v>424.02159999999998</v>
      </c>
      <c r="AG69" s="161" t="str">
        <f>IF(D69="","",VLOOKUP(F69,'9. All Habitats + Multipliers'!$C$4:$K$102,5,FALSE))</f>
        <v>Low</v>
      </c>
      <c r="AH69" s="350">
        <f>IF(AG69="","",VLOOKUP(AG69,'11. Lists'!$B$47:$D$49,2,FALSE))</f>
        <v>2</v>
      </c>
      <c r="AI69" s="61" t="str">
        <f>IF(D69="","",J69)</f>
        <v>Good</v>
      </c>
      <c r="AJ69" s="150">
        <f>IF(AI69="","",VLOOKUP(AI69,'11. Lists'!$F$47:$G$51,2,FALSE))</f>
        <v>3</v>
      </c>
      <c r="AK69" s="371"/>
      <c r="AL69" s="349"/>
      <c r="AM69" s="494"/>
      <c r="AN69" s="61" t="str">
        <f>IF(H69="","",H69)</f>
        <v>Area/compensation not in local strategy/ no local strategy</v>
      </c>
      <c r="AO69" s="60" t="str">
        <f>IF(AN69="","",VLOOKUP(AN69,'11. Lists'!$F$36:$H$38,2,FALSE))</f>
        <v>Low Strategic Significance</v>
      </c>
      <c r="AP69" s="150">
        <f>IF(AN69="","",VLOOKUP(AN69,'11. Lists'!$F$36:$H$38,3,FALSE))</f>
        <v>1</v>
      </c>
      <c r="AQ69" s="161">
        <f>IF(D69="","",IF(AX69="Distinctiveness","N/A",VLOOKUP(F69,'10. Condition and Temporal'!$B$6:$L$103,11,FALSE)))</f>
        <v>1</v>
      </c>
      <c r="AR69" s="165">
        <f>IF(AQ69="","",IF(AQ69="N/A","1",VLOOKUP(AQ69,'11. Lists'!$I$47:$K$80,3,FALSE)))</f>
        <v>0.96499999999999997</v>
      </c>
      <c r="AS69" s="510" t="str">
        <f>IF(D69="","",IF(AX69="Condition","N/A",VLOOKUP(F69,'10. Condition and Temporal'!$B$6:$M$106,12,FALSE)))</f>
        <v>N/A</v>
      </c>
      <c r="AT69" s="165" t="str">
        <f>IF(AS69="","",IF(AS69="N/A","1",VLOOKUP(AS69,'11. Lists'!$I$47:$K$80,3,FALSE)))</f>
        <v>1</v>
      </c>
      <c r="AU69" s="161" t="str">
        <f>IF(D69="","",VLOOKUP(F69,'9. All Habitats + Multipliers'!$C$4:$K$102,8,FALSE))</f>
        <v>Low</v>
      </c>
      <c r="AV69" s="162">
        <f>IF(AU69="","",VLOOKUP(AU69,'11. Lists'!$J$35:$K$38,2,FALSE))</f>
        <v>1</v>
      </c>
      <c r="AW69" s="217" t="str">
        <f>IF(D69="","",VLOOKUP(D69,'10. Condition and Temporal'!$B$6:$M$103,4,FALSE))</f>
        <v>Bare ground</v>
      </c>
      <c r="AX69" s="217" t="str">
        <f>IF(F69="","",IF(D69=F69,"Condition","Distinctiveness"))</f>
        <v>Condition</v>
      </c>
      <c r="AY69" s="455" t="str">
        <f>IF(COUNTIF(F69,"*grassland*"),"Grassland",IF(COUNTIF(F69,"*scree*"),"Sparsely vegetated land",C69))</f>
        <v>Urban</v>
      </c>
      <c r="BA69" s="61">
        <v>2</v>
      </c>
      <c r="BB69" s="60" t="str">
        <f>TRIM(MID(SUBSTITUTE($AW$68,$BA$64,REPT(" ",LEN($AW$68))),($BA69-1)*LEN($AW$68)+1,LEN($AW$68)))</f>
        <v/>
      </c>
      <c r="BC69" s="60" t="str">
        <f>TRIM(MID(SUBSTITUTE($AW$69,$BA$64,REPT(" ",LEN($AW$69))),($BA69-1)*LEN($AW$69)+1,LEN($AW$69)))</f>
        <v/>
      </c>
      <c r="BD69" s="60" t="str">
        <f>TRIM(MID(SUBSTITUTE($AW$70,$BA$64,REPT(" ",LEN($AW$70))),($BA69-1)*LEN($AW$70)+1,LEN($AW$70)))</f>
        <v/>
      </c>
      <c r="BE69" s="60" t="str">
        <f>TRIM(MID(SUBSTITUTE($AW$71,$BA$64,REPT(" ",LEN($AW$71))),($BA69-1)*LEN($AW$71)+1,LEN($AW$71)))</f>
        <v/>
      </c>
      <c r="BF69" s="60" t="str">
        <f>TRIM(MID(SUBSTITUTE($AW$72,$BA$64,REPT(" ",LEN($AW$72))),($BA69-1)*LEN($AW$72)+1,LEN($AW$72)))</f>
        <v/>
      </c>
      <c r="BG69" s="60" t="str">
        <f>TRIM(MID(SUBSTITUTE($AW$73,$BA$64,REPT(" ",LEN($AW$73))),($BA69-1)*LEN($AW$73)+1,LEN($AW$73)))</f>
        <v/>
      </c>
      <c r="BH69" s="60" t="str">
        <f>TRIM(MID(SUBSTITUTE($AW$74,$BA$64,REPT(" ",LEN($AW$74))),($BA69-1)*LEN($AW$74)+1,LEN($AW$74)))</f>
        <v/>
      </c>
      <c r="BI69" s="60" t="str">
        <f>TRIM(MID(SUBSTITUTE($AW$75,$BA$64,REPT(" ",LEN($AW$75))),($BA69-1)*LEN($AW$75)+1,LEN($AW$75)))</f>
        <v/>
      </c>
      <c r="BJ69" s="60" t="str">
        <f>TRIM(MID(SUBSTITUTE($AW$76,$BA$64,REPT(" ",LEN($AW$76))),($BA69-1)*LEN($AW$76)+1,LEN($AW$76)))</f>
        <v/>
      </c>
      <c r="BK69" s="60" t="str">
        <f>TRIM(MID(SUBSTITUTE($AW$77,$BA$64,REPT(" ",LEN($AW$77))),($BA69-1)*LEN($AW$77)+1,LEN($AW$77)))</f>
        <v/>
      </c>
      <c r="BL69" s="60" t="str">
        <f>TRIM(MID(SUBSTITUTE($AW$78,$BA$64,REPT(" ",LEN($AW$78))),($BA69-1)*LEN($AW$78)+1,LEN($AW$78)))</f>
        <v/>
      </c>
      <c r="BM69" s="60" t="str">
        <f>TRIM(MID(SUBSTITUTE($AW$79,$BA$64,REPT(" ",LEN($AW$79))),($BA69-1)*LEN($AW$79)+1,LEN($AW$79)))</f>
        <v/>
      </c>
      <c r="BN69" s="60" t="str">
        <f>TRIM(MID(SUBSTITUTE($AW$80,$BA$64,REPT(" ",LEN($AW$80))),($BA69-1)*LEN($AW$80)+1,LEN($AW$80)))</f>
        <v/>
      </c>
      <c r="BO69" s="60" t="str">
        <f>TRIM(MID(SUBSTITUTE($AW$81,$BA$64,REPT(" ",LEN($AW$81))),($BA69-1)*LEN($AW$81)+1,LEN($AW$81)))</f>
        <v/>
      </c>
      <c r="BP69" s="60" t="str">
        <f>TRIM(MID(SUBSTITUTE($AW$82,$BA$64,REPT(" ",LEN($AW$82))),($BA69-1)*LEN($AW$82)+1,LEN($AW$82)))</f>
        <v/>
      </c>
      <c r="BQ69" s="60" t="str">
        <f>TRIM(MID(SUBSTITUTE($AW$83,$BA$64,REPT(" ",LEN($AW$83))),($BA69-1)*LEN($AW$83)+1,LEN($AW$83)))</f>
        <v/>
      </c>
      <c r="BR69" s="60" t="str">
        <f>TRIM(MID(SUBSTITUTE($AW$84,$BA$64,REPT(" ",LEN($AW$84))),($BA69-1)*LEN($AW$84)+1,LEN($AW$84)))</f>
        <v/>
      </c>
      <c r="BS69" s="60" t="str">
        <f>TRIM(MID(SUBSTITUTE($AW$85,$BA$64,REPT(" ",LEN($AW$85))),($BA69-1)*LEN($AW$85)+1,LEN($AW$85)))</f>
        <v/>
      </c>
      <c r="BT69" s="60" t="str">
        <f>TRIM(MID(SUBSTITUTE($AW$86,$BA$64,REPT(" ",LEN($AW$86))),($BA69-1)*LEN($AW$86)+1,LEN($AW$86)))</f>
        <v/>
      </c>
      <c r="BU69" s="150" t="str">
        <f>TRIM(MID(SUBSTITUTE($AW$87,$BA$64,REPT(" ",LEN($AW$87))),($BA69-1)*LEN($AW$87)+1,LEN($AW$87)))</f>
        <v/>
      </c>
      <c r="BV69" s="224" t="str">
        <f>IF(BX69=0,"",CONCATENATE(BW69,"68:",BW69,BX69+67))</f>
        <v>BC68:BC68</v>
      </c>
      <c r="BW69" s="60" t="s">
        <v>190</v>
      </c>
      <c r="BX69" s="60">
        <f>BC66</f>
        <v>1</v>
      </c>
    </row>
    <row r="70" spans="1:76" s="99" customFormat="1" ht="15.6" customHeight="1">
      <c r="A70" s="149"/>
      <c r="B70" s="285">
        <v>3</v>
      </c>
      <c r="C70" s="166" t="str">
        <f>IF(D70="","",C13)</f>
        <v>Urban</v>
      </c>
      <c r="D70" s="237" t="str">
        <f>IF(OR(K13=0, K13=""),"",D13)</f>
        <v>Bare ground</v>
      </c>
      <c r="E70" s="207" t="str">
        <f>IF(AX70="","",AX70)</f>
        <v>Condition</v>
      </c>
      <c r="F70" s="739" t="s">
        <v>122</v>
      </c>
      <c r="G70" s="740"/>
      <c r="H70" s="204" t="str">
        <f>IF(D70="","",AB70)</f>
        <v>Area/compensation not in local strategy/ no local strategy</v>
      </c>
      <c r="I70" s="334">
        <f>IF(OR(K13="", K13=0),"",K13)</f>
        <v>34.603900000000003</v>
      </c>
      <c r="J70" s="741" t="str">
        <f>IFERROR(IF(F70="","",VLOOKUP(F70,'10. Condition and Temporal'!$B$6:$F$103,5,FALSE)), "Error ▲")</f>
        <v>Good</v>
      </c>
      <c r="K70" s="742"/>
      <c r="L70" s="304">
        <f>IFERROR(IF(D70="","",IF(AX70="Distinctiveness",(((((I70*AH70*AJ70)-(I70*V70*X70))*(AV70*AT70))+(I70*V70*X70))*(AP70))/10000,((((I70*AJ70*AH70)-(I70*V70*X70))*(AV70*AR70))+(I70*V70*X70))*AP70/10000)),"Error ▲")</f>
        <v>2.0520112699999999E-2</v>
      </c>
      <c r="M70" s="743">
        <f>IFERROR(IF(F70="","",L70-AD70), "Error ▲")</f>
        <v>6.678552699999998E-3</v>
      </c>
      <c r="N70" s="744"/>
      <c r="O70" s="135"/>
      <c r="P70" s="87"/>
      <c r="R70" s="655"/>
      <c r="T70" s="217">
        <f>IF(D70="","",K13)</f>
        <v>34.603900000000003</v>
      </c>
      <c r="U70" s="161" t="str">
        <f>IF($D70="","",T13)</f>
        <v>Low</v>
      </c>
      <c r="V70" s="150">
        <f>IF($D70="","",V13)</f>
        <v>2</v>
      </c>
      <c r="W70" s="61" t="str">
        <f>IF($D70="","",W13)</f>
        <v>Moderate</v>
      </c>
      <c r="X70" s="150">
        <f>IF($D70="","",X13)</f>
        <v>2</v>
      </c>
      <c r="Y70" s="371"/>
      <c r="Z70" s="349"/>
      <c r="AA70" s="494"/>
      <c r="AB70" s="61" t="str">
        <f>IF($D70="","",AB13)</f>
        <v>Area/compensation not in local strategy/ no local strategy</v>
      </c>
      <c r="AC70" s="162">
        <f>IF($D70="","",AD13)</f>
        <v>1</v>
      </c>
      <c r="AD70" s="217">
        <f>IF(AC70="","",(T70*V70*X70)*AC70/10000)</f>
        <v>1.3841560000000001E-2</v>
      </c>
      <c r="AE70" s="217" t="str">
        <f>IF(AD70="","",IF(AH70&lt;V70,"Not Acceptable","Acceptable"))</f>
        <v>Acceptable</v>
      </c>
      <c r="AF70" s="498">
        <f>IF(D70="","",I70)</f>
        <v>34.603900000000003</v>
      </c>
      <c r="AG70" s="161" t="str">
        <f>IF(D70="","",VLOOKUP(F70,'9. All Habitats + Multipliers'!$C$4:$K$102,5,FALSE))</f>
        <v>Low</v>
      </c>
      <c r="AH70" s="350">
        <f>IF(AG70="","",VLOOKUP(AG70,'11. Lists'!$B$47:$D$49,2,FALSE))</f>
        <v>2</v>
      </c>
      <c r="AI70" s="61" t="str">
        <f>IF(D70="","",J70)</f>
        <v>Good</v>
      </c>
      <c r="AJ70" s="150">
        <f>IF(AI70="","",VLOOKUP(AI70,'11. Lists'!$F$47:$G$51,2,FALSE))</f>
        <v>3</v>
      </c>
      <c r="AK70" s="371"/>
      <c r="AL70" s="349"/>
      <c r="AM70" s="494"/>
      <c r="AN70" s="61" t="str">
        <f>IF(H70="","",H70)</f>
        <v>Area/compensation not in local strategy/ no local strategy</v>
      </c>
      <c r="AO70" s="60" t="str">
        <f>IF(AN70="","",VLOOKUP(AN70,'11. Lists'!$F$36:$H$38,2,FALSE))</f>
        <v>Low Strategic Significance</v>
      </c>
      <c r="AP70" s="150">
        <f>IF(AN70="","",VLOOKUP(AN70,'11. Lists'!$F$36:$H$38,3,FALSE))</f>
        <v>1</v>
      </c>
      <c r="AQ70" s="161">
        <f>IF(D70="","",IF(AX70="Distinctiveness","N/A",VLOOKUP(F70,'10. Condition and Temporal'!$B$6:$L$103,11,FALSE)))</f>
        <v>1</v>
      </c>
      <c r="AR70" s="165">
        <f>IF(AQ70="","",IF(AQ70="N/A","1",VLOOKUP(AQ70,'11. Lists'!$I$47:$K$80,3,FALSE)))</f>
        <v>0.96499999999999997</v>
      </c>
      <c r="AS70" s="510" t="str">
        <f>IF(D70="","",IF(AX70="Condition","N/A",VLOOKUP(F70,'10. Condition and Temporal'!$B$6:$M$106,12,FALSE)))</f>
        <v>N/A</v>
      </c>
      <c r="AT70" s="165" t="str">
        <f>IF(AS70="","",IF(AS70="N/A","1",VLOOKUP(AS70,'11. Lists'!$I$47:$K$80,3,FALSE)))</f>
        <v>1</v>
      </c>
      <c r="AU70" s="161" t="str">
        <f>IF(D70="","",VLOOKUP(F70,'9. All Habitats + Multipliers'!$C$4:$K$102,8,FALSE))</f>
        <v>Low</v>
      </c>
      <c r="AV70" s="162">
        <f>IF(AU70="","",VLOOKUP(AU70,'11. Lists'!$J$35:$K$38,2,FALSE))</f>
        <v>1</v>
      </c>
      <c r="AW70" s="217" t="str">
        <f>IF(D70="","",VLOOKUP(D70,'10. Condition and Temporal'!$B$6:$M$103,4,FALSE))</f>
        <v>Bare ground</v>
      </c>
      <c r="AX70" s="217" t="str">
        <f>IF(F70="","",IF(D70=F70,"Condition","Distinctiveness"))</f>
        <v>Condition</v>
      </c>
      <c r="AY70" s="455" t="str">
        <f>IF(COUNTIF(F70,"*grassland*"),"Grassland",IF(COUNTIF(F70,"*scree*"),"Sparsely vegetated land",C70))</f>
        <v>Urban</v>
      </c>
      <c r="BA70" s="61">
        <v>3</v>
      </c>
      <c r="BB70" s="60" t="str">
        <f>TRIM(MID(SUBSTITUTE($AW$68,$BA$64,REPT(" ",LEN($AW$68))),($BA70-1)*LEN($AW$68)+1,LEN($AW$68)))</f>
        <v/>
      </c>
      <c r="BC70" s="60" t="str">
        <f>TRIM(MID(SUBSTITUTE($AW$69,$BA$64,REPT(" ",LEN($AW$69))),($BA70-1)*LEN($AW$69)+1,LEN($AW$69)))</f>
        <v/>
      </c>
      <c r="BD70" s="60" t="str">
        <f>TRIM(MID(SUBSTITUTE($AW$70,$BA$64,REPT(" ",LEN($AW$70))),($BA70-1)*LEN($AW$70)+1,LEN($AW$70)))</f>
        <v/>
      </c>
      <c r="BE70" s="60" t="str">
        <f>TRIM(MID(SUBSTITUTE($AW$71,$BA$64,REPT(" ",LEN($AW$71))),($BA70-1)*LEN($AW$71)+1,LEN($AW$71)))</f>
        <v/>
      </c>
      <c r="BF70" s="60" t="str">
        <f>TRIM(MID(SUBSTITUTE($AW$72,$BA$64,REPT(" ",LEN($AW$72))),($BA70-1)*LEN($AW$72)+1,LEN($AW$72)))</f>
        <v/>
      </c>
      <c r="BG70" s="60" t="str">
        <f>TRIM(MID(SUBSTITUTE($AW$73,$BA$64,REPT(" ",LEN($AW$73))),($BA70-1)*LEN($AW$73)+1,LEN($AW$73)))</f>
        <v/>
      </c>
      <c r="BH70" s="60" t="str">
        <f>TRIM(MID(SUBSTITUTE($AW$74,$BA$64,REPT(" ",LEN($AW$74))),($BA70-1)*LEN($AW$74)+1,LEN($AW$74)))</f>
        <v/>
      </c>
      <c r="BI70" s="60" t="str">
        <f>TRIM(MID(SUBSTITUTE($AW$75,$BA$64,REPT(" ",LEN($AW$75))),($BA70-1)*LEN($AW$75)+1,LEN($AW$75)))</f>
        <v/>
      </c>
      <c r="BJ70" s="60" t="str">
        <f>TRIM(MID(SUBSTITUTE($AW$76,$BA$64,REPT(" ",LEN($AW$76))),($BA70-1)*LEN($AW$76)+1,LEN($AW$76)))</f>
        <v/>
      </c>
      <c r="BK70" s="60" t="str">
        <f>TRIM(MID(SUBSTITUTE($AW$77,$BA$64,REPT(" ",LEN($AW$77))),($BA70-1)*LEN($AW$77)+1,LEN($AW$77)))</f>
        <v/>
      </c>
      <c r="BL70" s="60" t="str">
        <f>TRIM(MID(SUBSTITUTE($AW$78,$BA$64,REPT(" ",LEN($AW$78))),($BA70-1)*LEN($AW$78)+1,LEN($AW$78)))</f>
        <v/>
      </c>
      <c r="BM70" s="60" t="str">
        <f>TRIM(MID(SUBSTITUTE($AW$79,$BA$64,REPT(" ",LEN($AW$79))),($BA70-1)*LEN($AW$79)+1,LEN($AW$79)))</f>
        <v/>
      </c>
      <c r="BN70" s="60" t="str">
        <f>TRIM(MID(SUBSTITUTE($AW$80,$BA$64,REPT(" ",LEN($AW$80))),($BA70-1)*LEN($AW$80)+1,LEN($AW$80)))</f>
        <v/>
      </c>
      <c r="BO70" s="60" t="str">
        <f>TRIM(MID(SUBSTITUTE($AW$81,$BA$64,REPT(" ",LEN($AW$81))),($BA70-1)*LEN($AW$81)+1,LEN($AW$81)))</f>
        <v/>
      </c>
      <c r="BP70" s="60" t="str">
        <f>TRIM(MID(SUBSTITUTE($AW$82,$BA$64,REPT(" ",LEN($AW$82))),($BA70-1)*LEN($AW$82)+1,LEN($AW$82)))</f>
        <v/>
      </c>
      <c r="BQ70" s="60" t="str">
        <f>TRIM(MID(SUBSTITUTE($AW$83,$BA$64,REPT(" ",LEN($AW$83))),($BA70-1)*LEN($AW$83)+1,LEN($AW$83)))</f>
        <v/>
      </c>
      <c r="BR70" s="60" t="str">
        <f>TRIM(MID(SUBSTITUTE($AW$84,$BA$64,REPT(" ",LEN($AW$84))),($BA70-1)*LEN($AW$84)+1,LEN($AW$84)))</f>
        <v/>
      </c>
      <c r="BS70" s="60" t="str">
        <f>TRIM(MID(SUBSTITUTE($AW$85,$BA$64,REPT(" ",LEN($AW$85))),($BA70-1)*LEN($AW$85)+1,LEN($AW$85)))</f>
        <v/>
      </c>
      <c r="BT70" s="60" t="str">
        <f>TRIM(MID(SUBSTITUTE($AW$86,$BA$64,REPT(" ",LEN($AW$86))),($BA70-1)*LEN($AW$86)+1,LEN($AW$86)))</f>
        <v/>
      </c>
      <c r="BU70" s="150" t="str">
        <f>TRIM(MID(SUBSTITUTE($AW$87,$BA$64,REPT(" ",LEN($AW$87))),($BA70-1)*LEN($AW$87)+1,LEN($AW$87)))</f>
        <v/>
      </c>
      <c r="BV70" s="224" t="str">
        <f>IF(BX70=0,"",CONCATENATE(BW70,"68:",BW70,BX70+67))</f>
        <v>BD68:BD68</v>
      </c>
      <c r="BW70" s="60" t="s">
        <v>191</v>
      </c>
      <c r="BX70" s="60">
        <f>BD66</f>
        <v>1</v>
      </c>
    </row>
    <row r="71" spans="1:76" s="99" customFormat="1" ht="15.6" customHeight="1">
      <c r="A71" s="149"/>
      <c r="B71" s="285">
        <v>4</v>
      </c>
      <c r="C71" s="166" t="str">
        <f>IF(D71="","",C14)</f>
        <v/>
      </c>
      <c r="D71" s="237" t="str">
        <f>IF(OR(K14=0, K14=""),"",D14)</f>
        <v/>
      </c>
      <c r="E71" s="207" t="str">
        <f>IF(AX71="","",AX71)</f>
        <v/>
      </c>
      <c r="F71" s="739"/>
      <c r="G71" s="740"/>
      <c r="H71" s="204" t="str">
        <f>IF(D71="","",AB71)</f>
        <v/>
      </c>
      <c r="I71" s="334" t="str">
        <f>IF(OR(K14="", K14=0),"",K14)</f>
        <v/>
      </c>
      <c r="J71" s="741" t="str">
        <f>IFERROR(IF(F71="","",VLOOKUP(F71,'10. Condition and Temporal'!$B$6:$F$103,5,FALSE)), "Error ▲")</f>
        <v/>
      </c>
      <c r="K71" s="742"/>
      <c r="L71" s="304" t="str">
        <f>IFERROR(IF(D71="","",IF(AX71="Distinctiveness",(((((I71*AH71*AJ71)-(I71*V71*X71))*(AV71*AT71))+(I71*V71*X71))*(AP71))/10000,((((I71*AJ71*AH71)-(I71*V71*X71))*(AV71*AR71))+(I71*V71*X71))*AP71/10000)),"Error ▲")</f>
        <v/>
      </c>
      <c r="M71" s="743" t="str">
        <f>IFERROR(IF(F71="","",L71-AD71), "Error ▲")</f>
        <v/>
      </c>
      <c r="N71" s="744"/>
      <c r="O71" s="135"/>
      <c r="P71" s="87"/>
      <c r="R71" s="655"/>
      <c r="T71" s="217" t="str">
        <f>IF(D71="","",K14)</f>
        <v/>
      </c>
      <c r="U71" s="161" t="str">
        <f>IF($D71="","",T14)</f>
        <v/>
      </c>
      <c r="V71" s="150" t="str">
        <f>IF($D71="","",V14)</f>
        <v/>
      </c>
      <c r="W71" s="61" t="str">
        <f>IF($D71="","",W14)</f>
        <v/>
      </c>
      <c r="X71" s="150" t="str">
        <f>IF($D71="","",X14)</f>
        <v/>
      </c>
      <c r="Y71" s="371"/>
      <c r="Z71" s="349"/>
      <c r="AA71" s="494"/>
      <c r="AB71" s="61" t="str">
        <f>IF($D71="","",AB14)</f>
        <v/>
      </c>
      <c r="AC71" s="162" t="str">
        <f>IF($D71="","",AD14)</f>
        <v/>
      </c>
      <c r="AD71" s="217" t="str">
        <f>IF(AC71="","",(T71*V71*X71)*AC71/10000)</f>
        <v/>
      </c>
      <c r="AE71" s="217" t="str">
        <f>IF(AD71="","",IF(AH71&lt;V71,"Not Acceptable","Acceptable"))</f>
        <v/>
      </c>
      <c r="AF71" s="498" t="str">
        <f>IF(D71="","",I71)</f>
        <v/>
      </c>
      <c r="AG71" s="161" t="str">
        <f>IF(D71="","",VLOOKUP(F71,'9. All Habitats + Multipliers'!$C$4:$K$102,5,FALSE))</f>
        <v/>
      </c>
      <c r="AH71" s="350" t="str">
        <f>IF(AG71="","",VLOOKUP(AG71,'11. Lists'!$B$47:$D$49,2,FALSE))</f>
        <v/>
      </c>
      <c r="AI71" s="61" t="str">
        <f>IF(D71="","",J71)</f>
        <v/>
      </c>
      <c r="AJ71" s="150" t="str">
        <f>IF(AI71="","",VLOOKUP(AI71,'11. Lists'!$F$47:$G$51,2,FALSE))</f>
        <v/>
      </c>
      <c r="AK71" s="371"/>
      <c r="AL71" s="349"/>
      <c r="AM71" s="494"/>
      <c r="AN71" s="61" t="str">
        <f>IF(H71="","",H71)</f>
        <v/>
      </c>
      <c r="AO71" s="60" t="str">
        <f>IF(AN71="","",VLOOKUP(AN71,'11. Lists'!$F$36:$H$38,2,FALSE))</f>
        <v/>
      </c>
      <c r="AP71" s="150" t="str">
        <f>IF(AN71="","",VLOOKUP(AN71,'11. Lists'!$F$36:$H$38,3,FALSE))</f>
        <v/>
      </c>
      <c r="AQ71" s="161" t="str">
        <f>IF(D71="","",IF(AX71="Distinctiveness","N/A",VLOOKUP(F71,'10. Condition and Temporal'!$B$6:$L$103,11,FALSE)))</f>
        <v/>
      </c>
      <c r="AR71" s="165" t="str">
        <f>IF(AQ71="","",IF(AQ71="N/A","1",VLOOKUP(AQ71,'11. Lists'!$I$47:$K$80,3,FALSE)))</f>
        <v/>
      </c>
      <c r="AS71" s="510" t="str">
        <f>IF(D71="","",IF(AX71="Condition","N/A",VLOOKUP(F71,'10. Condition and Temporal'!$B$6:$M$106,12,FALSE)))</f>
        <v/>
      </c>
      <c r="AT71" s="165" t="str">
        <f>IF(AS71="","",IF(AS71="N/A","1",VLOOKUP(AS71,'11. Lists'!$I$47:$K$80,3,FALSE)))</f>
        <v/>
      </c>
      <c r="AU71" s="161" t="str">
        <f>IF(D71="","",VLOOKUP(F71,'9. All Habitats + Multipliers'!$C$4:$K$102,8,FALSE))</f>
        <v/>
      </c>
      <c r="AV71" s="162" t="str">
        <f>IF(AU71="","",VLOOKUP(AU71,'11. Lists'!$J$35:$K$38,2,FALSE))</f>
        <v/>
      </c>
      <c r="AW71" s="217" t="str">
        <f>IF(D71="","",VLOOKUP(D71,'10. Condition and Temporal'!$B$6:$M$103,4,FALSE))</f>
        <v/>
      </c>
      <c r="AX71" s="217" t="str">
        <f>IF(F71="","",IF(D71=F71,"Condition","Distinctiveness"))</f>
        <v/>
      </c>
      <c r="AY71" s="455" t="str">
        <f>IF(COUNTIF(F71,"*grassland*"),"Grassland",IF(COUNTIF(F71,"*scree*"),"Sparsely vegetated land",C71))</f>
        <v/>
      </c>
      <c r="BA71" s="61">
        <v>4</v>
      </c>
      <c r="BB71" s="60" t="str">
        <f>TRIM(MID(SUBSTITUTE($AW$68,$BA$64,REPT(" ",LEN($AW$68))),($BA71-1)*LEN($AW$68)+1,LEN($AW$68)))</f>
        <v/>
      </c>
      <c r="BC71" s="60" t="str">
        <f>TRIM(MID(SUBSTITUTE($AW$69,$BA$64,REPT(" ",LEN($AW$69))),($BA71-1)*LEN($AW$69)+1,LEN($AW$69)))</f>
        <v/>
      </c>
      <c r="BD71" s="60" t="str">
        <f>TRIM(MID(SUBSTITUTE($AW$70,$BA$64,REPT(" ",LEN($AW$70))),($BA71-1)*LEN($AW$70)+1,LEN($AW$70)))</f>
        <v/>
      </c>
      <c r="BE71" s="60" t="str">
        <f>TRIM(MID(SUBSTITUTE($AW$71,$BA$64,REPT(" ",LEN($AW$71))),($BA71-1)*LEN($AW$71)+1,LEN($AW$71)))</f>
        <v/>
      </c>
      <c r="BF71" s="60" t="str">
        <f>TRIM(MID(SUBSTITUTE($AW$72,$BA$64,REPT(" ",LEN($AW$72))),($BA71-1)*LEN($AW$72)+1,LEN($AW$72)))</f>
        <v/>
      </c>
      <c r="BG71" s="60" t="str">
        <f>TRIM(MID(SUBSTITUTE($AW$73,$BA$64,REPT(" ",LEN($AW$73))),($BA71-1)*LEN($AW$73)+1,LEN($AW$73)))</f>
        <v/>
      </c>
      <c r="BH71" s="60" t="str">
        <f>TRIM(MID(SUBSTITUTE($AW$74,$BA$64,REPT(" ",LEN($AW$74))),($BA71-1)*LEN($AW$74)+1,LEN($AW$74)))</f>
        <v/>
      </c>
      <c r="BI71" s="60" t="str">
        <f>TRIM(MID(SUBSTITUTE($AW$75,$BA$64,REPT(" ",LEN($AW$75))),($BA71-1)*LEN($AW$75)+1,LEN($AW$75)))</f>
        <v/>
      </c>
      <c r="BJ71" s="60" t="str">
        <f>TRIM(MID(SUBSTITUTE($AW$76,$BA$64,REPT(" ",LEN($AW$76))),($BA71-1)*LEN($AW$76)+1,LEN($AW$76)))</f>
        <v/>
      </c>
      <c r="BK71" s="60" t="str">
        <f>TRIM(MID(SUBSTITUTE($AW$77,$BA$64,REPT(" ",LEN($AW$77))),($BA71-1)*LEN($AW$77)+1,LEN($AW$77)))</f>
        <v/>
      </c>
      <c r="BL71" s="60" t="str">
        <f>TRIM(MID(SUBSTITUTE($AW$78,$BA$64,REPT(" ",LEN($AW$78))),($BA71-1)*LEN($AW$78)+1,LEN($AW$78)))</f>
        <v/>
      </c>
      <c r="BM71" s="60" t="str">
        <f>TRIM(MID(SUBSTITUTE($AW$79,$BA$64,REPT(" ",LEN($AW$79))),($BA71-1)*LEN($AW$79)+1,LEN($AW$79)))</f>
        <v/>
      </c>
      <c r="BN71" s="60" t="str">
        <f>TRIM(MID(SUBSTITUTE($AW$80,$BA$64,REPT(" ",LEN($AW$80))),($BA71-1)*LEN($AW$80)+1,LEN($AW$80)))</f>
        <v/>
      </c>
      <c r="BO71" s="60" t="str">
        <f>TRIM(MID(SUBSTITUTE($AW$81,$BA$64,REPT(" ",LEN($AW$81))),($BA71-1)*LEN($AW$81)+1,LEN($AW$81)))</f>
        <v/>
      </c>
      <c r="BP71" s="60" t="str">
        <f>TRIM(MID(SUBSTITUTE($AW$82,$BA$64,REPT(" ",LEN($AW$82))),($BA71-1)*LEN($AW$82)+1,LEN($AW$82)))</f>
        <v/>
      </c>
      <c r="BQ71" s="60" t="str">
        <f>TRIM(MID(SUBSTITUTE($AW$83,$BA$64,REPT(" ",LEN($AW$83))),($BA71-1)*LEN($AW$83)+1,LEN($AW$83)))</f>
        <v/>
      </c>
      <c r="BR71" s="60" t="str">
        <f>TRIM(MID(SUBSTITUTE($AW$84,$BA$64,REPT(" ",LEN($AW$84))),($BA71-1)*LEN($AW$84)+1,LEN($AW$84)))</f>
        <v/>
      </c>
      <c r="BS71" s="60" t="str">
        <f>TRIM(MID(SUBSTITUTE($AW$85,$BA$64,REPT(" ",LEN($AW$85))),($BA71-1)*LEN($AW$85)+1,LEN($AW$85)))</f>
        <v/>
      </c>
      <c r="BT71" s="60" t="str">
        <f>TRIM(MID(SUBSTITUTE($AW$86,$BA$64,REPT(" ",LEN($AW$86))),($BA71-1)*LEN($AW$86)+1,LEN($AW$86)))</f>
        <v/>
      </c>
      <c r="BU71" s="150" t="str">
        <f>TRIM(MID(SUBSTITUTE($AW$87,$BA$64,REPT(" ",LEN($AW$87))),($BA71-1)*LEN($AW$87)+1,LEN($AW$87)))</f>
        <v/>
      </c>
      <c r="BV71" s="224" t="str">
        <f>IF(BX71=0,"",CONCATENATE(BW71,"68:",BW71,BX71+67))</f>
        <v/>
      </c>
      <c r="BW71" s="60" t="s">
        <v>192</v>
      </c>
      <c r="BX71" s="60">
        <f>BE66</f>
        <v>0</v>
      </c>
    </row>
    <row r="72" spans="1:76" s="99" customFormat="1" ht="15.6" customHeight="1">
      <c r="A72" s="149"/>
      <c r="B72" s="285">
        <v>5</v>
      </c>
      <c r="C72" s="166" t="str">
        <f>IF(D72="","",C15)</f>
        <v/>
      </c>
      <c r="D72" s="237" t="str">
        <f>IF(OR(K15=0, K15=""),"",D15)</f>
        <v/>
      </c>
      <c r="E72" s="207" t="str">
        <f>IF(AX72="","",AX72)</f>
        <v/>
      </c>
      <c r="F72" s="739"/>
      <c r="G72" s="740"/>
      <c r="H72" s="204" t="str">
        <f>IF(D72="","",AB72)</f>
        <v/>
      </c>
      <c r="I72" s="334" t="str">
        <f>IF(OR(K15="", K15=0),"",K15)</f>
        <v/>
      </c>
      <c r="J72" s="741" t="str">
        <f>IFERROR(IF(F72="","",VLOOKUP(F72,'10. Condition and Temporal'!$B$6:$F$103,5,FALSE)), "Error ▲")</f>
        <v/>
      </c>
      <c r="K72" s="742"/>
      <c r="L72" s="304" t="str">
        <f>IFERROR(IF(D72="","",IF(AX72="Distinctiveness",(((((I72*AH72*AJ72)-(I72*V72*X72))*(AV72*AT72))+(I72*V72*X72))*(AP72))/10000,((((I72*AJ72*AH72)-(I72*V72*X72))*(AV72*AR72))+(I72*V72*X72))*AP72/10000)),"Error ▲")</f>
        <v/>
      </c>
      <c r="M72" s="743" t="str">
        <f>IFERROR(IF(F72="","",L72-AD72), "Error ▲")</f>
        <v/>
      </c>
      <c r="N72" s="744"/>
      <c r="O72" s="135"/>
      <c r="P72" s="87"/>
      <c r="R72" s="655"/>
      <c r="T72" s="217" t="str">
        <f>IF(D72="","",K15)</f>
        <v/>
      </c>
      <c r="U72" s="161" t="str">
        <f>IF($D72="","",T15)</f>
        <v/>
      </c>
      <c r="V72" s="150" t="str">
        <f>IF($D72="","",V15)</f>
        <v/>
      </c>
      <c r="W72" s="61" t="str">
        <f>IF($D72="","",W15)</f>
        <v/>
      </c>
      <c r="X72" s="150" t="str">
        <f>IF($D72="","",X15)</f>
        <v/>
      </c>
      <c r="Y72" s="371"/>
      <c r="Z72" s="349"/>
      <c r="AA72" s="494"/>
      <c r="AB72" s="61" t="str">
        <f>IF($D72="","",AB15)</f>
        <v/>
      </c>
      <c r="AC72" s="162" t="str">
        <f>IF($D72="","",AD15)</f>
        <v/>
      </c>
      <c r="AD72" s="217" t="str">
        <f>IF(AC72="","",(T72*V72*X72)*AC72/10000)</f>
        <v/>
      </c>
      <c r="AE72" s="217" t="str">
        <f>IF(AD72="","",IF(AH72&lt;V72,"Not Acceptable","Acceptable"))</f>
        <v/>
      </c>
      <c r="AF72" s="498" t="str">
        <f>IF(D72="","",I72)</f>
        <v/>
      </c>
      <c r="AG72" s="161" t="str">
        <f>IF(D72="","",VLOOKUP(F72,'9. All Habitats + Multipliers'!$C$4:$K$102,5,FALSE))</f>
        <v/>
      </c>
      <c r="AH72" s="350" t="str">
        <f>IF(AG72="","",VLOOKUP(AG72,'11. Lists'!$B$47:$D$49,2,FALSE))</f>
        <v/>
      </c>
      <c r="AI72" s="61" t="str">
        <f>IF(D72="","",J72)</f>
        <v/>
      </c>
      <c r="AJ72" s="150" t="str">
        <f>IF(AI72="","",VLOOKUP(AI72,'11. Lists'!$F$47:$G$51,2,FALSE))</f>
        <v/>
      </c>
      <c r="AK72" s="371"/>
      <c r="AL72" s="349"/>
      <c r="AM72" s="494"/>
      <c r="AN72" s="61" t="str">
        <f>IF(H72="","",H72)</f>
        <v/>
      </c>
      <c r="AO72" s="60" t="str">
        <f>IF(AN72="","",VLOOKUP(AN72,'11. Lists'!$F$36:$H$38,2,FALSE))</f>
        <v/>
      </c>
      <c r="AP72" s="150" t="str">
        <f>IF(AN72="","",VLOOKUP(AN72,'11. Lists'!$F$36:$H$38,3,FALSE))</f>
        <v/>
      </c>
      <c r="AQ72" s="161" t="str">
        <f>IF(D72="","",IF(AX72="Distinctiveness","N/A",VLOOKUP(F72,'10. Condition and Temporal'!$B$6:$L$103,11,FALSE)))</f>
        <v/>
      </c>
      <c r="AR72" s="165" t="str">
        <f>IF(AQ72="","",IF(AQ72="N/A","1",VLOOKUP(AQ72,'11. Lists'!$I$47:$K$80,3,FALSE)))</f>
        <v/>
      </c>
      <c r="AS72" s="510" t="str">
        <f>IF(D72="","",IF(AX72="Condition","N/A",VLOOKUP(F72,'10. Condition and Temporal'!$B$6:$M$106,12,FALSE)))</f>
        <v/>
      </c>
      <c r="AT72" s="165" t="str">
        <f>IF(AS72="","",IF(AS72="N/A","1",VLOOKUP(AS72,'11. Lists'!$I$47:$K$80,3,FALSE)))</f>
        <v/>
      </c>
      <c r="AU72" s="161" t="str">
        <f>IF(D72="","",VLOOKUP(F72,'9. All Habitats + Multipliers'!$C$4:$K$102,8,FALSE))</f>
        <v/>
      </c>
      <c r="AV72" s="162" t="str">
        <f>IF(AU72="","",VLOOKUP(AU72,'11. Lists'!$J$35:$K$38,2,FALSE))</f>
        <v/>
      </c>
      <c r="AW72" s="217" t="str">
        <f>IF(D72="","",VLOOKUP(D72,'10. Condition and Temporal'!$B$6:$M$103,4,FALSE))</f>
        <v/>
      </c>
      <c r="AX72" s="217" t="str">
        <f>IF(F72="","",IF(D72=F72,"Condition","Distinctiveness"))</f>
        <v/>
      </c>
      <c r="AY72" s="455" t="str">
        <f>IF(COUNTIF(F72,"*grassland*"),"Grassland",IF(COUNTIF(F72,"*scree*"),"Sparsely vegetated land",C72))</f>
        <v/>
      </c>
      <c r="BA72" s="61">
        <v>5</v>
      </c>
      <c r="BB72" s="60" t="str">
        <f>TRIM(MID(SUBSTITUTE($AW$68,$BA$64,REPT(" ",LEN($AW$68))),($BA72-1)*LEN($AW$68)+1,LEN($AW$68)))</f>
        <v/>
      </c>
      <c r="BC72" s="60" t="str">
        <f>TRIM(MID(SUBSTITUTE($AW$69,$BA$64,REPT(" ",LEN($AW$69))),($BA72-1)*LEN($AW$69)+1,LEN($AW$69)))</f>
        <v/>
      </c>
      <c r="BD72" s="60" t="str">
        <f>TRIM(MID(SUBSTITUTE($AW$70,$BA$64,REPT(" ",LEN($AW$70))),($BA72-1)*LEN($AW$70)+1,LEN($AW$70)))</f>
        <v/>
      </c>
      <c r="BE72" s="60" t="str">
        <f>TRIM(MID(SUBSTITUTE($AW$71,$BA$64,REPT(" ",LEN($AW$71))),($BA72-1)*LEN($AW$71)+1,LEN($AW$71)))</f>
        <v/>
      </c>
      <c r="BF72" s="60" t="str">
        <f>TRIM(MID(SUBSTITUTE($AW$72,$BA$64,REPT(" ",LEN($AW$72))),($BA72-1)*LEN($AW$72)+1,LEN($AW$72)))</f>
        <v/>
      </c>
      <c r="BG72" s="60" t="str">
        <f>TRIM(MID(SUBSTITUTE($AW$73,$BA$64,REPT(" ",LEN($AW$73))),($BA72-1)*LEN($AW$73)+1,LEN($AW$73)))</f>
        <v/>
      </c>
      <c r="BH72" s="60" t="str">
        <f>TRIM(MID(SUBSTITUTE($AW$74,$BA$64,REPT(" ",LEN($AW$74))),($BA72-1)*LEN($AW$74)+1,LEN($AW$74)))</f>
        <v/>
      </c>
      <c r="BI72" s="60" t="str">
        <f>TRIM(MID(SUBSTITUTE($AW$75,$BA$64,REPT(" ",LEN($AW$75))),($BA72-1)*LEN($AW$75)+1,LEN($AW$75)))</f>
        <v/>
      </c>
      <c r="BJ72" s="60" t="str">
        <f>TRIM(MID(SUBSTITUTE($AW$76,$BA$64,REPT(" ",LEN($AW$76))),($BA72-1)*LEN($AW$76)+1,LEN($AW$76)))</f>
        <v/>
      </c>
      <c r="BK72" s="60" t="str">
        <f>TRIM(MID(SUBSTITUTE($AW$77,$BA$64,REPT(" ",LEN($AW$77))),($BA72-1)*LEN($AW$77)+1,LEN($AW$77)))</f>
        <v/>
      </c>
      <c r="BL72" s="60" t="str">
        <f>TRIM(MID(SUBSTITUTE($AW$78,$BA$64,REPT(" ",LEN($AW$78))),($BA72-1)*LEN($AW$78)+1,LEN($AW$78)))</f>
        <v/>
      </c>
      <c r="BM72" s="60" t="str">
        <f>TRIM(MID(SUBSTITUTE($AW$79,$BA$64,REPT(" ",LEN($AW$79))),($BA72-1)*LEN($AW$79)+1,LEN($AW$79)))</f>
        <v/>
      </c>
      <c r="BN72" s="60" t="str">
        <f>TRIM(MID(SUBSTITUTE($AW$80,$BA$64,REPT(" ",LEN($AW$80))),($BA72-1)*LEN($AW$80)+1,LEN($AW$80)))</f>
        <v/>
      </c>
      <c r="BO72" s="60" t="str">
        <f>TRIM(MID(SUBSTITUTE($AW$81,$BA$64,REPT(" ",LEN($AW$81))),($BA72-1)*LEN($AW$81)+1,LEN($AW$81)))</f>
        <v/>
      </c>
      <c r="BP72" s="60" t="str">
        <f>TRIM(MID(SUBSTITUTE($AW$82,$BA$64,REPT(" ",LEN($AW$82))),($BA72-1)*LEN($AW$82)+1,LEN($AW$82)))</f>
        <v/>
      </c>
      <c r="BQ72" s="60" t="str">
        <f>TRIM(MID(SUBSTITUTE($AW$83,$BA$64,REPT(" ",LEN($AW$83))),($BA72-1)*LEN($AW$83)+1,LEN($AW$83)))</f>
        <v/>
      </c>
      <c r="BR72" s="60" t="str">
        <f>TRIM(MID(SUBSTITUTE($AW$84,$BA$64,REPT(" ",LEN($AW$84))),($BA72-1)*LEN($AW$84)+1,LEN($AW$84)))</f>
        <v/>
      </c>
      <c r="BS72" s="60" t="str">
        <f>TRIM(MID(SUBSTITUTE($AW$85,$BA$64,REPT(" ",LEN($AW$85))),($BA72-1)*LEN($AW$85)+1,LEN($AW$85)))</f>
        <v/>
      </c>
      <c r="BT72" s="60" t="str">
        <f>TRIM(MID(SUBSTITUTE($AW$86,$BA$64,REPT(" ",LEN($AW$86))),($BA72-1)*LEN($AW$86)+1,LEN($AW$86)))</f>
        <v/>
      </c>
      <c r="BU72" s="150" t="str">
        <f>TRIM(MID(SUBSTITUTE($AW$87,$BA$64,REPT(" ",LEN($AW$87))),($BA72-1)*LEN($AW$87)+1,LEN($AW$87)))</f>
        <v/>
      </c>
      <c r="BV72" s="224" t="str">
        <f>IF(BX72=0,"",CONCATENATE(BW72,"68:",BW72,BX72+67))</f>
        <v/>
      </c>
      <c r="BW72" s="60" t="s">
        <v>193</v>
      </c>
      <c r="BX72" s="60">
        <f>BF66</f>
        <v>0</v>
      </c>
    </row>
    <row r="73" spans="1:76" s="99" customFormat="1" ht="15.6" customHeight="1">
      <c r="A73" s="149"/>
      <c r="B73" s="285">
        <v>6</v>
      </c>
      <c r="C73" s="166" t="str">
        <f>IF(D73="","",C16)</f>
        <v/>
      </c>
      <c r="D73" s="237" t="str">
        <f>IF(OR(K16=0, K16=""),"",D16)</f>
        <v/>
      </c>
      <c r="E73" s="207" t="str">
        <f>IF(AX73="","",AX73)</f>
        <v/>
      </c>
      <c r="F73" s="739"/>
      <c r="G73" s="740"/>
      <c r="H73" s="204" t="str">
        <f>IF(D73="","",AB73)</f>
        <v/>
      </c>
      <c r="I73" s="334" t="str">
        <f>IF(OR(K16="", K16=0),"",K16)</f>
        <v/>
      </c>
      <c r="J73" s="741" t="str">
        <f>IFERROR(IF(F73="","",VLOOKUP(F73,'10. Condition and Temporal'!$B$6:$F$103,5,FALSE)), "Error ▲")</f>
        <v/>
      </c>
      <c r="K73" s="742"/>
      <c r="L73" s="304" t="str">
        <f>IFERROR(IF(D73="","",IF(AX73="Distinctiveness",(((((I73*AH73*AJ73)-(I73*V73*X73))*(AV73*AT73))+(I73*V73*X73))*(AP73))/10000,((((I73*AJ73*AH73)-(I73*V73*X73))*(AV73*AR73))+(I73*V73*X73))*AP73/10000)),"Error ▲")</f>
        <v/>
      </c>
      <c r="M73" s="743" t="str">
        <f>IFERROR(IF(F73="","",L73-AD73), "Error ▲")</f>
        <v/>
      </c>
      <c r="N73" s="744"/>
      <c r="O73" s="135"/>
      <c r="P73" s="87"/>
      <c r="R73" s="655"/>
      <c r="T73" s="217" t="str">
        <f>IF(D73="","",K16)</f>
        <v/>
      </c>
      <c r="U73" s="161" t="str">
        <f>IF($D73="","",T16)</f>
        <v/>
      </c>
      <c r="V73" s="150" t="str">
        <f>IF($D73="","",V16)</f>
        <v/>
      </c>
      <c r="W73" s="61" t="str">
        <f>IF($D73="","",W16)</f>
        <v/>
      </c>
      <c r="X73" s="150" t="str">
        <f>IF($D73="","",X16)</f>
        <v/>
      </c>
      <c r="Y73" s="371"/>
      <c r="Z73" s="349"/>
      <c r="AA73" s="494"/>
      <c r="AB73" s="61" t="str">
        <f>IF($D73="","",AB16)</f>
        <v/>
      </c>
      <c r="AC73" s="162" t="str">
        <f>IF($D73="","",AD16)</f>
        <v/>
      </c>
      <c r="AD73" s="217" t="str">
        <f>IF(AC73="","",(T73*V73*X73)*AC73/10000)</f>
        <v/>
      </c>
      <c r="AE73" s="217" t="str">
        <f>IF(AD73="","",IF(AH73&lt;V73,"Not Acceptable","Acceptable"))</f>
        <v/>
      </c>
      <c r="AF73" s="498" t="str">
        <f>IF(D73="","",I73)</f>
        <v/>
      </c>
      <c r="AG73" s="161" t="str">
        <f>IF(D73="","",VLOOKUP(F73,'9. All Habitats + Multipliers'!$C$4:$K$102,5,FALSE))</f>
        <v/>
      </c>
      <c r="AH73" s="350" t="str">
        <f>IF(AG73="","",VLOOKUP(AG73,'11. Lists'!$B$47:$D$49,2,FALSE))</f>
        <v/>
      </c>
      <c r="AI73" s="61" t="str">
        <f>IF(D73="","",J73)</f>
        <v/>
      </c>
      <c r="AJ73" s="150" t="str">
        <f>IF(AI73="","",VLOOKUP(AI73,'11. Lists'!$F$47:$G$51,2,FALSE))</f>
        <v/>
      </c>
      <c r="AK73" s="371"/>
      <c r="AL73" s="349"/>
      <c r="AM73" s="494"/>
      <c r="AN73" s="61" t="str">
        <f>IF(H73="","",H73)</f>
        <v/>
      </c>
      <c r="AO73" s="60" t="str">
        <f>IF(AN73="","",VLOOKUP(AN73,'11. Lists'!$F$36:$H$38,2,FALSE))</f>
        <v/>
      </c>
      <c r="AP73" s="150" t="str">
        <f>IF(AN73="","",VLOOKUP(AN73,'11. Lists'!$F$36:$H$38,3,FALSE))</f>
        <v/>
      </c>
      <c r="AQ73" s="161" t="str">
        <f>IF(D73="","",IF(AX73="Distinctiveness","N/A",VLOOKUP(F73,'10. Condition and Temporal'!$B$6:$L$103,11,FALSE)))</f>
        <v/>
      </c>
      <c r="AR73" s="165" t="str">
        <f>IF(AQ73="","",IF(AQ73="N/A","1",VLOOKUP(AQ73,'11. Lists'!$I$47:$K$80,3,FALSE)))</f>
        <v/>
      </c>
      <c r="AS73" s="510" t="str">
        <f>IF(D73="","",IF(AX73="Condition","N/A",VLOOKUP(F73,'10. Condition and Temporal'!$B$6:$M$106,12,FALSE)))</f>
        <v/>
      </c>
      <c r="AT73" s="165" t="str">
        <f>IF(AS73="","",IF(AS73="N/A","1",VLOOKUP(AS73,'11. Lists'!$I$47:$K$80,3,FALSE)))</f>
        <v/>
      </c>
      <c r="AU73" s="161" t="str">
        <f>IF(D73="","",VLOOKUP(F73,'9. All Habitats + Multipliers'!$C$4:$K$102,8,FALSE))</f>
        <v/>
      </c>
      <c r="AV73" s="162" t="str">
        <f>IF(AU73="","",VLOOKUP(AU73,'11. Lists'!$J$35:$K$38,2,FALSE))</f>
        <v/>
      </c>
      <c r="AW73" s="217" t="str">
        <f>IF(D73="","",VLOOKUP(D73,'10. Condition and Temporal'!$B$6:$M$103,4,FALSE))</f>
        <v/>
      </c>
      <c r="AX73" s="217" t="str">
        <f>IF(F73="","",IF(D73=F73,"Condition","Distinctiveness"))</f>
        <v/>
      </c>
      <c r="AY73" s="455" t="str">
        <f>IF(COUNTIF(F73,"*grassland*"),"Grassland",IF(COUNTIF(F73,"*scree*"),"Sparsely vegetated land",C73))</f>
        <v/>
      </c>
      <c r="BA73" s="61">
        <v>6</v>
      </c>
      <c r="BB73" s="60" t="str">
        <f>TRIM(MID(SUBSTITUTE($AW$68,$BA$64,REPT(" ",LEN($AW$68))),($BA73-1)*LEN($AW$68)+1,LEN($AW$68)))</f>
        <v/>
      </c>
      <c r="BC73" s="60" t="str">
        <f>TRIM(MID(SUBSTITUTE($AW$69,$BA$64,REPT(" ",LEN($AW$69))),($BA73-1)*LEN($AW$69)+1,LEN($AW$69)))</f>
        <v/>
      </c>
      <c r="BD73" s="60" t="str">
        <f>TRIM(MID(SUBSTITUTE($AW$70,$BA$64,REPT(" ",LEN($AW$70))),($BA73-1)*LEN($AW$70)+1,LEN($AW$70)))</f>
        <v/>
      </c>
      <c r="BE73" s="60" t="str">
        <f>TRIM(MID(SUBSTITUTE($AW$71,$BA$64,REPT(" ",LEN($AW$71))),($BA73-1)*LEN($AW$71)+1,LEN($AW$71)))</f>
        <v/>
      </c>
      <c r="BF73" s="60" t="str">
        <f>TRIM(MID(SUBSTITUTE($AW$72,$BA$64,REPT(" ",LEN($AW$72))),($BA73-1)*LEN($AW$72)+1,LEN($AW$72)))</f>
        <v/>
      </c>
      <c r="BG73" s="60" t="str">
        <f>TRIM(MID(SUBSTITUTE($AW$73,$BA$64,REPT(" ",LEN($AW$73))),($BA73-1)*LEN($AW$73)+1,LEN($AW$73)))</f>
        <v/>
      </c>
      <c r="BH73" s="60" t="str">
        <f>TRIM(MID(SUBSTITUTE($AW$74,$BA$64,REPT(" ",LEN($AW$74))),($BA73-1)*LEN($AW$74)+1,LEN($AW$74)))</f>
        <v/>
      </c>
      <c r="BI73" s="60" t="str">
        <f>TRIM(MID(SUBSTITUTE($AW$75,$BA$64,REPT(" ",LEN($AW$75))),($BA73-1)*LEN($AW$75)+1,LEN($AW$75)))</f>
        <v/>
      </c>
      <c r="BJ73" s="60" t="str">
        <f>TRIM(MID(SUBSTITUTE($AW$76,$BA$64,REPT(" ",LEN($AW$76))),($BA73-1)*LEN($AW$76)+1,LEN($AW$76)))</f>
        <v/>
      </c>
      <c r="BK73" s="60" t="str">
        <f>TRIM(MID(SUBSTITUTE($AW$77,$BA$64,REPT(" ",LEN($AW$77))),($BA73-1)*LEN($AW$77)+1,LEN($AW$77)))</f>
        <v/>
      </c>
      <c r="BL73" s="60" t="str">
        <f>TRIM(MID(SUBSTITUTE($AW$78,$BA$64,REPT(" ",LEN($AW$78))),($BA73-1)*LEN($AW$78)+1,LEN($AW$78)))</f>
        <v/>
      </c>
      <c r="BM73" s="60" t="str">
        <f>TRIM(MID(SUBSTITUTE($AW$79,$BA$64,REPT(" ",LEN($AW$79))),($BA73-1)*LEN($AW$79)+1,LEN($AW$79)))</f>
        <v/>
      </c>
      <c r="BN73" s="60" t="str">
        <f>TRIM(MID(SUBSTITUTE($AW$80,$BA$64,REPT(" ",LEN($AW$80))),($BA73-1)*LEN($AW$80)+1,LEN($AW$80)))</f>
        <v/>
      </c>
      <c r="BO73" s="60" t="str">
        <f>TRIM(MID(SUBSTITUTE($AW$81,$BA$64,REPT(" ",LEN($AW$81))),($BA73-1)*LEN($AW$81)+1,LEN($AW$81)))</f>
        <v/>
      </c>
      <c r="BP73" s="60" t="str">
        <f>TRIM(MID(SUBSTITUTE($AW$82,$BA$64,REPT(" ",LEN($AW$82))),($BA73-1)*LEN($AW$82)+1,LEN($AW$82)))</f>
        <v/>
      </c>
      <c r="BQ73" s="60" t="str">
        <f>TRIM(MID(SUBSTITUTE($AW$83,$BA$64,REPT(" ",LEN($AW$83))),($BA73-1)*LEN($AW$83)+1,LEN($AW$83)))</f>
        <v/>
      </c>
      <c r="BR73" s="60" t="str">
        <f>TRIM(MID(SUBSTITUTE($AW$84,$BA$64,REPT(" ",LEN($AW$84))),($BA73-1)*LEN($AW$84)+1,LEN($AW$84)))</f>
        <v/>
      </c>
      <c r="BS73" s="60" t="str">
        <f>TRIM(MID(SUBSTITUTE($AW$85,$BA$64,REPT(" ",LEN($AW$85))),($BA73-1)*LEN($AW$85)+1,LEN($AW$85)))</f>
        <v/>
      </c>
      <c r="BT73" s="60" t="str">
        <f>TRIM(MID(SUBSTITUTE($AW$86,$BA$64,REPT(" ",LEN($AW$86))),($BA73-1)*LEN($AW$86)+1,LEN($AW$86)))</f>
        <v/>
      </c>
      <c r="BU73" s="150" t="str">
        <f>TRIM(MID(SUBSTITUTE($AW$87,$BA$64,REPT(" ",LEN($AW$87))),($BA73-1)*LEN($AW$87)+1,LEN($AW$87)))</f>
        <v/>
      </c>
      <c r="BV73" s="224" t="str">
        <f>IF(BX73=0,"",CONCATENATE(BW73,"68:",BW73,BX73+67))</f>
        <v/>
      </c>
      <c r="BW73" s="60" t="s">
        <v>194</v>
      </c>
      <c r="BX73" s="60">
        <f>BG66</f>
        <v>0</v>
      </c>
    </row>
    <row r="74" spans="1:76" s="99" customFormat="1" ht="15.6" customHeight="1">
      <c r="A74" s="149"/>
      <c r="B74" s="285">
        <v>7</v>
      </c>
      <c r="C74" s="166" t="str">
        <f>IF(D74="","",C17)</f>
        <v/>
      </c>
      <c r="D74" s="237" t="str">
        <f>IF(OR(K17=0, K17=""),"",D17)</f>
        <v/>
      </c>
      <c r="E74" s="207" t="str">
        <f>IF(AX74="","",AX74)</f>
        <v/>
      </c>
      <c r="F74" s="739"/>
      <c r="G74" s="740"/>
      <c r="H74" s="204" t="str">
        <f>IF(D74="","",AB74)</f>
        <v/>
      </c>
      <c r="I74" s="334" t="str">
        <f>IF(OR(K17="", K17=0),"",K17)</f>
        <v/>
      </c>
      <c r="J74" s="741" t="str">
        <f>IFERROR(IF(F74="","",VLOOKUP(F74,'10. Condition and Temporal'!$B$6:$F$103,5,FALSE)), "Error ▲")</f>
        <v/>
      </c>
      <c r="K74" s="742"/>
      <c r="L74" s="304" t="str">
        <f>IFERROR(IF(D74="","",IF(AX74="Distinctiveness",(((((I74*AH74*AJ74)-(I74*V74*X74))*(AV74*AT74))+(I74*V74*X74))*(AP74))/10000,((((I74*AJ74*AH74)-(I74*V74*X74))*(AV74*AR74))+(I74*V74*X74))*AP74/10000)),"Error ▲")</f>
        <v/>
      </c>
      <c r="M74" s="743" t="str">
        <f>IFERROR(IF(F74="","",L74-AD74), "Error ▲")</f>
        <v/>
      </c>
      <c r="N74" s="744"/>
      <c r="O74" s="135"/>
      <c r="P74" s="87"/>
      <c r="R74" s="655"/>
      <c r="T74" s="217" t="str">
        <f>IF(D74="","",K17)</f>
        <v/>
      </c>
      <c r="U74" s="161" t="str">
        <f>IF($D74="","",T17)</f>
        <v/>
      </c>
      <c r="V74" s="150" t="str">
        <f>IF($D74="","",V17)</f>
        <v/>
      </c>
      <c r="W74" s="61" t="str">
        <f>IF($D74="","",W17)</f>
        <v/>
      </c>
      <c r="X74" s="150" t="str">
        <f>IF($D74="","",X17)</f>
        <v/>
      </c>
      <c r="Y74" s="371"/>
      <c r="Z74" s="349"/>
      <c r="AA74" s="494"/>
      <c r="AB74" s="61" t="str">
        <f>IF($D74="","",AB17)</f>
        <v/>
      </c>
      <c r="AC74" s="162" t="str">
        <f>IF($D74="","",AD17)</f>
        <v/>
      </c>
      <c r="AD74" s="217" t="str">
        <f>IF(AC74="","",(T74*V74*X74)*AC74/10000)</f>
        <v/>
      </c>
      <c r="AE74" s="217" t="str">
        <f>IF(AD74="","",IF(AH74&lt;V74,"Not Acceptable","Acceptable"))</f>
        <v/>
      </c>
      <c r="AF74" s="498" t="str">
        <f>IF(D74="","",I74)</f>
        <v/>
      </c>
      <c r="AG74" s="161" t="str">
        <f>IF(D74="","",VLOOKUP(F74,'9. All Habitats + Multipliers'!$C$4:$K$102,5,FALSE))</f>
        <v/>
      </c>
      <c r="AH74" s="350" t="str">
        <f>IF(AG74="","",VLOOKUP(AG74,'11. Lists'!$B$47:$D$49,2,FALSE))</f>
        <v/>
      </c>
      <c r="AI74" s="61" t="str">
        <f>IF(D74="","",J74)</f>
        <v/>
      </c>
      <c r="AJ74" s="150" t="str">
        <f>IF(AI74="","",VLOOKUP(AI74,'11. Lists'!$F$47:$G$51,2,FALSE))</f>
        <v/>
      </c>
      <c r="AK74" s="371"/>
      <c r="AL74" s="349"/>
      <c r="AM74" s="494"/>
      <c r="AN74" s="61" t="str">
        <f>IF(H74="","",H74)</f>
        <v/>
      </c>
      <c r="AO74" s="60" t="str">
        <f>IF(AN74="","",VLOOKUP(AN74,'11. Lists'!$F$36:$H$38,2,FALSE))</f>
        <v/>
      </c>
      <c r="AP74" s="150" t="str">
        <f>IF(AN74="","",VLOOKUP(AN74,'11. Lists'!$F$36:$H$38,3,FALSE))</f>
        <v/>
      </c>
      <c r="AQ74" s="161" t="str">
        <f>IF(D74="","",IF(AX74="Distinctiveness","N/A",VLOOKUP(F74,'10. Condition and Temporal'!$B$6:$L$103,11,FALSE)))</f>
        <v/>
      </c>
      <c r="AR74" s="165" t="str">
        <f>IF(AQ74="","",IF(AQ74="N/A","1",VLOOKUP(AQ74,'11. Lists'!$I$47:$K$80,3,FALSE)))</f>
        <v/>
      </c>
      <c r="AS74" s="510" t="str">
        <f>IF(D74="","",IF(AX74="Condition","N/A",VLOOKUP(F74,'10. Condition and Temporal'!$B$6:$M$106,12,FALSE)))</f>
        <v/>
      </c>
      <c r="AT74" s="165" t="str">
        <f>IF(AS74="","",IF(AS74="N/A","1",VLOOKUP(AS74,'11. Lists'!$I$47:$K$80,3,FALSE)))</f>
        <v/>
      </c>
      <c r="AU74" s="161" t="str">
        <f>IF(D74="","",VLOOKUP(F74,'9. All Habitats + Multipliers'!$C$4:$K$102,8,FALSE))</f>
        <v/>
      </c>
      <c r="AV74" s="162" t="str">
        <f>IF(AU74="","",VLOOKUP(AU74,'11. Lists'!$J$35:$K$38,2,FALSE))</f>
        <v/>
      </c>
      <c r="AW74" s="217" t="str">
        <f>IF(D74="","",VLOOKUP(D74,'10. Condition and Temporal'!$B$6:$M$103,4,FALSE))</f>
        <v/>
      </c>
      <c r="AX74" s="217" t="str">
        <f>IF(F74="","",IF(D74=F74,"Condition","Distinctiveness"))</f>
        <v/>
      </c>
      <c r="AY74" s="455" t="str">
        <f>IF(COUNTIF(F74,"*grassland*"),"Grassland",IF(COUNTIF(F74,"*scree*"),"Sparsely vegetated land",C74))</f>
        <v/>
      </c>
      <c r="BA74" s="61">
        <v>7</v>
      </c>
      <c r="BB74" s="60" t="str">
        <f>TRIM(MID(SUBSTITUTE($AW$68,$BA$64,REPT(" ",LEN($AW$68))),($BA74-1)*LEN($AW$68)+1,LEN($AW$68)))</f>
        <v/>
      </c>
      <c r="BC74" s="60" t="str">
        <f>TRIM(MID(SUBSTITUTE($AW$69,$BA$64,REPT(" ",LEN($AW$69))),($BA74-1)*LEN($AW$69)+1,LEN($AW$69)))</f>
        <v/>
      </c>
      <c r="BD74" s="60" t="str">
        <f>TRIM(MID(SUBSTITUTE($AW$70,$BA$64,REPT(" ",LEN($AW$70))),($BA74-1)*LEN($AW$70)+1,LEN($AW$70)))</f>
        <v/>
      </c>
      <c r="BE74" s="60" t="str">
        <f>TRIM(MID(SUBSTITUTE($AW$71,$BA$64,REPT(" ",LEN($AW$71))),($BA74-1)*LEN($AW$71)+1,LEN($AW$71)))</f>
        <v/>
      </c>
      <c r="BF74" s="60" t="str">
        <f>TRIM(MID(SUBSTITUTE($AW$72,$BA$64,REPT(" ",LEN($AW$72))),($BA74-1)*LEN($AW$72)+1,LEN($AW$72)))</f>
        <v/>
      </c>
      <c r="BG74" s="60" t="str">
        <f>TRIM(MID(SUBSTITUTE($AW$73,$BA$64,REPT(" ",LEN($AW$73))),($BA74-1)*LEN($AW$73)+1,LEN($AW$73)))</f>
        <v/>
      </c>
      <c r="BH74" s="60" t="str">
        <f>TRIM(MID(SUBSTITUTE($AW$74,$BA$64,REPT(" ",LEN($AW$74))),($BA74-1)*LEN($AW$74)+1,LEN($AW$74)))</f>
        <v/>
      </c>
      <c r="BI74" s="60" t="str">
        <f>TRIM(MID(SUBSTITUTE($AW$75,$BA$64,REPT(" ",LEN($AW$75))),($BA74-1)*LEN($AW$75)+1,LEN($AW$75)))</f>
        <v/>
      </c>
      <c r="BJ74" s="60" t="str">
        <f>TRIM(MID(SUBSTITUTE($AW$76,$BA$64,REPT(" ",LEN($AW$76))),($BA74-1)*LEN($AW$76)+1,LEN($AW$76)))</f>
        <v/>
      </c>
      <c r="BK74" s="60" t="str">
        <f>TRIM(MID(SUBSTITUTE($AW$77,$BA$64,REPT(" ",LEN($AW$77))),($BA74-1)*LEN($AW$77)+1,LEN($AW$77)))</f>
        <v/>
      </c>
      <c r="BL74" s="60" t="str">
        <f>TRIM(MID(SUBSTITUTE($AW$78,$BA$64,REPT(" ",LEN($AW$78))),($BA74-1)*LEN($AW$78)+1,LEN($AW$78)))</f>
        <v/>
      </c>
      <c r="BM74" s="60" t="str">
        <f>TRIM(MID(SUBSTITUTE($AW$79,$BA$64,REPT(" ",LEN($AW$79))),($BA74-1)*LEN($AW$79)+1,LEN($AW$79)))</f>
        <v/>
      </c>
      <c r="BN74" s="60" t="str">
        <f>TRIM(MID(SUBSTITUTE($AW$80,$BA$64,REPT(" ",LEN($AW$80))),($BA74-1)*LEN($AW$80)+1,LEN($AW$80)))</f>
        <v/>
      </c>
      <c r="BO74" s="60" t="str">
        <f>TRIM(MID(SUBSTITUTE($AW$81,$BA$64,REPT(" ",LEN($AW$81))),($BA74-1)*LEN($AW$81)+1,LEN($AW$81)))</f>
        <v/>
      </c>
      <c r="BP74" s="60" t="str">
        <f>TRIM(MID(SUBSTITUTE($AW$82,$BA$64,REPT(" ",LEN($AW$82))),($BA74-1)*LEN($AW$82)+1,LEN($AW$82)))</f>
        <v/>
      </c>
      <c r="BQ74" s="60" t="str">
        <f>TRIM(MID(SUBSTITUTE($AW$83,$BA$64,REPT(" ",LEN($AW$83))),($BA74-1)*LEN($AW$83)+1,LEN($AW$83)))</f>
        <v/>
      </c>
      <c r="BR74" s="60" t="str">
        <f>TRIM(MID(SUBSTITUTE($AW$84,$BA$64,REPT(" ",LEN($AW$84))),($BA74-1)*LEN($AW$84)+1,LEN($AW$84)))</f>
        <v/>
      </c>
      <c r="BS74" s="60" t="str">
        <f>TRIM(MID(SUBSTITUTE($AW$85,$BA$64,REPT(" ",LEN($AW$85))),($BA74-1)*LEN($AW$85)+1,LEN($AW$85)))</f>
        <v/>
      </c>
      <c r="BT74" s="60" t="str">
        <f>TRIM(MID(SUBSTITUTE($AW$86,$BA$64,REPT(" ",LEN($AW$86))),($BA74-1)*LEN($AW$86)+1,LEN($AW$86)))</f>
        <v/>
      </c>
      <c r="BU74" s="150" t="str">
        <f>TRIM(MID(SUBSTITUTE($AW$87,$BA$64,REPT(" ",LEN($AW$87))),($BA74-1)*LEN($AW$87)+1,LEN($AW$87)))</f>
        <v/>
      </c>
      <c r="BV74" s="224" t="str">
        <f>IF(BX74=0,"",CONCATENATE(BW74,"68:",BW74,BX74+67))</f>
        <v/>
      </c>
      <c r="BW74" s="60" t="s">
        <v>195</v>
      </c>
      <c r="BX74" s="60">
        <f>BH66</f>
        <v>0</v>
      </c>
    </row>
    <row r="75" spans="1:76" s="99" customFormat="1" ht="15.6" customHeight="1">
      <c r="A75" s="149"/>
      <c r="B75" s="285">
        <v>8</v>
      </c>
      <c r="C75" s="166" t="str">
        <f>IF(D75="","",C18)</f>
        <v/>
      </c>
      <c r="D75" s="237" t="str">
        <f>IF(OR(K18=0, K18=""),"",D18)</f>
        <v/>
      </c>
      <c r="E75" s="207" t="str">
        <f>IF(AX75="","",AX75)</f>
        <v/>
      </c>
      <c r="F75" s="739"/>
      <c r="G75" s="740"/>
      <c r="H75" s="204" t="str">
        <f>IF(D75="","",AB75)</f>
        <v/>
      </c>
      <c r="I75" s="334" t="str">
        <f>IF(OR(K18="", K18=0),"",K18)</f>
        <v/>
      </c>
      <c r="J75" s="741" t="str">
        <f>IFERROR(IF(F75="","",VLOOKUP(F75,'10. Condition and Temporal'!$B$6:$F$103,5,FALSE)), "Error ▲")</f>
        <v/>
      </c>
      <c r="K75" s="742"/>
      <c r="L75" s="304" t="str">
        <f>IFERROR(IF(D75="","",IF(AX75="Distinctiveness",(((((I75*AH75*AJ75)-(I75*V75*X75))*(AV75*AT75))+(I75*V75*X75))*(AP75))/10000,((((I75*AJ75*AH75)-(I75*V75*X75))*(AV75*AR75))+(I75*V75*X75))*AP75/10000)),"Error ▲")</f>
        <v/>
      </c>
      <c r="M75" s="743" t="str">
        <f>IFERROR(IF(F75="","",L75-AD75), "Error ▲")</f>
        <v/>
      </c>
      <c r="N75" s="744"/>
      <c r="O75" s="135"/>
      <c r="P75" s="87"/>
      <c r="R75" s="655"/>
      <c r="T75" s="217" t="str">
        <f>IF(D75="","",K18)</f>
        <v/>
      </c>
      <c r="U75" s="161" t="str">
        <f>IF($D75="","",T18)</f>
        <v/>
      </c>
      <c r="V75" s="150" t="str">
        <f>IF($D75="","",V18)</f>
        <v/>
      </c>
      <c r="W75" s="61" t="str">
        <f>IF($D75="","",W18)</f>
        <v/>
      </c>
      <c r="X75" s="150" t="str">
        <f>IF($D75="","",X18)</f>
        <v/>
      </c>
      <c r="Y75" s="371"/>
      <c r="Z75" s="349"/>
      <c r="AA75" s="494"/>
      <c r="AB75" s="61" t="str">
        <f>IF($D75="","",AB18)</f>
        <v/>
      </c>
      <c r="AC75" s="162" t="str">
        <f>IF($D75="","",AD18)</f>
        <v/>
      </c>
      <c r="AD75" s="217" t="str">
        <f>IF(AC75="","",(T75*V75*X75)*AC75/10000)</f>
        <v/>
      </c>
      <c r="AE75" s="217" t="str">
        <f>IF(AD75="","",IF(AH75&lt;V75,"Not Acceptable","Acceptable"))</f>
        <v/>
      </c>
      <c r="AF75" s="498" t="str">
        <f>IF(D75="","",I75)</f>
        <v/>
      </c>
      <c r="AG75" s="161" t="str">
        <f>IF(D75="","",VLOOKUP(F75,'9. All Habitats + Multipliers'!$C$4:$K$102,5,FALSE))</f>
        <v/>
      </c>
      <c r="AH75" s="350" t="str">
        <f>IF(AG75="","",VLOOKUP(AG75,'11. Lists'!$B$47:$D$49,2,FALSE))</f>
        <v/>
      </c>
      <c r="AI75" s="61" t="str">
        <f>IF(D75="","",J75)</f>
        <v/>
      </c>
      <c r="AJ75" s="150" t="str">
        <f>IF(AI75="","",VLOOKUP(AI75,'11. Lists'!$F$47:$G$51,2,FALSE))</f>
        <v/>
      </c>
      <c r="AK75" s="371"/>
      <c r="AL75" s="349"/>
      <c r="AM75" s="494"/>
      <c r="AN75" s="61" t="str">
        <f>IF(H75="","",H75)</f>
        <v/>
      </c>
      <c r="AO75" s="60" t="str">
        <f>IF(AN75="","",VLOOKUP(AN75,'11. Lists'!$F$36:$H$38,2,FALSE))</f>
        <v/>
      </c>
      <c r="AP75" s="150" t="str">
        <f>IF(AN75="","",VLOOKUP(AN75,'11. Lists'!$F$36:$H$38,3,FALSE))</f>
        <v/>
      </c>
      <c r="AQ75" s="161" t="str">
        <f>IF(D75="","",IF(AX75="Distinctiveness","N/A",VLOOKUP(F75,'10. Condition and Temporal'!$B$6:$L$103,11,FALSE)))</f>
        <v/>
      </c>
      <c r="AR75" s="165" t="str">
        <f>IF(AQ75="","",IF(AQ75="N/A","1",VLOOKUP(AQ75,'11. Lists'!$I$47:$K$80,3,FALSE)))</f>
        <v/>
      </c>
      <c r="AS75" s="510" t="str">
        <f>IF(D75="","",IF(AX75="Condition","N/A",VLOOKUP(F75,'10. Condition and Temporal'!$B$6:$M$106,12,FALSE)))</f>
        <v/>
      </c>
      <c r="AT75" s="165" t="str">
        <f>IF(AS75="","",IF(AS75="N/A","1",VLOOKUP(AS75,'11. Lists'!$I$47:$K$80,3,FALSE)))</f>
        <v/>
      </c>
      <c r="AU75" s="161" t="str">
        <f>IF(D75="","",VLOOKUP(F75,'9. All Habitats + Multipliers'!$C$4:$K$102,8,FALSE))</f>
        <v/>
      </c>
      <c r="AV75" s="162" t="str">
        <f>IF(AU75="","",VLOOKUP(AU75,'11. Lists'!$J$35:$K$38,2,FALSE))</f>
        <v/>
      </c>
      <c r="AW75" s="217" t="str">
        <f>IF(D75="","",VLOOKUP(D75,'10. Condition and Temporal'!$B$6:$M$103,4,FALSE))</f>
        <v/>
      </c>
      <c r="AX75" s="217" t="str">
        <f>IF(F75="","",IF(D75=F75,"Condition","Distinctiveness"))</f>
        <v/>
      </c>
      <c r="AY75" s="455" t="str">
        <f>IF(COUNTIF(F75,"*grassland*"),"Grassland",IF(COUNTIF(F75,"*scree*"),"Sparsely vegetated land",C75))</f>
        <v/>
      </c>
      <c r="BA75" s="61">
        <v>8</v>
      </c>
      <c r="BB75" s="60" t="str">
        <f>TRIM(MID(SUBSTITUTE($AW$68,$BA$64,REPT(" ",LEN($AW$68))),($BA75-1)*LEN($AW$68)+1,LEN($AW$68)))</f>
        <v/>
      </c>
      <c r="BC75" s="60" t="str">
        <f>TRIM(MID(SUBSTITUTE($AW$69,$BA$64,REPT(" ",LEN($AW$69))),($BA75-1)*LEN($AW$69)+1,LEN($AW$69)))</f>
        <v/>
      </c>
      <c r="BD75" s="60" t="str">
        <f>TRIM(MID(SUBSTITUTE($AW$70,$BA$64,REPT(" ",LEN($AW$70))),($BA75-1)*LEN($AW$70)+1,LEN($AW$70)))</f>
        <v/>
      </c>
      <c r="BE75" s="60" t="str">
        <f>TRIM(MID(SUBSTITUTE($AW$71,$BA$64,REPT(" ",LEN($AW$71))),($BA75-1)*LEN($AW$71)+1,LEN($AW$71)))</f>
        <v/>
      </c>
      <c r="BF75" s="60" t="str">
        <f>TRIM(MID(SUBSTITUTE($AW$72,$BA$64,REPT(" ",LEN($AW$72))),($BA75-1)*LEN($AW$72)+1,LEN($AW$72)))</f>
        <v/>
      </c>
      <c r="BG75" s="60" t="str">
        <f>TRIM(MID(SUBSTITUTE($AW$73,$BA$64,REPT(" ",LEN($AW$73))),($BA75-1)*LEN($AW$73)+1,LEN($AW$73)))</f>
        <v/>
      </c>
      <c r="BH75" s="60" t="str">
        <f>TRIM(MID(SUBSTITUTE($AW$74,$BA$64,REPT(" ",LEN($AW$74))),($BA75-1)*LEN($AW$74)+1,LEN($AW$74)))</f>
        <v/>
      </c>
      <c r="BI75" s="60" t="str">
        <f>TRIM(MID(SUBSTITUTE($AW$75,$BA$64,REPT(" ",LEN($AW$75))),($BA75-1)*LEN($AW$75)+1,LEN($AW$75)))</f>
        <v/>
      </c>
      <c r="BJ75" s="60" t="str">
        <f>TRIM(MID(SUBSTITUTE($AW$76,$BA$64,REPT(" ",LEN($AW$76))),($BA75-1)*LEN($AW$76)+1,LEN($AW$76)))</f>
        <v/>
      </c>
      <c r="BK75" s="60" t="str">
        <f>TRIM(MID(SUBSTITUTE($AW$77,$BA$64,REPT(" ",LEN($AW$77))),($BA75-1)*LEN($AW$77)+1,LEN($AW$77)))</f>
        <v/>
      </c>
      <c r="BL75" s="60" t="str">
        <f>TRIM(MID(SUBSTITUTE($AW$78,$BA$64,REPT(" ",LEN($AW$78))),($BA75-1)*LEN($AW$78)+1,LEN($AW$78)))</f>
        <v/>
      </c>
      <c r="BM75" s="60" t="str">
        <f>TRIM(MID(SUBSTITUTE($AW$79,$BA$64,REPT(" ",LEN($AW$79))),($BA75-1)*LEN($AW$79)+1,LEN($AW$79)))</f>
        <v/>
      </c>
      <c r="BN75" s="60" t="str">
        <f>TRIM(MID(SUBSTITUTE($AW$80,$BA$64,REPT(" ",LEN($AW$80))),($BA75-1)*LEN($AW$80)+1,LEN($AW$80)))</f>
        <v/>
      </c>
      <c r="BO75" s="60" t="str">
        <f>TRIM(MID(SUBSTITUTE($AW$81,$BA$64,REPT(" ",LEN($AW$81))),($BA75-1)*LEN($AW$81)+1,LEN($AW$81)))</f>
        <v/>
      </c>
      <c r="BP75" s="60" t="str">
        <f>TRIM(MID(SUBSTITUTE($AW$82,$BA$64,REPT(" ",LEN($AW$82))),($BA75-1)*LEN($AW$82)+1,LEN($AW$82)))</f>
        <v/>
      </c>
      <c r="BQ75" s="60" t="str">
        <f>TRIM(MID(SUBSTITUTE($AW$83,$BA$64,REPT(" ",LEN($AW$83))),($BA75-1)*LEN($AW$83)+1,LEN($AW$83)))</f>
        <v/>
      </c>
      <c r="BR75" s="60" t="str">
        <f>TRIM(MID(SUBSTITUTE($AW$84,$BA$64,REPT(" ",LEN($AW$84))),($BA75-1)*LEN($AW$84)+1,LEN($AW$84)))</f>
        <v/>
      </c>
      <c r="BS75" s="60" t="str">
        <f>TRIM(MID(SUBSTITUTE($AW$85,$BA$64,REPT(" ",LEN($AW$85))),($BA75-1)*LEN($AW$85)+1,LEN($AW$85)))</f>
        <v/>
      </c>
      <c r="BT75" s="60" t="str">
        <f>TRIM(MID(SUBSTITUTE($AW$86,$BA$64,REPT(" ",LEN($AW$86))),($BA75-1)*LEN($AW$86)+1,LEN($AW$86)))</f>
        <v/>
      </c>
      <c r="BU75" s="150" t="str">
        <f>TRIM(MID(SUBSTITUTE($AW$87,$BA$64,REPT(" ",LEN($AW$87))),($BA75-1)*LEN($AW$87)+1,LEN($AW$87)))</f>
        <v/>
      </c>
      <c r="BV75" s="224" t="str">
        <f>IF(BX75=0,"",CONCATENATE(BW75,"68:",BW75,BX75+67))</f>
        <v/>
      </c>
      <c r="BW75" s="60" t="s">
        <v>196</v>
      </c>
      <c r="BX75" s="60">
        <f>BI66</f>
        <v>0</v>
      </c>
    </row>
    <row r="76" spans="1:76" s="99" customFormat="1" ht="15.6" customHeight="1">
      <c r="A76" s="149"/>
      <c r="B76" s="285">
        <v>9</v>
      </c>
      <c r="C76" s="166" t="str">
        <f>IF(D76="","",C19)</f>
        <v/>
      </c>
      <c r="D76" s="237" t="str">
        <f>IF(OR(K19=0, K19=""),"",D19)</f>
        <v/>
      </c>
      <c r="E76" s="207" t="str">
        <f>IF(AX76="","",AX76)</f>
        <v/>
      </c>
      <c r="F76" s="739"/>
      <c r="G76" s="740"/>
      <c r="H76" s="204" t="str">
        <f>IF(D76="","",AB76)</f>
        <v/>
      </c>
      <c r="I76" s="334" t="str">
        <f>IF(OR(K19="", K19=0),"",K19)</f>
        <v/>
      </c>
      <c r="J76" s="741" t="str">
        <f>IFERROR(IF(F76="","",VLOOKUP(F76,'10. Condition and Temporal'!$B$6:$F$103,5,FALSE)), "Error ▲")</f>
        <v/>
      </c>
      <c r="K76" s="742"/>
      <c r="L76" s="304" t="str">
        <f>IFERROR(IF(D76="","",IF(AX76="Distinctiveness",(((((I76*AH76*AJ76)-(I76*V76*X76))*(AV76*AT76))+(I76*V76*X76))*(AP76))/10000,((((I76*AJ76*AH76)-(I76*V76*X76))*(AV76*AR76))+(I76*V76*X76))*AP76/10000)),"Error ▲")</f>
        <v/>
      </c>
      <c r="M76" s="743" t="str">
        <f>IFERROR(IF(F76="","",L76-AD76), "Error ▲")</f>
        <v/>
      </c>
      <c r="N76" s="744"/>
      <c r="O76" s="135"/>
      <c r="P76" s="87"/>
      <c r="R76" s="655"/>
      <c r="T76" s="217" t="str">
        <f>IF(D76="","",K19)</f>
        <v/>
      </c>
      <c r="U76" s="161" t="str">
        <f>IF($D76="","",T19)</f>
        <v/>
      </c>
      <c r="V76" s="150" t="str">
        <f>IF($D76="","",V19)</f>
        <v/>
      </c>
      <c r="W76" s="61" t="str">
        <f>IF($D76="","",W19)</f>
        <v/>
      </c>
      <c r="X76" s="150" t="str">
        <f>IF($D76="","",X19)</f>
        <v/>
      </c>
      <c r="Y76" s="371"/>
      <c r="Z76" s="349"/>
      <c r="AA76" s="494"/>
      <c r="AB76" s="61" t="str">
        <f>IF($D76="","",AB19)</f>
        <v/>
      </c>
      <c r="AC76" s="162" t="str">
        <f>IF($D76="","",AD19)</f>
        <v/>
      </c>
      <c r="AD76" s="217" t="str">
        <f>IF(AC76="","",(T76*V76*X76)*AC76/10000)</f>
        <v/>
      </c>
      <c r="AE76" s="217" t="str">
        <f>IF(AD76="","",IF(AH76&lt;V76,"Not Acceptable","Acceptable"))</f>
        <v/>
      </c>
      <c r="AF76" s="498" t="str">
        <f>IF(D76="","",I76)</f>
        <v/>
      </c>
      <c r="AG76" s="161" t="str">
        <f>IF(D76="","",VLOOKUP(F76,'9. All Habitats + Multipliers'!$C$4:$K$102,5,FALSE))</f>
        <v/>
      </c>
      <c r="AH76" s="350" t="str">
        <f>IF(AG76="","",VLOOKUP(AG76,'11. Lists'!$B$47:$D$49,2,FALSE))</f>
        <v/>
      </c>
      <c r="AI76" s="61" t="str">
        <f>IF(D76="","",J76)</f>
        <v/>
      </c>
      <c r="AJ76" s="150" t="str">
        <f>IF(AI76="","",VLOOKUP(AI76,'11. Lists'!$F$47:$G$51,2,FALSE))</f>
        <v/>
      </c>
      <c r="AK76" s="371"/>
      <c r="AL76" s="349"/>
      <c r="AM76" s="494"/>
      <c r="AN76" s="61" t="str">
        <f>IF(H76="","",H76)</f>
        <v/>
      </c>
      <c r="AO76" s="60" t="str">
        <f>IF(AN76="","",VLOOKUP(AN76,'11. Lists'!$F$36:$H$38,2,FALSE))</f>
        <v/>
      </c>
      <c r="AP76" s="150" t="str">
        <f>IF(AN76="","",VLOOKUP(AN76,'11. Lists'!$F$36:$H$38,3,FALSE))</f>
        <v/>
      </c>
      <c r="AQ76" s="161" t="str">
        <f>IF(D76="","",IF(AX76="Distinctiveness","N/A",VLOOKUP(F76,'10. Condition and Temporal'!$B$6:$L$103,11,FALSE)))</f>
        <v/>
      </c>
      <c r="AR76" s="165" t="str">
        <f>IF(AQ76="","",IF(AQ76="N/A","1",VLOOKUP(AQ76,'11. Lists'!$I$47:$K$80,3,FALSE)))</f>
        <v/>
      </c>
      <c r="AS76" s="510" t="str">
        <f>IF(D76="","",IF(AX76="Condition","N/A",VLOOKUP(F76,'10. Condition and Temporal'!$B$6:$M$106,12,FALSE)))</f>
        <v/>
      </c>
      <c r="AT76" s="165" t="str">
        <f>IF(AS76="","",IF(AS76="N/A","1",VLOOKUP(AS76,'11. Lists'!$I$47:$K$80,3,FALSE)))</f>
        <v/>
      </c>
      <c r="AU76" s="161" t="str">
        <f>IF(D76="","",VLOOKUP(F76,'9. All Habitats + Multipliers'!$C$4:$K$102,8,FALSE))</f>
        <v/>
      </c>
      <c r="AV76" s="162" t="str">
        <f>IF(AU76="","",VLOOKUP(AU76,'11. Lists'!$J$35:$K$38,2,FALSE))</f>
        <v/>
      </c>
      <c r="AW76" s="217" t="str">
        <f>IF(D76="","",VLOOKUP(D76,'10. Condition and Temporal'!$B$6:$M$103,4,FALSE))</f>
        <v/>
      </c>
      <c r="AX76" s="217" t="str">
        <f>IF(F76="","",IF(D76=F76,"Condition","Distinctiveness"))</f>
        <v/>
      </c>
      <c r="AY76" s="455" t="str">
        <f>IF(COUNTIF(F76,"*grassland*"),"Grassland",IF(COUNTIF(F76,"*scree*"),"Sparsely vegetated land",C76))</f>
        <v/>
      </c>
      <c r="BA76" s="61">
        <v>9</v>
      </c>
      <c r="BB76" s="60" t="str">
        <f>TRIM(MID(SUBSTITUTE($AW$68,$BA$64,REPT(" ",LEN($AW$68))),($BA76-1)*LEN($AW$68)+1,LEN($AW$68)))</f>
        <v/>
      </c>
      <c r="BC76" s="60" t="str">
        <f>TRIM(MID(SUBSTITUTE($AW$69,$BA$64,REPT(" ",LEN($AW$69))),($BA76-1)*LEN($AW$69)+1,LEN($AW$69)))</f>
        <v/>
      </c>
      <c r="BD76" s="60" t="str">
        <f>TRIM(MID(SUBSTITUTE($AW$70,$BA$64,REPT(" ",LEN($AW$70))),($BA76-1)*LEN($AW$70)+1,LEN($AW$70)))</f>
        <v/>
      </c>
      <c r="BE76" s="60" t="str">
        <f>TRIM(MID(SUBSTITUTE($AW$71,$BA$64,REPT(" ",LEN($AW$71))),($BA76-1)*LEN($AW$71)+1,LEN($AW$71)))</f>
        <v/>
      </c>
      <c r="BF76" s="60" t="str">
        <f>TRIM(MID(SUBSTITUTE($AW$72,$BA$64,REPT(" ",LEN($AW$72))),($BA76-1)*LEN($AW$72)+1,LEN($AW$72)))</f>
        <v/>
      </c>
      <c r="BG76" s="60" t="str">
        <f>TRIM(MID(SUBSTITUTE($AW$73,$BA$64,REPT(" ",LEN($AW$73))),($BA76-1)*LEN($AW$73)+1,LEN($AW$73)))</f>
        <v/>
      </c>
      <c r="BH76" s="60" t="str">
        <f>TRIM(MID(SUBSTITUTE($AW$74,$BA$64,REPT(" ",LEN($AW$74))),($BA76-1)*LEN($AW$74)+1,LEN($AW$74)))</f>
        <v/>
      </c>
      <c r="BI76" s="60" t="str">
        <f>TRIM(MID(SUBSTITUTE($AW$75,$BA$64,REPT(" ",LEN($AW$75))),($BA76-1)*LEN($AW$75)+1,LEN($AW$75)))</f>
        <v/>
      </c>
      <c r="BJ76" s="60" t="str">
        <f>TRIM(MID(SUBSTITUTE($AW$76,$BA$64,REPT(" ",LEN($AW$76))),($BA76-1)*LEN($AW$76)+1,LEN($AW$76)))</f>
        <v/>
      </c>
      <c r="BK76" s="60" t="str">
        <f>TRIM(MID(SUBSTITUTE($AW$77,$BA$64,REPT(" ",LEN($AW$77))),($BA76-1)*LEN($AW$77)+1,LEN($AW$77)))</f>
        <v/>
      </c>
      <c r="BL76" s="60" t="str">
        <f>TRIM(MID(SUBSTITUTE($AW$78,$BA$64,REPT(" ",LEN($AW$78))),($BA76-1)*LEN($AW$78)+1,LEN($AW$78)))</f>
        <v/>
      </c>
      <c r="BM76" s="60" t="str">
        <f>TRIM(MID(SUBSTITUTE($AW$79,$BA$64,REPT(" ",LEN($AW$79))),($BA76-1)*LEN($AW$79)+1,LEN($AW$79)))</f>
        <v/>
      </c>
      <c r="BN76" s="60" t="str">
        <f>TRIM(MID(SUBSTITUTE($AW$80,$BA$64,REPT(" ",LEN($AW$80))),($BA76-1)*LEN($AW$80)+1,LEN($AW$80)))</f>
        <v/>
      </c>
      <c r="BO76" s="60" t="str">
        <f>TRIM(MID(SUBSTITUTE($AW$81,$BA$64,REPT(" ",LEN($AW$81))),($BA76-1)*LEN($AW$81)+1,LEN($AW$81)))</f>
        <v/>
      </c>
      <c r="BP76" s="60" t="str">
        <f>TRIM(MID(SUBSTITUTE($AW$82,$BA$64,REPT(" ",LEN($AW$82))),($BA76-1)*LEN($AW$82)+1,LEN($AW$82)))</f>
        <v/>
      </c>
      <c r="BQ76" s="60" t="str">
        <f>TRIM(MID(SUBSTITUTE($AW$83,$BA$64,REPT(" ",LEN($AW$83))),($BA76-1)*LEN($AW$83)+1,LEN($AW$83)))</f>
        <v/>
      </c>
      <c r="BR76" s="60" t="str">
        <f>TRIM(MID(SUBSTITUTE($AW$84,$BA$64,REPT(" ",LEN($AW$84))),($BA76-1)*LEN($AW$84)+1,LEN($AW$84)))</f>
        <v/>
      </c>
      <c r="BS76" s="60" t="str">
        <f>TRIM(MID(SUBSTITUTE($AW$85,$BA$64,REPT(" ",LEN($AW$85))),($BA76-1)*LEN($AW$85)+1,LEN($AW$85)))</f>
        <v/>
      </c>
      <c r="BT76" s="60" t="str">
        <f>TRIM(MID(SUBSTITUTE($AW$86,$BA$64,REPT(" ",LEN($AW$86))),($BA76-1)*LEN($AW$86)+1,LEN($AW$86)))</f>
        <v/>
      </c>
      <c r="BU76" s="150" t="str">
        <f>TRIM(MID(SUBSTITUTE($AW$87,$BA$64,REPT(" ",LEN($AW$87))),($BA76-1)*LEN($AW$87)+1,LEN($AW$87)))</f>
        <v/>
      </c>
      <c r="BV76" s="224" t="str">
        <f>IF(BX76=0,"",CONCATENATE(BW76,"68:",BW76,BX76+67))</f>
        <v/>
      </c>
      <c r="BW76" s="60" t="s">
        <v>197</v>
      </c>
      <c r="BX76" s="60">
        <f>BJ66</f>
        <v>0</v>
      </c>
    </row>
    <row r="77" spans="1:76" s="99" customFormat="1" ht="15.6" customHeight="1">
      <c r="A77" s="149"/>
      <c r="B77" s="285">
        <v>10</v>
      </c>
      <c r="C77" s="166" t="str">
        <f>IF(D77="","",C20)</f>
        <v/>
      </c>
      <c r="D77" s="237" t="str">
        <f>IF(OR(K20=0, K20=""),"",D20)</f>
        <v/>
      </c>
      <c r="E77" s="207" t="str">
        <f>IF(AX77="","",AX77)</f>
        <v/>
      </c>
      <c r="F77" s="739"/>
      <c r="G77" s="740"/>
      <c r="H77" s="204" t="str">
        <f>IF(D77="","",AB77)</f>
        <v/>
      </c>
      <c r="I77" s="334" t="str">
        <f>IF(OR(K20="", K20=0),"",K20)</f>
        <v/>
      </c>
      <c r="J77" s="741" t="str">
        <f>IFERROR(IF(F77="","",VLOOKUP(F77,'10. Condition and Temporal'!$B$6:$F$103,5,FALSE)), "Error ▲")</f>
        <v/>
      </c>
      <c r="K77" s="742"/>
      <c r="L77" s="304" t="str">
        <f>IFERROR(IF(D77="","",IF(AX77="Distinctiveness",(((((I77*AH77*AJ77)-(I77*V77*X77))*(AV77*AT77))+(I77*V77*X77))*(AP77))/10000,((((I77*AJ77*AH77)-(I77*V77*X77))*(AV77*AR77))+(I77*V77*X77))*AP77/10000)),"Error ▲")</f>
        <v/>
      </c>
      <c r="M77" s="743" t="str">
        <f>IFERROR(IF(F77="","",L77-AD77), "Error ▲")</f>
        <v/>
      </c>
      <c r="N77" s="744"/>
      <c r="O77" s="135"/>
      <c r="P77" s="87"/>
      <c r="R77" s="655"/>
      <c r="T77" s="217" t="str">
        <f>IF(D77="","",K20)</f>
        <v/>
      </c>
      <c r="U77" s="161" t="str">
        <f>IF($D77="","",T20)</f>
        <v/>
      </c>
      <c r="V77" s="150" t="str">
        <f>IF($D77="","",V20)</f>
        <v/>
      </c>
      <c r="W77" s="61" t="str">
        <f>IF($D77="","",W20)</f>
        <v/>
      </c>
      <c r="X77" s="150" t="str">
        <f>IF($D77="","",X20)</f>
        <v/>
      </c>
      <c r="Y77" s="371"/>
      <c r="Z77" s="349"/>
      <c r="AA77" s="494"/>
      <c r="AB77" s="61" t="str">
        <f>IF($D77="","",AB20)</f>
        <v/>
      </c>
      <c r="AC77" s="162" t="str">
        <f>IF($D77="","",AD20)</f>
        <v/>
      </c>
      <c r="AD77" s="217" t="str">
        <f>IF(AC77="","",(T77*V77*X77)*AC77/10000)</f>
        <v/>
      </c>
      <c r="AE77" s="217" t="str">
        <f>IF(AD77="","",IF(AH77&lt;V77,"Not Acceptable","Acceptable"))</f>
        <v/>
      </c>
      <c r="AF77" s="498" t="str">
        <f>IF(D77="","",I77)</f>
        <v/>
      </c>
      <c r="AG77" s="161" t="str">
        <f>IF(D77="","",VLOOKUP(F77,'9. All Habitats + Multipliers'!$C$4:$K$102,5,FALSE))</f>
        <v/>
      </c>
      <c r="AH77" s="350" t="str">
        <f>IF(AG77="","",VLOOKUP(AG77,'11. Lists'!$B$47:$D$49,2,FALSE))</f>
        <v/>
      </c>
      <c r="AI77" s="61" t="str">
        <f>IF(D77="","",J77)</f>
        <v/>
      </c>
      <c r="AJ77" s="150" t="str">
        <f>IF(AI77="","",VLOOKUP(AI77,'11. Lists'!$F$47:$G$51,2,FALSE))</f>
        <v/>
      </c>
      <c r="AK77" s="371"/>
      <c r="AL77" s="349"/>
      <c r="AM77" s="494"/>
      <c r="AN77" s="61" t="str">
        <f>IF(H77="","",H77)</f>
        <v/>
      </c>
      <c r="AO77" s="60" t="str">
        <f>IF(AN77="","",VLOOKUP(AN77,'11. Lists'!$F$36:$H$38,2,FALSE))</f>
        <v/>
      </c>
      <c r="AP77" s="150" t="str">
        <f>IF(AN77="","",VLOOKUP(AN77,'11. Lists'!$F$36:$H$38,3,FALSE))</f>
        <v/>
      </c>
      <c r="AQ77" s="161" t="str">
        <f>IF(D77="","",IF(AX77="Distinctiveness","N/A",VLOOKUP(F77,'10. Condition and Temporal'!$B$6:$L$103,11,FALSE)))</f>
        <v/>
      </c>
      <c r="AR77" s="165" t="str">
        <f>IF(AQ77="","",IF(AQ77="N/A","1",VLOOKUP(AQ77,'11. Lists'!$I$47:$K$80,3,FALSE)))</f>
        <v/>
      </c>
      <c r="AS77" s="510" t="str">
        <f>IF(D77="","",IF(AX77="Condition","N/A",VLOOKUP(F77,'10. Condition and Temporal'!$B$6:$M$106,12,FALSE)))</f>
        <v/>
      </c>
      <c r="AT77" s="165" t="str">
        <f>IF(AS77="","",IF(AS77="N/A","1",VLOOKUP(AS77,'11. Lists'!$I$47:$K$80,3,FALSE)))</f>
        <v/>
      </c>
      <c r="AU77" s="161" t="str">
        <f>IF(D77="","",VLOOKUP(F77,'9. All Habitats + Multipliers'!$C$4:$K$102,8,FALSE))</f>
        <v/>
      </c>
      <c r="AV77" s="162" t="str">
        <f>IF(AU77="","",VLOOKUP(AU77,'11. Lists'!$J$35:$K$38,2,FALSE))</f>
        <v/>
      </c>
      <c r="AW77" s="217" t="str">
        <f>IF(D77="","",VLOOKUP(D77,'10. Condition and Temporal'!$B$6:$M$103,4,FALSE))</f>
        <v/>
      </c>
      <c r="AX77" s="217" t="str">
        <f>IF(F77="","",IF(D77=F77,"Condition","Distinctiveness"))</f>
        <v/>
      </c>
      <c r="AY77" s="455" t="str">
        <f>IF(COUNTIF(F77,"*grassland*"),"Grassland",IF(COUNTIF(F77,"*scree*"),"Sparsely vegetated land",C77))</f>
        <v/>
      </c>
      <c r="BA77" s="61">
        <v>10</v>
      </c>
      <c r="BB77" s="60" t="str">
        <f>TRIM(MID(SUBSTITUTE($AW$68,$BA$64,REPT(" ",LEN($AW$68))),($BA77-1)*LEN($AW$68)+1,LEN($AW$68)))</f>
        <v/>
      </c>
      <c r="BC77" s="60" t="str">
        <f>TRIM(MID(SUBSTITUTE($AW$69,$BA$64,REPT(" ",LEN($AW$69))),($BA77-1)*LEN($AW$69)+1,LEN($AW$69)))</f>
        <v/>
      </c>
      <c r="BD77" s="60" t="str">
        <f>TRIM(MID(SUBSTITUTE($AW$70,$BA$64,REPT(" ",LEN($AW$70))),($BA77-1)*LEN($AW$70)+1,LEN($AW$70)))</f>
        <v/>
      </c>
      <c r="BE77" s="60" t="str">
        <f>TRIM(MID(SUBSTITUTE($AW$71,$BA$64,REPT(" ",LEN($AW$71))),($BA77-1)*LEN($AW$71)+1,LEN($AW$71)))</f>
        <v/>
      </c>
      <c r="BF77" s="60" t="str">
        <f>TRIM(MID(SUBSTITUTE($AW$72,$BA$64,REPT(" ",LEN($AW$72))),($BA77-1)*LEN($AW$72)+1,LEN($AW$72)))</f>
        <v/>
      </c>
      <c r="BG77" s="60" t="str">
        <f>TRIM(MID(SUBSTITUTE($AW$73,$BA$64,REPT(" ",LEN($AW$73))),($BA77-1)*LEN($AW$73)+1,LEN($AW$73)))</f>
        <v/>
      </c>
      <c r="BH77" s="60" t="str">
        <f>TRIM(MID(SUBSTITUTE($AW$74,$BA$64,REPT(" ",LEN($AW$74))),($BA77-1)*LEN($AW$74)+1,LEN($AW$74)))</f>
        <v/>
      </c>
      <c r="BI77" s="60" t="str">
        <f>TRIM(MID(SUBSTITUTE($AW$75,$BA$64,REPT(" ",LEN($AW$75))),($BA77-1)*LEN($AW$75)+1,LEN($AW$75)))</f>
        <v/>
      </c>
      <c r="BJ77" s="60" t="str">
        <f>TRIM(MID(SUBSTITUTE($AW$76,$BA$64,REPT(" ",LEN($AW$76))),($BA77-1)*LEN($AW$76)+1,LEN($AW$76)))</f>
        <v/>
      </c>
      <c r="BK77" s="60" t="str">
        <f>TRIM(MID(SUBSTITUTE($AW$77,$BA$64,REPT(" ",LEN($AW$77))),($BA77-1)*LEN($AW$77)+1,LEN($AW$77)))</f>
        <v/>
      </c>
      <c r="BL77" s="60" t="str">
        <f>TRIM(MID(SUBSTITUTE($AW$78,$BA$64,REPT(" ",LEN($AW$78))),($BA77-1)*LEN($AW$78)+1,LEN($AW$78)))</f>
        <v/>
      </c>
      <c r="BM77" s="60" t="str">
        <f>TRIM(MID(SUBSTITUTE($AW$79,$BA$64,REPT(" ",LEN($AW$79))),($BA77-1)*LEN($AW$79)+1,LEN($AW$79)))</f>
        <v/>
      </c>
      <c r="BN77" s="60" t="str">
        <f>TRIM(MID(SUBSTITUTE($AW$80,$BA$64,REPT(" ",LEN($AW$80))),($BA77-1)*LEN($AW$80)+1,LEN($AW$80)))</f>
        <v/>
      </c>
      <c r="BO77" s="60" t="str">
        <f>TRIM(MID(SUBSTITUTE($AW$81,$BA$64,REPT(" ",LEN($AW$81))),($BA77-1)*LEN($AW$81)+1,LEN($AW$81)))</f>
        <v/>
      </c>
      <c r="BP77" s="60" t="str">
        <f>TRIM(MID(SUBSTITUTE($AW$82,$BA$64,REPT(" ",LEN($AW$82))),($BA77-1)*LEN($AW$82)+1,LEN($AW$82)))</f>
        <v/>
      </c>
      <c r="BQ77" s="60" t="str">
        <f>TRIM(MID(SUBSTITUTE($AW$83,$BA$64,REPT(" ",LEN($AW$83))),($BA77-1)*LEN($AW$83)+1,LEN($AW$83)))</f>
        <v/>
      </c>
      <c r="BR77" s="60" t="str">
        <f>TRIM(MID(SUBSTITUTE($AW$84,$BA$64,REPT(" ",LEN($AW$84))),($BA77-1)*LEN($AW$84)+1,LEN($AW$84)))</f>
        <v/>
      </c>
      <c r="BS77" s="60" t="str">
        <f>TRIM(MID(SUBSTITUTE($AW$85,$BA$64,REPT(" ",LEN($AW$85))),($BA77-1)*LEN($AW$85)+1,LEN($AW$85)))</f>
        <v/>
      </c>
      <c r="BT77" s="60" t="str">
        <f>TRIM(MID(SUBSTITUTE($AW$86,$BA$64,REPT(" ",LEN($AW$86))),($BA77-1)*LEN($AW$86)+1,LEN($AW$86)))</f>
        <v/>
      </c>
      <c r="BU77" s="150" t="str">
        <f>TRIM(MID(SUBSTITUTE($AW$87,$BA$64,REPT(" ",LEN($AW$87))),($BA77-1)*LEN($AW$87)+1,LEN($AW$87)))</f>
        <v/>
      </c>
      <c r="BV77" s="224" t="str">
        <f>IF(BX77=0,"",CONCATENATE(BW77,"68:",BW77,BX77+67))</f>
        <v/>
      </c>
      <c r="BW77" s="60" t="s">
        <v>198</v>
      </c>
      <c r="BX77" s="60">
        <f>BK66</f>
        <v>0</v>
      </c>
    </row>
    <row r="78" spans="1:76" s="99" customFormat="1" ht="15.6" customHeight="1">
      <c r="A78" s="149"/>
      <c r="B78" s="285">
        <v>11</v>
      </c>
      <c r="C78" s="166" t="str">
        <f>IF(D78="","",C21)</f>
        <v/>
      </c>
      <c r="D78" s="237" t="str">
        <f>IF(OR(K21=0, K21=""),"",D21)</f>
        <v/>
      </c>
      <c r="E78" s="207" t="str">
        <f>IF(AX78="","",AX78)</f>
        <v/>
      </c>
      <c r="F78" s="739"/>
      <c r="G78" s="740"/>
      <c r="H78" s="204" t="str">
        <f>IF(D78="","",AB78)</f>
        <v/>
      </c>
      <c r="I78" s="334" t="str">
        <f>IF(OR(K21="", K21=0),"",K21)</f>
        <v/>
      </c>
      <c r="J78" s="741" t="str">
        <f>IFERROR(IF(F78="","",VLOOKUP(F78,'10. Condition and Temporal'!$B$6:$F$103,5,FALSE)), "Error ▲")</f>
        <v/>
      </c>
      <c r="K78" s="742"/>
      <c r="L78" s="304" t="str">
        <f>IFERROR(IF(D78="","",IF(AX78="Distinctiveness",(((((I78*AH78*AJ78)-(I78*V78*X78))*(AV78*AT78))+(I78*V78*X78))*(AP78))/10000,((((I78*AJ78*AH78)-(I78*V78*X78))*(AV78*AR78))+(I78*V78*X78))*AP78/10000)),"Error ▲")</f>
        <v/>
      </c>
      <c r="M78" s="743" t="str">
        <f>IFERROR(IF(F78="","",L78-AD78), "Error ▲")</f>
        <v/>
      </c>
      <c r="N78" s="744"/>
      <c r="O78" s="135"/>
      <c r="P78" s="87"/>
      <c r="R78" s="655"/>
      <c r="T78" s="217" t="str">
        <f>IF(D78="","",K21)</f>
        <v/>
      </c>
      <c r="U78" s="161" t="str">
        <f>IF($D78="","",T21)</f>
        <v/>
      </c>
      <c r="V78" s="150" t="str">
        <f>IF($D78="","",V21)</f>
        <v/>
      </c>
      <c r="W78" s="61" t="str">
        <f>IF($D78="","",W21)</f>
        <v/>
      </c>
      <c r="X78" s="150" t="str">
        <f>IF($D78="","",X21)</f>
        <v/>
      </c>
      <c r="Y78" s="371"/>
      <c r="Z78" s="349"/>
      <c r="AA78" s="494"/>
      <c r="AB78" s="61" t="str">
        <f>IF($D78="","",AB21)</f>
        <v/>
      </c>
      <c r="AC78" s="162" t="str">
        <f>IF($D78="","",AD21)</f>
        <v/>
      </c>
      <c r="AD78" s="217" t="str">
        <f>IF(AC78="","",(T78*V78*X78)*AC78/10000)</f>
        <v/>
      </c>
      <c r="AE78" s="217" t="str">
        <f>IF(AD78="","",IF(AH78&lt;V78,"Not Acceptable","Acceptable"))</f>
        <v/>
      </c>
      <c r="AF78" s="498" t="str">
        <f>IF(D78="","",I78)</f>
        <v/>
      </c>
      <c r="AG78" s="161" t="str">
        <f>IF(D78="","",VLOOKUP(F78,'9. All Habitats + Multipliers'!$C$4:$K$102,5,FALSE))</f>
        <v/>
      </c>
      <c r="AH78" s="350" t="str">
        <f>IF(AG78="","",VLOOKUP(AG78,'11. Lists'!$B$47:$D$49,2,FALSE))</f>
        <v/>
      </c>
      <c r="AI78" s="61" t="str">
        <f>IF(D78="","",J78)</f>
        <v/>
      </c>
      <c r="AJ78" s="150" t="str">
        <f>IF(AI78="","",VLOOKUP(AI78,'11. Lists'!$F$47:$G$51,2,FALSE))</f>
        <v/>
      </c>
      <c r="AK78" s="371"/>
      <c r="AL78" s="349"/>
      <c r="AM78" s="494"/>
      <c r="AN78" s="61" t="str">
        <f>IF(H78="","",H78)</f>
        <v/>
      </c>
      <c r="AO78" s="60" t="str">
        <f>IF(AN78="","",VLOOKUP(AN78,'11. Lists'!$F$36:$H$38,2,FALSE))</f>
        <v/>
      </c>
      <c r="AP78" s="150" t="str">
        <f>IF(AN78="","",VLOOKUP(AN78,'11. Lists'!$F$36:$H$38,3,FALSE))</f>
        <v/>
      </c>
      <c r="AQ78" s="161" t="str">
        <f>IF(D78="","",IF(AX78="Distinctiveness","N/A",VLOOKUP(F78,'10. Condition and Temporal'!$B$6:$L$103,11,FALSE)))</f>
        <v/>
      </c>
      <c r="AR78" s="165" t="str">
        <f>IF(AQ78="","",IF(AQ78="N/A","1",VLOOKUP(AQ78,'11. Lists'!$I$47:$K$80,3,FALSE)))</f>
        <v/>
      </c>
      <c r="AS78" s="510" t="str">
        <f>IF(D78="","",IF(AX78="Condition","N/A",VLOOKUP(F78,'10. Condition and Temporal'!$B$6:$M$106,12,FALSE)))</f>
        <v/>
      </c>
      <c r="AT78" s="165" t="str">
        <f>IF(AS78="","",IF(AS78="N/A","1",VLOOKUP(AS78,'11. Lists'!$I$47:$K$80,3,FALSE)))</f>
        <v/>
      </c>
      <c r="AU78" s="161" t="str">
        <f>IF(D78="","",VLOOKUP(F78,'9. All Habitats + Multipliers'!$C$4:$K$102,8,FALSE))</f>
        <v/>
      </c>
      <c r="AV78" s="162" t="str">
        <f>IF(AU78="","",VLOOKUP(AU78,'11. Lists'!$J$35:$K$38,2,FALSE))</f>
        <v/>
      </c>
      <c r="AW78" s="217" t="str">
        <f>IF(D78="","",VLOOKUP(D78,'10. Condition and Temporal'!$B$6:$M$103,4,FALSE))</f>
        <v/>
      </c>
      <c r="AX78" s="217" t="str">
        <f>IF(F78="","",IF(D78=F78,"Condition","Distinctiveness"))</f>
        <v/>
      </c>
      <c r="AY78" s="455" t="str">
        <f>IF(COUNTIF(F78,"*grassland*"),"Grassland",IF(COUNTIF(F78,"*scree*"),"Sparsely vegetated land",C78))</f>
        <v/>
      </c>
      <c r="BA78" s="61">
        <v>11</v>
      </c>
      <c r="BB78" s="60" t="str">
        <f>TRIM(MID(SUBSTITUTE($AW$68,$BA$64,REPT(" ",LEN($AW$68))),($BA78-1)*LEN($AW$68)+1,LEN($AW$68)))</f>
        <v/>
      </c>
      <c r="BC78" s="60" t="str">
        <f>TRIM(MID(SUBSTITUTE($AW$69,$BA$64,REPT(" ",LEN($AW$69))),($BA78-1)*LEN($AW$69)+1,LEN($AW$69)))</f>
        <v/>
      </c>
      <c r="BD78" s="60" t="str">
        <f>TRIM(MID(SUBSTITUTE($AW$70,$BA$64,REPT(" ",LEN($AW$70))),($BA78-1)*LEN($AW$70)+1,LEN($AW$70)))</f>
        <v/>
      </c>
      <c r="BE78" s="60" t="str">
        <f>TRIM(MID(SUBSTITUTE($AW$71,$BA$64,REPT(" ",LEN($AW$71))),($BA78-1)*LEN($AW$71)+1,LEN($AW$71)))</f>
        <v/>
      </c>
      <c r="BF78" s="60" t="str">
        <f>TRIM(MID(SUBSTITUTE($AW$72,$BA$64,REPT(" ",LEN($AW$72))),($BA78-1)*LEN($AW$72)+1,LEN($AW$72)))</f>
        <v/>
      </c>
      <c r="BG78" s="60" t="str">
        <f>TRIM(MID(SUBSTITUTE($AW$73,$BA$64,REPT(" ",LEN($AW$73))),($BA78-1)*LEN($AW$73)+1,LEN($AW$73)))</f>
        <v/>
      </c>
      <c r="BH78" s="60" t="str">
        <f>TRIM(MID(SUBSTITUTE($AW$74,$BA$64,REPT(" ",LEN($AW$74))),($BA78-1)*LEN($AW$74)+1,LEN($AW$74)))</f>
        <v/>
      </c>
      <c r="BI78" s="60" t="str">
        <f>TRIM(MID(SUBSTITUTE($AW$75,$BA$64,REPT(" ",LEN($AW$75))),($BA78-1)*LEN($AW$75)+1,LEN($AW$75)))</f>
        <v/>
      </c>
      <c r="BJ78" s="60" t="str">
        <f>TRIM(MID(SUBSTITUTE($AW$76,$BA$64,REPT(" ",LEN($AW$76))),($BA78-1)*LEN($AW$76)+1,LEN($AW$76)))</f>
        <v/>
      </c>
      <c r="BK78" s="60" t="str">
        <f>TRIM(MID(SUBSTITUTE($AW$77,$BA$64,REPT(" ",LEN($AW$77))),($BA78-1)*LEN($AW$77)+1,LEN($AW$77)))</f>
        <v/>
      </c>
      <c r="BL78" s="60" t="str">
        <f>TRIM(MID(SUBSTITUTE($AW$78,$BA$64,REPT(" ",LEN($AW$78))),($BA78-1)*LEN($AW$78)+1,LEN($AW$78)))</f>
        <v/>
      </c>
      <c r="BM78" s="60" t="str">
        <f>TRIM(MID(SUBSTITUTE($AW$79,$BA$64,REPT(" ",LEN($AW$79))),($BA78-1)*LEN($AW$79)+1,LEN($AW$79)))</f>
        <v/>
      </c>
      <c r="BN78" s="60" t="str">
        <f>TRIM(MID(SUBSTITUTE($AW$80,$BA$64,REPT(" ",LEN($AW$80))),($BA78-1)*LEN($AW$80)+1,LEN($AW$80)))</f>
        <v/>
      </c>
      <c r="BO78" s="60" t="str">
        <f>TRIM(MID(SUBSTITUTE($AW$81,$BA$64,REPT(" ",LEN($AW$81))),($BA78-1)*LEN($AW$81)+1,LEN($AW$81)))</f>
        <v/>
      </c>
      <c r="BP78" s="60" t="str">
        <f>TRIM(MID(SUBSTITUTE($AW$82,$BA$64,REPT(" ",LEN($AW$82))),($BA78-1)*LEN($AW$82)+1,LEN($AW$82)))</f>
        <v/>
      </c>
      <c r="BQ78" s="60" t="str">
        <f>TRIM(MID(SUBSTITUTE($AW$83,$BA$64,REPT(" ",LEN($AW$83))),($BA78-1)*LEN($AW$83)+1,LEN($AW$83)))</f>
        <v/>
      </c>
      <c r="BR78" s="60" t="str">
        <f>TRIM(MID(SUBSTITUTE($AW$84,$BA$64,REPT(" ",LEN($AW$84))),($BA78-1)*LEN($AW$84)+1,LEN($AW$84)))</f>
        <v/>
      </c>
      <c r="BS78" s="60" t="str">
        <f>TRIM(MID(SUBSTITUTE($AW$85,$BA$64,REPT(" ",LEN($AW$85))),($BA78-1)*LEN($AW$85)+1,LEN($AW$85)))</f>
        <v/>
      </c>
      <c r="BT78" s="60" t="str">
        <f>TRIM(MID(SUBSTITUTE($AW$86,$BA$64,REPT(" ",LEN($AW$86))),($BA78-1)*LEN($AW$86)+1,LEN($AW$86)))</f>
        <v/>
      </c>
      <c r="BU78" s="150" t="str">
        <f>TRIM(MID(SUBSTITUTE($AW$87,$BA$64,REPT(" ",LEN($AW$87))),($BA78-1)*LEN($AW$87)+1,LEN($AW$87)))</f>
        <v/>
      </c>
      <c r="BV78" s="224" t="str">
        <f>IF(BX78=0,"",CONCATENATE(BW78,"68:",BW78,BX78+67))</f>
        <v/>
      </c>
      <c r="BW78" s="60" t="s">
        <v>199</v>
      </c>
      <c r="BX78" s="60">
        <f>BL66</f>
        <v>0</v>
      </c>
    </row>
    <row r="79" spans="1:76" s="99" customFormat="1" ht="15.6" customHeight="1">
      <c r="A79" s="149"/>
      <c r="B79" s="285">
        <v>12</v>
      </c>
      <c r="C79" s="166" t="str">
        <f>IF(D79="","",C22)</f>
        <v/>
      </c>
      <c r="D79" s="237" t="str">
        <f>IF(OR(K22=0, K22=""),"",D22)</f>
        <v/>
      </c>
      <c r="E79" s="207" t="str">
        <f>IF(AX79="","",AX79)</f>
        <v/>
      </c>
      <c r="F79" s="739"/>
      <c r="G79" s="740"/>
      <c r="H79" s="204" t="str">
        <f>IF(D79="","",AB79)</f>
        <v/>
      </c>
      <c r="I79" s="334" t="str">
        <f>IF(OR(K22="", K22=0),"",K22)</f>
        <v/>
      </c>
      <c r="J79" s="741" t="str">
        <f>IFERROR(IF(F79="","",VLOOKUP(F79,'10. Condition and Temporal'!$B$6:$F$103,5,FALSE)), "Error ▲")</f>
        <v/>
      </c>
      <c r="K79" s="742"/>
      <c r="L79" s="304" t="str">
        <f>IFERROR(IF(D79="","",IF(AX79="Distinctiveness",(((((I79*AH79*AJ79)-(I79*V79*X79))*(AV79*AT79))+(I79*V79*X79))*(AP79))/10000,((((I79*AJ79*AH79)-(I79*V79*X79))*(AV79*AR79))+(I79*V79*X79))*AP79/10000)),"Error ▲")</f>
        <v/>
      </c>
      <c r="M79" s="743" t="str">
        <f>IFERROR(IF(F79="","",L79-AD79), "Error ▲")</f>
        <v/>
      </c>
      <c r="N79" s="744"/>
      <c r="O79" s="135"/>
      <c r="P79" s="87"/>
      <c r="R79" s="655"/>
      <c r="T79" s="217" t="str">
        <f>IF(D79="","",K22)</f>
        <v/>
      </c>
      <c r="U79" s="161" t="str">
        <f>IF($D79="","",T22)</f>
        <v/>
      </c>
      <c r="V79" s="150" t="str">
        <f>IF($D79="","",V22)</f>
        <v/>
      </c>
      <c r="W79" s="61" t="str">
        <f>IF($D79="","",W22)</f>
        <v/>
      </c>
      <c r="X79" s="150" t="str">
        <f>IF($D79="","",X22)</f>
        <v/>
      </c>
      <c r="Y79" s="371"/>
      <c r="Z79" s="349"/>
      <c r="AA79" s="494"/>
      <c r="AB79" s="61" t="str">
        <f>IF($D79="","",AB22)</f>
        <v/>
      </c>
      <c r="AC79" s="162" t="str">
        <f>IF($D79="","",AD22)</f>
        <v/>
      </c>
      <c r="AD79" s="217" t="str">
        <f>IF(AC79="","",(T79*V79*X79)*AC79/10000)</f>
        <v/>
      </c>
      <c r="AE79" s="217" t="str">
        <f>IF(AD79="","",IF(AH79&lt;V79,"Not Acceptable","Acceptable"))</f>
        <v/>
      </c>
      <c r="AF79" s="498" t="str">
        <f>IF(D79="","",I79)</f>
        <v/>
      </c>
      <c r="AG79" s="161" t="str">
        <f>IF(D79="","",VLOOKUP(F79,'9. All Habitats + Multipliers'!$C$4:$K$102,5,FALSE))</f>
        <v/>
      </c>
      <c r="AH79" s="350" t="str">
        <f>IF(AG79="","",VLOOKUP(AG79,'11. Lists'!$B$47:$D$49,2,FALSE))</f>
        <v/>
      </c>
      <c r="AI79" s="61" t="str">
        <f>IF(D79="","",J79)</f>
        <v/>
      </c>
      <c r="AJ79" s="150" t="str">
        <f>IF(AI79="","",VLOOKUP(AI79,'11. Lists'!$F$47:$G$51,2,FALSE))</f>
        <v/>
      </c>
      <c r="AK79" s="371"/>
      <c r="AL79" s="349"/>
      <c r="AM79" s="494"/>
      <c r="AN79" s="61" t="str">
        <f>IF(H79="","",H79)</f>
        <v/>
      </c>
      <c r="AO79" s="60" t="str">
        <f>IF(AN79="","",VLOOKUP(AN79,'11. Lists'!$F$36:$H$38,2,FALSE))</f>
        <v/>
      </c>
      <c r="AP79" s="150" t="str">
        <f>IF(AN79="","",VLOOKUP(AN79,'11. Lists'!$F$36:$H$38,3,FALSE))</f>
        <v/>
      </c>
      <c r="AQ79" s="161" t="str">
        <f>IF(D79="","",IF(AX79="Distinctiveness","N/A",VLOOKUP(F79,'10. Condition and Temporal'!$B$6:$L$103,11,FALSE)))</f>
        <v/>
      </c>
      <c r="AR79" s="165" t="str">
        <f>IF(AQ79="","",IF(AQ79="N/A","1",VLOOKUP(AQ79,'11. Lists'!$I$47:$K$80,3,FALSE)))</f>
        <v/>
      </c>
      <c r="AS79" s="510" t="str">
        <f>IF(D79="","",IF(AX79="Condition","N/A",VLOOKUP(F79,'10. Condition and Temporal'!$B$6:$M$106,12,FALSE)))</f>
        <v/>
      </c>
      <c r="AT79" s="165" t="str">
        <f>IF(AS79="","",IF(AS79="N/A","1",VLOOKUP(AS79,'11. Lists'!$I$47:$K$80,3,FALSE)))</f>
        <v/>
      </c>
      <c r="AU79" s="161" t="str">
        <f>IF(D79="","",VLOOKUP(F79,'9. All Habitats + Multipliers'!$C$4:$K$102,8,FALSE))</f>
        <v/>
      </c>
      <c r="AV79" s="162" t="str">
        <f>IF(AU79="","",VLOOKUP(AU79,'11. Lists'!$J$35:$K$38,2,FALSE))</f>
        <v/>
      </c>
      <c r="AW79" s="217" t="str">
        <f>IF(D79="","",VLOOKUP(D79,'10. Condition and Temporal'!$B$6:$M$103,4,FALSE))</f>
        <v/>
      </c>
      <c r="AX79" s="217" t="str">
        <f>IF(F79="","",IF(D79=F79,"Condition","Distinctiveness"))</f>
        <v/>
      </c>
      <c r="AY79" s="455" t="str">
        <f>IF(COUNTIF(F79,"*grassland*"),"Grassland",IF(COUNTIF(F79,"*scree*"),"Sparsely vegetated land",C79))</f>
        <v/>
      </c>
      <c r="BA79" s="61">
        <v>12</v>
      </c>
      <c r="BB79" s="60" t="str">
        <f>TRIM(MID(SUBSTITUTE($AW$68,$BA$64,REPT(" ",LEN($AW$68))),($BA79-1)*LEN($AW$68)+1,LEN($AW$68)))</f>
        <v/>
      </c>
      <c r="BC79" s="60" t="str">
        <f>TRIM(MID(SUBSTITUTE($AW$69,$BA$64,REPT(" ",LEN($AW$69))),($BA79-1)*LEN($AW$69)+1,LEN($AW$69)))</f>
        <v/>
      </c>
      <c r="BD79" s="60" t="str">
        <f>TRIM(MID(SUBSTITUTE($AW$70,$BA$64,REPT(" ",LEN($AW$70))),($BA79-1)*LEN($AW$70)+1,LEN($AW$70)))</f>
        <v/>
      </c>
      <c r="BE79" s="60" t="str">
        <f>TRIM(MID(SUBSTITUTE($AW$71,$BA$64,REPT(" ",LEN($AW$71))),($BA79-1)*LEN($AW$71)+1,LEN($AW$71)))</f>
        <v/>
      </c>
      <c r="BF79" s="60" t="str">
        <f>TRIM(MID(SUBSTITUTE($AW$72,$BA$64,REPT(" ",LEN($AW$72))),($BA79-1)*LEN($AW$72)+1,LEN($AW$72)))</f>
        <v/>
      </c>
      <c r="BG79" s="60" t="str">
        <f>TRIM(MID(SUBSTITUTE($AW$73,$BA$64,REPT(" ",LEN($AW$73))),($BA79-1)*LEN($AW$73)+1,LEN($AW$73)))</f>
        <v/>
      </c>
      <c r="BH79" s="60" t="str">
        <f>TRIM(MID(SUBSTITUTE($AW$74,$BA$64,REPT(" ",LEN($AW$74))),($BA79-1)*LEN($AW$74)+1,LEN($AW$74)))</f>
        <v/>
      </c>
      <c r="BI79" s="60" t="str">
        <f>TRIM(MID(SUBSTITUTE($AW$75,$BA$64,REPT(" ",LEN($AW$75))),($BA79-1)*LEN($AW$75)+1,LEN($AW$75)))</f>
        <v/>
      </c>
      <c r="BJ79" s="60" t="str">
        <f>TRIM(MID(SUBSTITUTE($AW$76,$BA$64,REPT(" ",LEN($AW$76))),($BA79-1)*LEN($AW$76)+1,LEN($AW$76)))</f>
        <v/>
      </c>
      <c r="BK79" s="60" t="str">
        <f>TRIM(MID(SUBSTITUTE($AW$77,$BA$64,REPT(" ",LEN($AW$77))),($BA79-1)*LEN($AW$77)+1,LEN($AW$77)))</f>
        <v/>
      </c>
      <c r="BL79" s="60" t="str">
        <f>TRIM(MID(SUBSTITUTE($AW$78,$BA$64,REPT(" ",LEN($AW$78))),($BA79-1)*LEN($AW$78)+1,LEN($AW$78)))</f>
        <v/>
      </c>
      <c r="BM79" s="60" t="str">
        <f>TRIM(MID(SUBSTITUTE($AW$79,$BA$64,REPT(" ",LEN($AW$79))),($BA79-1)*LEN($AW$79)+1,LEN($AW$79)))</f>
        <v/>
      </c>
      <c r="BN79" s="60" t="str">
        <f>TRIM(MID(SUBSTITUTE($AW$80,$BA$64,REPT(" ",LEN($AW$80))),($BA79-1)*LEN($AW$80)+1,LEN($AW$80)))</f>
        <v/>
      </c>
      <c r="BO79" s="60" t="str">
        <f>TRIM(MID(SUBSTITUTE($AW$81,$BA$64,REPT(" ",LEN($AW$81))),($BA79-1)*LEN($AW$81)+1,LEN($AW$81)))</f>
        <v/>
      </c>
      <c r="BP79" s="60" t="str">
        <f>TRIM(MID(SUBSTITUTE($AW$82,$BA$64,REPT(" ",LEN($AW$82))),($BA79-1)*LEN($AW$82)+1,LEN($AW$82)))</f>
        <v/>
      </c>
      <c r="BQ79" s="60" t="str">
        <f>TRIM(MID(SUBSTITUTE($AW$83,$BA$64,REPT(" ",LEN($AW$83))),($BA79-1)*LEN($AW$83)+1,LEN($AW$83)))</f>
        <v/>
      </c>
      <c r="BR79" s="60" t="str">
        <f>TRIM(MID(SUBSTITUTE($AW$84,$BA$64,REPT(" ",LEN($AW$84))),($BA79-1)*LEN($AW$84)+1,LEN($AW$84)))</f>
        <v/>
      </c>
      <c r="BS79" s="60" t="str">
        <f>TRIM(MID(SUBSTITUTE($AW$85,$BA$64,REPT(" ",LEN($AW$85))),($BA79-1)*LEN($AW$85)+1,LEN($AW$85)))</f>
        <v/>
      </c>
      <c r="BT79" s="60" t="str">
        <f>TRIM(MID(SUBSTITUTE($AW$86,$BA$64,REPT(" ",LEN($AW$86))),($BA79-1)*LEN($AW$86)+1,LEN($AW$86)))</f>
        <v/>
      </c>
      <c r="BU79" s="150" t="str">
        <f>TRIM(MID(SUBSTITUTE($AW$87,$BA$64,REPT(" ",LEN($AW$87))),($BA79-1)*LEN($AW$87)+1,LEN($AW$87)))</f>
        <v/>
      </c>
      <c r="BV79" s="224" t="str">
        <f>IF(BX79=0,"",CONCATENATE(BW79,"68:",BW79,BX79+67))</f>
        <v/>
      </c>
      <c r="BW79" s="60" t="s">
        <v>200</v>
      </c>
      <c r="BX79" s="60">
        <f>BM66</f>
        <v>0</v>
      </c>
    </row>
    <row r="80" spans="1:76" s="99" customFormat="1" ht="15.6" customHeight="1">
      <c r="A80" s="149"/>
      <c r="B80" s="285">
        <v>13</v>
      </c>
      <c r="C80" s="166" t="str">
        <f>IF(D80="","",C23)</f>
        <v/>
      </c>
      <c r="D80" s="237" t="str">
        <f>IF(OR(K23=0, K23=""),"",D23)</f>
        <v/>
      </c>
      <c r="E80" s="207" t="str">
        <f>IF(AX80="","",AX80)</f>
        <v/>
      </c>
      <c r="F80" s="739"/>
      <c r="G80" s="740"/>
      <c r="H80" s="204" t="str">
        <f>IF(D80="","",AB80)</f>
        <v/>
      </c>
      <c r="I80" s="334" t="str">
        <f>IF(OR(K23="", K23=0),"",K23)</f>
        <v/>
      </c>
      <c r="J80" s="741" t="str">
        <f>IFERROR(IF(F80="","",VLOOKUP(F80,'10. Condition and Temporal'!$B$6:$F$103,5,FALSE)), "Error ▲")</f>
        <v/>
      </c>
      <c r="K80" s="742"/>
      <c r="L80" s="304" t="str">
        <f>IFERROR(IF(D80="","",IF(AX80="Distinctiveness",(((((I80*AH80*AJ80)-(I80*V80*X80))*(AV80*AT80))+(I80*V80*X80))*(AP80))/10000,((((I80*AJ80*AH80)-(I80*V80*X80))*(AV80*AR80))+(I80*V80*X80))*AP80/10000)),"Error ▲")</f>
        <v/>
      </c>
      <c r="M80" s="743" t="str">
        <f>IFERROR(IF(F80="","",L80-AD80), "Error ▲")</f>
        <v/>
      </c>
      <c r="N80" s="744"/>
      <c r="O80" s="135"/>
      <c r="P80" s="87"/>
      <c r="R80" s="655"/>
      <c r="T80" s="217" t="str">
        <f>IF(D80="","",K23)</f>
        <v/>
      </c>
      <c r="U80" s="161" t="str">
        <f>IF($D80="","",T23)</f>
        <v/>
      </c>
      <c r="V80" s="150" t="str">
        <f>IF($D80="","",V23)</f>
        <v/>
      </c>
      <c r="W80" s="61" t="str">
        <f>IF($D80="","",W23)</f>
        <v/>
      </c>
      <c r="X80" s="150" t="str">
        <f>IF($D80="","",X23)</f>
        <v/>
      </c>
      <c r="Y80" s="371"/>
      <c r="Z80" s="349"/>
      <c r="AA80" s="494"/>
      <c r="AB80" s="61" t="str">
        <f>IF($D80="","",AB23)</f>
        <v/>
      </c>
      <c r="AC80" s="162" t="str">
        <f>IF($D80="","",AD23)</f>
        <v/>
      </c>
      <c r="AD80" s="217" t="str">
        <f>IF(AC80="","",(T80*V80*X80)*AC80/10000)</f>
        <v/>
      </c>
      <c r="AE80" s="217" t="str">
        <f>IF(AD80="","",IF(AH80&lt;V80,"Not Acceptable","Acceptable"))</f>
        <v/>
      </c>
      <c r="AF80" s="498" t="str">
        <f>IF(D80="","",I80)</f>
        <v/>
      </c>
      <c r="AG80" s="161" t="str">
        <f>IF(D80="","",VLOOKUP(F80,'9. All Habitats + Multipliers'!$C$4:$K$102,5,FALSE))</f>
        <v/>
      </c>
      <c r="AH80" s="350" t="str">
        <f>IF(AG80="","",VLOOKUP(AG80,'11. Lists'!$B$47:$D$49,2,FALSE))</f>
        <v/>
      </c>
      <c r="AI80" s="61" t="str">
        <f>IF(D80="","",J80)</f>
        <v/>
      </c>
      <c r="AJ80" s="150" t="str">
        <f>IF(AI80="","",VLOOKUP(AI80,'11. Lists'!$F$47:$G$51,2,FALSE))</f>
        <v/>
      </c>
      <c r="AK80" s="371"/>
      <c r="AL80" s="349"/>
      <c r="AM80" s="494"/>
      <c r="AN80" s="61" t="str">
        <f>IF(H80="","",H80)</f>
        <v/>
      </c>
      <c r="AO80" s="60" t="str">
        <f>IF(AN80="","",VLOOKUP(AN80,'11. Lists'!$F$36:$H$38,2,FALSE))</f>
        <v/>
      </c>
      <c r="AP80" s="150" t="str">
        <f>IF(AN80="","",VLOOKUP(AN80,'11. Lists'!$F$36:$H$38,3,FALSE))</f>
        <v/>
      </c>
      <c r="AQ80" s="161" t="str">
        <f>IF(D80="","",IF(AX80="Distinctiveness","N/A",VLOOKUP(F80,'10. Condition and Temporal'!$B$6:$L$103,11,FALSE)))</f>
        <v/>
      </c>
      <c r="AR80" s="165" t="str">
        <f>IF(AQ80="","",IF(AQ80="N/A","1",VLOOKUP(AQ80,'11. Lists'!$I$47:$K$80,3,FALSE)))</f>
        <v/>
      </c>
      <c r="AS80" s="510" t="str">
        <f>IF(D80="","",IF(AX80="Condition","N/A",VLOOKUP(F80,'10. Condition and Temporal'!$B$6:$M$106,12,FALSE)))</f>
        <v/>
      </c>
      <c r="AT80" s="165" t="str">
        <f>IF(AS80="","",IF(AS80="N/A","1",VLOOKUP(AS80,'11. Lists'!$I$47:$K$80,3,FALSE)))</f>
        <v/>
      </c>
      <c r="AU80" s="161" t="str">
        <f>IF(D80="","",VLOOKUP(F80,'9. All Habitats + Multipliers'!$C$4:$K$102,8,FALSE))</f>
        <v/>
      </c>
      <c r="AV80" s="162" t="str">
        <f>IF(AU80="","",VLOOKUP(AU80,'11. Lists'!$J$35:$K$38,2,FALSE))</f>
        <v/>
      </c>
      <c r="AW80" s="217" t="str">
        <f>IF(D80="","",VLOOKUP(D80,'10. Condition and Temporal'!$B$6:$M$103,4,FALSE))</f>
        <v/>
      </c>
      <c r="AX80" s="217" t="str">
        <f>IF(F80="","",IF(D80=F80,"Condition","Distinctiveness"))</f>
        <v/>
      </c>
      <c r="AY80" s="455" t="str">
        <f>IF(COUNTIF(F80,"*grassland*"),"Grassland",IF(COUNTIF(F80,"*scree*"),"Sparsely vegetated land",C80))</f>
        <v/>
      </c>
      <c r="BA80" s="61">
        <v>13</v>
      </c>
      <c r="BB80" s="60" t="str">
        <f>TRIM(MID(SUBSTITUTE($AW$68,$BA$64,REPT(" ",LEN($AW$68))),($BA80-1)*LEN($AW$68)+1,LEN($AW$68)))</f>
        <v/>
      </c>
      <c r="BC80" s="60" t="str">
        <f>TRIM(MID(SUBSTITUTE($AW$69,$BA$64,REPT(" ",LEN($AW$69))),($BA80-1)*LEN($AW$69)+1,LEN($AW$69)))</f>
        <v/>
      </c>
      <c r="BD80" s="60" t="str">
        <f>TRIM(MID(SUBSTITUTE($AW$70,$BA$64,REPT(" ",LEN($AW$70))),($BA80-1)*LEN($AW$70)+1,LEN($AW$70)))</f>
        <v/>
      </c>
      <c r="BE80" s="60" t="str">
        <f>TRIM(MID(SUBSTITUTE($AW$71,$BA$64,REPT(" ",LEN($AW$71))),($BA80-1)*LEN($AW$71)+1,LEN($AW$71)))</f>
        <v/>
      </c>
      <c r="BF80" s="60" t="str">
        <f>TRIM(MID(SUBSTITUTE($AW$72,$BA$64,REPT(" ",LEN($AW$72))),($BA80-1)*LEN($AW$72)+1,LEN($AW$72)))</f>
        <v/>
      </c>
      <c r="BG80" s="60" t="str">
        <f>TRIM(MID(SUBSTITUTE($AW$73,$BA$64,REPT(" ",LEN($AW$73))),($BA80-1)*LEN($AW$73)+1,LEN($AW$73)))</f>
        <v/>
      </c>
      <c r="BH80" s="60" t="str">
        <f>TRIM(MID(SUBSTITUTE($AW$74,$BA$64,REPT(" ",LEN($AW$74))),($BA80-1)*LEN($AW$74)+1,LEN($AW$74)))</f>
        <v/>
      </c>
      <c r="BI80" s="60" t="str">
        <f>TRIM(MID(SUBSTITUTE($AW$75,$BA$64,REPT(" ",LEN($AW$75))),($BA80-1)*LEN($AW$75)+1,LEN($AW$75)))</f>
        <v/>
      </c>
      <c r="BJ80" s="60" t="str">
        <f>TRIM(MID(SUBSTITUTE($AW$76,$BA$64,REPT(" ",LEN($AW$76))),($BA80-1)*LEN($AW$76)+1,LEN($AW$76)))</f>
        <v/>
      </c>
      <c r="BK80" s="60" t="str">
        <f>TRIM(MID(SUBSTITUTE($AW$77,$BA$64,REPT(" ",LEN($AW$77))),($BA80-1)*LEN($AW$77)+1,LEN($AW$77)))</f>
        <v/>
      </c>
      <c r="BL80" s="60" t="str">
        <f>TRIM(MID(SUBSTITUTE($AW$78,$BA$64,REPT(" ",LEN($AW$78))),($BA80-1)*LEN($AW$78)+1,LEN($AW$78)))</f>
        <v/>
      </c>
      <c r="BM80" s="60" t="str">
        <f>TRIM(MID(SUBSTITUTE($AW$79,$BA$64,REPT(" ",LEN($AW$79))),($BA80-1)*LEN($AW$79)+1,LEN($AW$79)))</f>
        <v/>
      </c>
      <c r="BN80" s="60" t="str">
        <f>TRIM(MID(SUBSTITUTE($AW$80,$BA$64,REPT(" ",LEN($AW$80))),($BA80-1)*LEN($AW$80)+1,LEN($AW$80)))</f>
        <v/>
      </c>
      <c r="BO80" s="60" t="str">
        <f>TRIM(MID(SUBSTITUTE($AW$81,$BA$64,REPT(" ",LEN($AW$81))),($BA80-1)*LEN($AW$81)+1,LEN($AW$81)))</f>
        <v/>
      </c>
      <c r="BP80" s="60" t="str">
        <f>TRIM(MID(SUBSTITUTE($AW$82,$BA$64,REPT(" ",LEN($AW$82))),($BA80-1)*LEN($AW$82)+1,LEN($AW$82)))</f>
        <v/>
      </c>
      <c r="BQ80" s="60" t="str">
        <f>TRIM(MID(SUBSTITUTE($AW$83,$BA$64,REPT(" ",LEN($AW$83))),($BA80-1)*LEN($AW$83)+1,LEN($AW$83)))</f>
        <v/>
      </c>
      <c r="BR80" s="60" t="str">
        <f>TRIM(MID(SUBSTITUTE($AW$84,$BA$64,REPT(" ",LEN($AW$84))),($BA80-1)*LEN($AW$84)+1,LEN($AW$84)))</f>
        <v/>
      </c>
      <c r="BS80" s="60" t="str">
        <f>TRIM(MID(SUBSTITUTE($AW$85,$BA$64,REPT(" ",LEN($AW$85))),($BA80-1)*LEN($AW$85)+1,LEN($AW$85)))</f>
        <v/>
      </c>
      <c r="BT80" s="60" t="str">
        <f>TRIM(MID(SUBSTITUTE($AW$86,$BA$64,REPT(" ",LEN($AW$86))),($BA80-1)*LEN($AW$86)+1,LEN($AW$86)))</f>
        <v/>
      </c>
      <c r="BU80" s="150" t="str">
        <f>TRIM(MID(SUBSTITUTE($AW$87,$BA$64,REPT(" ",LEN($AW$87))),($BA80-1)*LEN($AW$87)+1,LEN($AW$87)))</f>
        <v/>
      </c>
      <c r="BV80" s="224" t="str">
        <f>IF(BX80=0,"",CONCATENATE(BW80,"68:",BW80,BX80+67))</f>
        <v/>
      </c>
      <c r="BW80" s="60" t="s">
        <v>201</v>
      </c>
      <c r="BX80" s="60">
        <f>BN66</f>
        <v>0</v>
      </c>
    </row>
    <row r="81" spans="1:76" s="99" customFormat="1" ht="15.6" customHeight="1">
      <c r="A81" s="149"/>
      <c r="B81" s="285">
        <v>14</v>
      </c>
      <c r="C81" s="166" t="str">
        <f>IF(D81="","",C24)</f>
        <v/>
      </c>
      <c r="D81" s="237" t="str">
        <f>IF(OR(K24=0, K24=""),"",D24)</f>
        <v/>
      </c>
      <c r="E81" s="207" t="str">
        <f>IF(AX81="","",AX81)</f>
        <v/>
      </c>
      <c r="F81" s="739"/>
      <c r="G81" s="740"/>
      <c r="H81" s="204" t="str">
        <f>IF(D81="","",AB81)</f>
        <v/>
      </c>
      <c r="I81" s="334" t="str">
        <f>IF(OR(K24="", K24=0),"",K24)</f>
        <v/>
      </c>
      <c r="J81" s="741" t="str">
        <f>IFERROR(IF(F81="","",VLOOKUP(F81,'10. Condition and Temporal'!$B$6:$F$103,5,FALSE)), "Error ▲")</f>
        <v/>
      </c>
      <c r="K81" s="742"/>
      <c r="L81" s="304" t="str">
        <f>IFERROR(IF(D81="","",IF(AX81="Distinctiveness",(((((I81*AH81*AJ81)-(I81*V81*X81))*(AV81*AT81))+(I81*V81*X81))*(AP81))/10000,((((I81*AJ81*AH81)-(I81*V81*X81))*(AV81*AR81))+(I81*V81*X81))*AP81/10000)),"Error ▲")</f>
        <v/>
      </c>
      <c r="M81" s="743" t="str">
        <f>IFERROR(IF(F81="","",L81-AD81), "Error ▲")</f>
        <v/>
      </c>
      <c r="N81" s="744"/>
      <c r="O81" s="135"/>
      <c r="P81" s="87"/>
      <c r="R81" s="655"/>
      <c r="T81" s="217" t="str">
        <f>IF(D81="","",K24)</f>
        <v/>
      </c>
      <c r="U81" s="161" t="str">
        <f>IF($D81="","",T24)</f>
        <v/>
      </c>
      <c r="V81" s="150" t="str">
        <f>IF($D81="","",V24)</f>
        <v/>
      </c>
      <c r="W81" s="61" t="str">
        <f>IF($D81="","",W24)</f>
        <v/>
      </c>
      <c r="X81" s="150" t="str">
        <f>IF($D81="","",X24)</f>
        <v/>
      </c>
      <c r="Y81" s="371"/>
      <c r="Z81" s="349"/>
      <c r="AA81" s="494"/>
      <c r="AB81" s="61" t="str">
        <f>IF($D81="","",AB24)</f>
        <v/>
      </c>
      <c r="AC81" s="162" t="str">
        <f>IF($D81="","",AD24)</f>
        <v/>
      </c>
      <c r="AD81" s="217" t="str">
        <f>IF(AC81="","",(T81*V81*X81)*AC81/10000)</f>
        <v/>
      </c>
      <c r="AE81" s="217" t="str">
        <f>IF(AD81="","",IF(AH81&lt;V81,"Not Acceptable","Acceptable"))</f>
        <v/>
      </c>
      <c r="AF81" s="498" t="str">
        <f>IF(D81="","",I81)</f>
        <v/>
      </c>
      <c r="AG81" s="161" t="str">
        <f>IF(D81="","",VLOOKUP(F81,'9. All Habitats + Multipliers'!$C$4:$K$102,5,FALSE))</f>
        <v/>
      </c>
      <c r="AH81" s="350" t="str">
        <f>IF(AG81="","",VLOOKUP(AG81,'11. Lists'!$B$47:$D$49,2,FALSE))</f>
        <v/>
      </c>
      <c r="AI81" s="61" t="str">
        <f>IF(D81="","",J81)</f>
        <v/>
      </c>
      <c r="AJ81" s="150" t="str">
        <f>IF(AI81="","",VLOOKUP(AI81,'11. Lists'!$F$47:$G$51,2,FALSE))</f>
        <v/>
      </c>
      <c r="AK81" s="371"/>
      <c r="AL81" s="349"/>
      <c r="AM81" s="494"/>
      <c r="AN81" s="61" t="str">
        <f>IF(H81="","",H81)</f>
        <v/>
      </c>
      <c r="AO81" s="60" t="str">
        <f>IF(AN81="","",VLOOKUP(AN81,'11. Lists'!$F$36:$H$38,2,FALSE))</f>
        <v/>
      </c>
      <c r="AP81" s="150" t="str">
        <f>IF(AN81="","",VLOOKUP(AN81,'11. Lists'!$F$36:$H$38,3,FALSE))</f>
        <v/>
      </c>
      <c r="AQ81" s="161" t="str">
        <f>IF(D81="","",IF(AX81="Distinctiveness","N/A",VLOOKUP(F81,'10. Condition and Temporal'!$B$6:$L$103,11,FALSE)))</f>
        <v/>
      </c>
      <c r="AR81" s="165" t="str">
        <f>IF(AQ81="","",IF(AQ81="N/A","1",VLOOKUP(AQ81,'11. Lists'!$I$47:$K$80,3,FALSE)))</f>
        <v/>
      </c>
      <c r="AS81" s="510" t="str">
        <f>IF(D81="","",IF(AX81="Condition","N/A",VLOOKUP(F81,'10. Condition and Temporal'!$B$6:$M$106,12,FALSE)))</f>
        <v/>
      </c>
      <c r="AT81" s="165" t="str">
        <f>IF(AS81="","",IF(AS81="N/A","1",VLOOKUP(AS81,'11. Lists'!$I$47:$K$80,3,FALSE)))</f>
        <v/>
      </c>
      <c r="AU81" s="161" t="str">
        <f>IF(D81="","",VLOOKUP(F81,'9. All Habitats + Multipliers'!$C$4:$K$102,8,FALSE))</f>
        <v/>
      </c>
      <c r="AV81" s="162" t="str">
        <f>IF(AU81="","",VLOOKUP(AU81,'11. Lists'!$J$35:$K$38,2,FALSE))</f>
        <v/>
      </c>
      <c r="AW81" s="217" t="str">
        <f>IF(D81="","",VLOOKUP(D81,'10. Condition and Temporal'!$B$6:$M$103,4,FALSE))</f>
        <v/>
      </c>
      <c r="AX81" s="217" t="str">
        <f>IF(F81="","",IF(D81=F81,"Condition","Distinctiveness"))</f>
        <v/>
      </c>
      <c r="AY81" s="455" t="str">
        <f>IF(COUNTIF(F81,"*grassland*"),"Grassland",IF(COUNTIF(F81,"*scree*"),"Sparsely vegetated land",C81))</f>
        <v/>
      </c>
      <c r="BA81" s="61">
        <v>14</v>
      </c>
      <c r="BB81" s="60" t="str">
        <f>TRIM(MID(SUBSTITUTE($AW$68,$BA$64,REPT(" ",LEN($AW$68))),($BA81-1)*LEN($AW$68)+1,LEN($AW$68)))</f>
        <v/>
      </c>
      <c r="BC81" s="60" t="str">
        <f>TRIM(MID(SUBSTITUTE($AW$69,$BA$64,REPT(" ",LEN($AW$69))),($BA81-1)*LEN($AW$69)+1,LEN($AW$69)))</f>
        <v/>
      </c>
      <c r="BD81" s="60" t="str">
        <f>TRIM(MID(SUBSTITUTE($AW$70,$BA$64,REPT(" ",LEN($AW$70))),($BA81-1)*LEN($AW$70)+1,LEN($AW$70)))</f>
        <v/>
      </c>
      <c r="BE81" s="60" t="str">
        <f>TRIM(MID(SUBSTITUTE($AW$71,$BA$64,REPT(" ",LEN($AW$71))),($BA81-1)*LEN($AW$71)+1,LEN($AW$71)))</f>
        <v/>
      </c>
      <c r="BF81" s="60" t="str">
        <f>TRIM(MID(SUBSTITUTE($AW$72,$BA$64,REPT(" ",LEN($AW$72))),($BA81-1)*LEN($AW$72)+1,LEN($AW$72)))</f>
        <v/>
      </c>
      <c r="BG81" s="60" t="str">
        <f>TRIM(MID(SUBSTITUTE($AW$73,$BA$64,REPT(" ",LEN($AW$73))),($BA81-1)*LEN($AW$73)+1,LEN($AW$73)))</f>
        <v/>
      </c>
      <c r="BH81" s="60" t="str">
        <f>TRIM(MID(SUBSTITUTE($AW$74,$BA$64,REPT(" ",LEN($AW$74))),($BA81-1)*LEN($AW$74)+1,LEN($AW$74)))</f>
        <v/>
      </c>
      <c r="BI81" s="60" t="str">
        <f>TRIM(MID(SUBSTITUTE($AW$75,$BA$64,REPT(" ",LEN($AW$75))),($BA81-1)*LEN($AW$75)+1,LEN($AW$75)))</f>
        <v/>
      </c>
      <c r="BJ81" s="60" t="str">
        <f>TRIM(MID(SUBSTITUTE($AW$76,$BA$64,REPT(" ",LEN($AW$76))),($BA81-1)*LEN($AW$76)+1,LEN($AW$76)))</f>
        <v/>
      </c>
      <c r="BK81" s="60" t="str">
        <f>TRIM(MID(SUBSTITUTE($AW$77,$BA$64,REPT(" ",LEN($AW$77))),($BA81-1)*LEN($AW$77)+1,LEN($AW$77)))</f>
        <v/>
      </c>
      <c r="BL81" s="60" t="str">
        <f>TRIM(MID(SUBSTITUTE($AW$78,$BA$64,REPT(" ",LEN($AW$78))),($BA81-1)*LEN($AW$78)+1,LEN($AW$78)))</f>
        <v/>
      </c>
      <c r="BM81" s="60" t="str">
        <f>TRIM(MID(SUBSTITUTE($AW$79,$BA$64,REPT(" ",LEN($AW$79))),($BA81-1)*LEN($AW$79)+1,LEN($AW$79)))</f>
        <v/>
      </c>
      <c r="BN81" s="60" t="str">
        <f>TRIM(MID(SUBSTITUTE($AW$80,$BA$64,REPT(" ",LEN($AW$80))),($BA81-1)*LEN($AW$80)+1,LEN($AW$80)))</f>
        <v/>
      </c>
      <c r="BO81" s="60" t="str">
        <f>TRIM(MID(SUBSTITUTE($AW$81,$BA$64,REPT(" ",LEN($AW$81))),($BA81-1)*LEN($AW$81)+1,LEN($AW$81)))</f>
        <v/>
      </c>
      <c r="BP81" s="60" t="str">
        <f>TRIM(MID(SUBSTITUTE($AW$82,$BA$64,REPT(" ",LEN($AW$82))),($BA81-1)*LEN($AW$82)+1,LEN($AW$82)))</f>
        <v/>
      </c>
      <c r="BQ81" s="60" t="str">
        <f>TRIM(MID(SUBSTITUTE($AW$83,$BA$64,REPT(" ",LEN($AW$83))),($BA81-1)*LEN($AW$83)+1,LEN($AW$83)))</f>
        <v/>
      </c>
      <c r="BR81" s="60" t="str">
        <f>TRIM(MID(SUBSTITUTE($AW$84,$BA$64,REPT(" ",LEN($AW$84))),($BA81-1)*LEN($AW$84)+1,LEN($AW$84)))</f>
        <v/>
      </c>
      <c r="BS81" s="60" t="str">
        <f>TRIM(MID(SUBSTITUTE($AW$85,$BA$64,REPT(" ",LEN($AW$85))),($BA81-1)*LEN($AW$85)+1,LEN($AW$85)))</f>
        <v/>
      </c>
      <c r="BT81" s="60" t="str">
        <f>TRIM(MID(SUBSTITUTE($AW$86,$BA$64,REPT(" ",LEN($AW$86))),($BA81-1)*LEN($AW$86)+1,LEN($AW$86)))</f>
        <v/>
      </c>
      <c r="BU81" s="150" t="str">
        <f>TRIM(MID(SUBSTITUTE($AW$87,$BA$64,REPT(" ",LEN($AW$87))),($BA81-1)*LEN($AW$87)+1,LEN($AW$87)))</f>
        <v/>
      </c>
      <c r="BV81" s="224" t="str">
        <f>IF(BX81=0,"",CONCATENATE(BW81,"68:",BW81,BX81+67))</f>
        <v/>
      </c>
      <c r="BW81" s="60" t="s">
        <v>202</v>
      </c>
      <c r="BX81" s="60">
        <f>BO66</f>
        <v>0</v>
      </c>
    </row>
    <row r="82" spans="1:76" s="99" customFormat="1" ht="15.6" customHeight="1">
      <c r="A82" s="149"/>
      <c r="B82" s="285">
        <v>15</v>
      </c>
      <c r="C82" s="166" t="str">
        <f>IF(D82="","",C25)</f>
        <v/>
      </c>
      <c r="D82" s="237" t="str">
        <f>IF(OR(K25=0, K25=""),"",D25)</f>
        <v/>
      </c>
      <c r="E82" s="207" t="str">
        <f>IF(AX82="","",AX82)</f>
        <v/>
      </c>
      <c r="F82" s="739"/>
      <c r="G82" s="740"/>
      <c r="H82" s="204" t="str">
        <f>IF(D82="","",AB82)</f>
        <v/>
      </c>
      <c r="I82" s="334" t="str">
        <f>IF(OR(K25="", K25=0),"",K25)</f>
        <v/>
      </c>
      <c r="J82" s="741" t="str">
        <f>IFERROR(IF(F82="","",VLOOKUP(F82,'10. Condition and Temporal'!$B$6:$F$103,5,FALSE)), "Error ▲")</f>
        <v/>
      </c>
      <c r="K82" s="742"/>
      <c r="L82" s="304" t="str">
        <f>IFERROR(IF(D82="","",IF(AX82="Distinctiveness",(((((I82*AH82*AJ82)-(I82*V82*X82))*(AV82*AT82))+(I82*V82*X82))*(AP82))/10000,((((I82*AJ82*AH82)-(I82*V82*X82))*(AV82*AR82))+(I82*V82*X82))*AP82/10000)),"Error ▲")</f>
        <v/>
      </c>
      <c r="M82" s="743" t="str">
        <f>IFERROR(IF(F82="","",L82-AD82), "Error ▲")</f>
        <v/>
      </c>
      <c r="N82" s="744"/>
      <c r="O82" s="135"/>
      <c r="P82" s="87"/>
      <c r="R82" s="655"/>
      <c r="T82" s="217" t="str">
        <f>IF(D82="","",K25)</f>
        <v/>
      </c>
      <c r="U82" s="161" t="str">
        <f>IF($D82="","",T25)</f>
        <v/>
      </c>
      <c r="V82" s="150" t="str">
        <f>IF($D82="","",V25)</f>
        <v/>
      </c>
      <c r="W82" s="61" t="str">
        <f>IF($D82="","",W25)</f>
        <v/>
      </c>
      <c r="X82" s="150" t="str">
        <f>IF($D82="","",X25)</f>
        <v/>
      </c>
      <c r="Y82" s="371"/>
      <c r="Z82" s="349"/>
      <c r="AA82" s="494"/>
      <c r="AB82" s="61" t="str">
        <f>IF($D82="","",AB25)</f>
        <v/>
      </c>
      <c r="AC82" s="162" t="str">
        <f>IF($D82="","",AD25)</f>
        <v/>
      </c>
      <c r="AD82" s="217" t="str">
        <f>IF(AC82="","",(T82*V82*X82)*AC82/10000)</f>
        <v/>
      </c>
      <c r="AE82" s="217" t="str">
        <f>IF(AD82="","",IF(AH82&lt;V82,"Not Acceptable","Acceptable"))</f>
        <v/>
      </c>
      <c r="AF82" s="498" t="str">
        <f>IF(D82="","",I82)</f>
        <v/>
      </c>
      <c r="AG82" s="161" t="str">
        <f>IF(D82="","",VLOOKUP(F82,'9. All Habitats + Multipliers'!$C$4:$K$102,5,FALSE))</f>
        <v/>
      </c>
      <c r="AH82" s="350" t="str">
        <f>IF(AG82="","",VLOOKUP(AG82,'11. Lists'!$B$47:$D$49,2,FALSE))</f>
        <v/>
      </c>
      <c r="AI82" s="61" t="str">
        <f>IF(D82="","",J82)</f>
        <v/>
      </c>
      <c r="AJ82" s="150" t="str">
        <f>IF(AI82="","",VLOOKUP(AI82,'11. Lists'!$F$47:$G$51,2,FALSE))</f>
        <v/>
      </c>
      <c r="AK82" s="371"/>
      <c r="AL82" s="349"/>
      <c r="AM82" s="494"/>
      <c r="AN82" s="61" t="str">
        <f>IF(H82="","",H82)</f>
        <v/>
      </c>
      <c r="AO82" s="60" t="str">
        <f>IF(AN82="","",VLOOKUP(AN82,'11. Lists'!$F$36:$H$38,2,FALSE))</f>
        <v/>
      </c>
      <c r="AP82" s="150" t="str">
        <f>IF(AN82="","",VLOOKUP(AN82,'11. Lists'!$F$36:$H$38,3,FALSE))</f>
        <v/>
      </c>
      <c r="AQ82" s="161" t="str">
        <f>IF(D82="","",IF(AX82="Distinctiveness","N/A",VLOOKUP(F82,'10. Condition and Temporal'!$B$6:$L$103,11,FALSE)))</f>
        <v/>
      </c>
      <c r="AR82" s="165" t="str">
        <f>IF(AQ82="","",IF(AQ82="N/A","1",VLOOKUP(AQ82,'11. Lists'!$I$47:$K$80,3,FALSE)))</f>
        <v/>
      </c>
      <c r="AS82" s="510" t="str">
        <f>IF(D82="","",IF(AX82="Condition","N/A",VLOOKUP(F82,'10. Condition and Temporal'!$B$6:$M$106,12,FALSE)))</f>
        <v/>
      </c>
      <c r="AT82" s="165" t="str">
        <f>IF(AS82="","",IF(AS82="N/A","1",VLOOKUP(AS82,'11. Lists'!$I$47:$K$80,3,FALSE)))</f>
        <v/>
      </c>
      <c r="AU82" s="161" t="str">
        <f>IF(D82="","",VLOOKUP(F82,'9. All Habitats + Multipliers'!$C$4:$K$102,8,FALSE))</f>
        <v/>
      </c>
      <c r="AV82" s="162" t="str">
        <f>IF(AU82="","",VLOOKUP(AU82,'11. Lists'!$J$35:$K$38,2,FALSE))</f>
        <v/>
      </c>
      <c r="AW82" s="217" t="str">
        <f>IF(D82="","",VLOOKUP(D82,'10. Condition and Temporal'!$B$6:$M$103,4,FALSE))</f>
        <v/>
      </c>
      <c r="AX82" s="217" t="str">
        <f>IF(F82="","",IF(D82=F82,"Condition","Distinctiveness"))</f>
        <v/>
      </c>
      <c r="AY82" s="455" t="str">
        <f>IF(COUNTIF(F82,"*grassland*"),"Grassland",IF(COUNTIF(F82,"*scree*"),"Sparsely vegetated land",C82))</f>
        <v/>
      </c>
      <c r="BA82" s="61">
        <v>15</v>
      </c>
      <c r="BB82" s="60" t="str">
        <f>TRIM(MID(SUBSTITUTE($AW$68,$BA$64,REPT(" ",LEN($AW$68))),($BA82-1)*LEN($AW$68)+1,LEN($AW$68)))</f>
        <v/>
      </c>
      <c r="BC82" s="60" t="str">
        <f>TRIM(MID(SUBSTITUTE($AW$69,$BA$64,REPT(" ",LEN($AW$69))),($BA82-1)*LEN($AW$69)+1,LEN($AW$69)))</f>
        <v/>
      </c>
      <c r="BD82" s="60" t="str">
        <f>TRIM(MID(SUBSTITUTE($AW$70,$BA$64,REPT(" ",LEN($AW$70))),($BA82-1)*LEN($AW$70)+1,LEN($AW$70)))</f>
        <v/>
      </c>
      <c r="BE82" s="60" t="str">
        <f>TRIM(MID(SUBSTITUTE($AW$71,$BA$64,REPT(" ",LEN($AW$71))),($BA82-1)*LEN($AW$71)+1,LEN($AW$71)))</f>
        <v/>
      </c>
      <c r="BF82" s="60" t="str">
        <f>TRIM(MID(SUBSTITUTE($AW$72,$BA$64,REPT(" ",LEN($AW$72))),($BA82-1)*LEN($AW$72)+1,LEN($AW$72)))</f>
        <v/>
      </c>
      <c r="BG82" s="60" t="str">
        <f>TRIM(MID(SUBSTITUTE($AW$73,$BA$64,REPT(" ",LEN($AW$73))),($BA82-1)*LEN($AW$73)+1,LEN($AW$73)))</f>
        <v/>
      </c>
      <c r="BH82" s="60" t="str">
        <f>TRIM(MID(SUBSTITUTE($AW$74,$BA$64,REPT(" ",LEN($AW$74))),($BA82-1)*LEN($AW$74)+1,LEN($AW$74)))</f>
        <v/>
      </c>
      <c r="BI82" s="60" t="str">
        <f>TRIM(MID(SUBSTITUTE($AW$75,$BA$64,REPT(" ",LEN($AW$75))),($BA82-1)*LEN($AW$75)+1,LEN($AW$75)))</f>
        <v/>
      </c>
      <c r="BJ82" s="60" t="str">
        <f>TRIM(MID(SUBSTITUTE($AW$76,$BA$64,REPT(" ",LEN($AW$76))),($BA82-1)*LEN($AW$76)+1,LEN($AW$76)))</f>
        <v/>
      </c>
      <c r="BK82" s="60" t="str">
        <f>TRIM(MID(SUBSTITUTE($AW$77,$BA$64,REPT(" ",LEN($AW$77))),($BA82-1)*LEN($AW$77)+1,LEN($AW$77)))</f>
        <v/>
      </c>
      <c r="BL82" s="60" t="str">
        <f>TRIM(MID(SUBSTITUTE($AW$78,$BA$64,REPT(" ",LEN($AW$78))),($BA82-1)*LEN($AW$78)+1,LEN($AW$78)))</f>
        <v/>
      </c>
      <c r="BM82" s="60" t="str">
        <f>TRIM(MID(SUBSTITUTE($AW$79,$BA$64,REPT(" ",LEN($AW$79))),($BA82-1)*LEN($AW$79)+1,LEN($AW$79)))</f>
        <v/>
      </c>
      <c r="BN82" s="60" t="str">
        <f>TRIM(MID(SUBSTITUTE($AW$80,$BA$64,REPT(" ",LEN($AW$80))),($BA82-1)*LEN($AW$80)+1,LEN($AW$80)))</f>
        <v/>
      </c>
      <c r="BO82" s="60" t="str">
        <f>TRIM(MID(SUBSTITUTE($AW$81,$BA$64,REPT(" ",LEN($AW$81))),($BA82-1)*LEN($AW$81)+1,LEN($AW$81)))</f>
        <v/>
      </c>
      <c r="BP82" s="60" t="str">
        <f>TRIM(MID(SUBSTITUTE($AW$82,$BA$64,REPT(" ",LEN($AW$82))),($BA82-1)*LEN($AW$82)+1,LEN($AW$82)))</f>
        <v/>
      </c>
      <c r="BQ82" s="60" t="str">
        <f>TRIM(MID(SUBSTITUTE($AW$83,$BA$64,REPT(" ",LEN($AW$83))),($BA82-1)*LEN($AW$83)+1,LEN($AW$83)))</f>
        <v/>
      </c>
      <c r="BR82" s="60" t="str">
        <f>TRIM(MID(SUBSTITUTE($AW$84,$BA$64,REPT(" ",LEN($AW$84))),($BA82-1)*LEN($AW$84)+1,LEN($AW$84)))</f>
        <v/>
      </c>
      <c r="BS82" s="60" t="str">
        <f>TRIM(MID(SUBSTITUTE($AW$85,$BA$64,REPT(" ",LEN($AW$85))),($BA82-1)*LEN($AW$85)+1,LEN($AW$85)))</f>
        <v/>
      </c>
      <c r="BT82" s="60" t="str">
        <f>TRIM(MID(SUBSTITUTE($AW$86,$BA$64,REPT(" ",LEN($AW$86))),($BA82-1)*LEN($AW$86)+1,LEN($AW$86)))</f>
        <v/>
      </c>
      <c r="BU82" s="150" t="str">
        <f>TRIM(MID(SUBSTITUTE($AW$87,$BA$64,REPT(" ",LEN($AW$87))),($BA82-1)*LEN($AW$87)+1,LEN($AW$87)))</f>
        <v/>
      </c>
      <c r="BV82" s="224" t="str">
        <f>IF(BX82=0,"",CONCATENATE(BW82,"68:",BW82,BX82+67))</f>
        <v/>
      </c>
      <c r="BW82" s="60" t="s">
        <v>203</v>
      </c>
      <c r="BX82" s="60">
        <f>BP66</f>
        <v>0</v>
      </c>
    </row>
    <row r="83" spans="1:76" s="99" customFormat="1" ht="15.6" customHeight="1">
      <c r="A83" s="149"/>
      <c r="B83" s="285">
        <v>16</v>
      </c>
      <c r="C83" s="166" t="str">
        <f>IF(D83="","",C26)</f>
        <v/>
      </c>
      <c r="D83" s="237" t="str">
        <f>IF(OR(K26=0, K26=""),"",D26)</f>
        <v/>
      </c>
      <c r="E83" s="207" t="str">
        <f>IF(AX83="","",AX83)</f>
        <v/>
      </c>
      <c r="F83" s="739"/>
      <c r="G83" s="740"/>
      <c r="H83" s="204" t="str">
        <f>IF(D83="","",AB83)</f>
        <v/>
      </c>
      <c r="I83" s="334" t="str">
        <f>IF(OR(K26="", K26=0),"",K26)</f>
        <v/>
      </c>
      <c r="J83" s="741" t="str">
        <f>IFERROR(IF(F83="","",VLOOKUP(F83,'10. Condition and Temporal'!$B$6:$F$103,5,FALSE)), "Error ▲")</f>
        <v/>
      </c>
      <c r="K83" s="742"/>
      <c r="L83" s="304" t="str">
        <f>IFERROR(IF(D83="","",IF(AX83="Distinctiveness",(((((I83*AH83*AJ83)-(I83*V83*X83))*(AV83*AT83))+(I83*V83*X83))*(AP83))/10000,((((I83*AJ83*AH83)-(I83*V83*X83))*(AV83*AR83))+(I83*V83*X83))*AP83/10000)),"Error ▲")</f>
        <v/>
      </c>
      <c r="M83" s="743" t="str">
        <f>IFERROR(IF(F83="","",L83-AD83), "Error ▲")</f>
        <v/>
      </c>
      <c r="N83" s="744"/>
      <c r="O83" s="135"/>
      <c r="P83" s="87"/>
      <c r="R83" s="655"/>
      <c r="T83" s="217" t="str">
        <f>IF(D83="","",K26)</f>
        <v/>
      </c>
      <c r="U83" s="161" t="str">
        <f>IF($D83="","",T26)</f>
        <v/>
      </c>
      <c r="V83" s="150" t="str">
        <f>IF($D83="","",V26)</f>
        <v/>
      </c>
      <c r="W83" s="61" t="str">
        <f>IF($D83="","",W26)</f>
        <v/>
      </c>
      <c r="X83" s="150" t="str">
        <f>IF($D83="","",X26)</f>
        <v/>
      </c>
      <c r="Y83" s="371"/>
      <c r="Z83" s="349"/>
      <c r="AA83" s="494"/>
      <c r="AB83" s="61" t="str">
        <f>IF($D83="","",AB26)</f>
        <v/>
      </c>
      <c r="AC83" s="162" t="str">
        <f>IF($D83="","",AD26)</f>
        <v/>
      </c>
      <c r="AD83" s="217" t="str">
        <f>IF(AC83="","",(T83*V83*X83)*AC83/10000)</f>
        <v/>
      </c>
      <c r="AE83" s="217" t="str">
        <f>IF(AD83="","",IF(AH83&lt;V83,"Not Acceptable","Acceptable"))</f>
        <v/>
      </c>
      <c r="AF83" s="498" t="str">
        <f>IF(D83="","",I83)</f>
        <v/>
      </c>
      <c r="AG83" s="161" t="str">
        <f>IF(D83="","",VLOOKUP(F83,'9. All Habitats + Multipliers'!$C$4:$K$102,5,FALSE))</f>
        <v/>
      </c>
      <c r="AH83" s="350" t="str">
        <f>IF(AG83="","",VLOOKUP(AG83,'11. Lists'!$B$47:$D$49,2,FALSE))</f>
        <v/>
      </c>
      <c r="AI83" s="61" t="str">
        <f>IF(D83="","",J83)</f>
        <v/>
      </c>
      <c r="AJ83" s="150" t="str">
        <f>IF(AI83="","",VLOOKUP(AI83,'11. Lists'!$F$47:$G$51,2,FALSE))</f>
        <v/>
      </c>
      <c r="AK83" s="371"/>
      <c r="AL83" s="349"/>
      <c r="AM83" s="494"/>
      <c r="AN83" s="61" t="str">
        <f>IF(H83="","",H83)</f>
        <v/>
      </c>
      <c r="AO83" s="60" t="str">
        <f>IF(AN83="","",VLOOKUP(AN83,'11. Lists'!$F$36:$H$38,2,FALSE))</f>
        <v/>
      </c>
      <c r="AP83" s="150" t="str">
        <f>IF(AN83="","",VLOOKUP(AN83,'11. Lists'!$F$36:$H$38,3,FALSE))</f>
        <v/>
      </c>
      <c r="AQ83" s="161" t="str">
        <f>IF(D83="","",IF(AX83="Distinctiveness","N/A",VLOOKUP(F83,'10. Condition and Temporal'!$B$6:$L$103,11,FALSE)))</f>
        <v/>
      </c>
      <c r="AR83" s="165" t="str">
        <f>IF(AQ83="","",IF(AQ83="N/A","1",VLOOKUP(AQ83,'11. Lists'!$I$47:$K$80,3,FALSE)))</f>
        <v/>
      </c>
      <c r="AS83" s="510" t="str">
        <f>IF(D83="","",IF(AX83="Condition","N/A",VLOOKUP(F83,'10. Condition and Temporal'!$B$6:$M$106,12,FALSE)))</f>
        <v/>
      </c>
      <c r="AT83" s="165" t="str">
        <f>IF(AS83="","",IF(AS83="N/A","1",VLOOKUP(AS83,'11. Lists'!$I$47:$K$80,3,FALSE)))</f>
        <v/>
      </c>
      <c r="AU83" s="161" t="str">
        <f>IF(D83="","",VLOOKUP(F83,'9. All Habitats + Multipliers'!$C$4:$K$102,8,FALSE))</f>
        <v/>
      </c>
      <c r="AV83" s="162" t="str">
        <f>IF(AU83="","",VLOOKUP(AU83,'11. Lists'!$J$35:$K$38,2,FALSE))</f>
        <v/>
      </c>
      <c r="AW83" s="217" t="str">
        <f>IF(D83="","",VLOOKUP(D83,'10. Condition and Temporal'!$B$6:$M$103,4,FALSE))</f>
        <v/>
      </c>
      <c r="AX83" s="217" t="str">
        <f>IF(F83="","",IF(D83=F83,"Condition","Distinctiveness"))</f>
        <v/>
      </c>
      <c r="AY83" s="455" t="str">
        <f>IF(COUNTIF(F83,"*grassland*"),"Grassland",IF(COUNTIF(F83,"*scree*"),"Sparsely vegetated land",C83))</f>
        <v/>
      </c>
      <c r="BA83" s="61">
        <v>16</v>
      </c>
      <c r="BB83" s="60" t="str">
        <f>TRIM(MID(SUBSTITUTE($AW$68,$BA$64,REPT(" ",LEN($AW$68))),($BA83-1)*LEN($AW$68)+1,LEN($AW$68)))</f>
        <v/>
      </c>
      <c r="BC83" s="60" t="str">
        <f>TRIM(MID(SUBSTITUTE($AW$69,$BA$64,REPT(" ",LEN($AW$69))),($BA83-1)*LEN($AW$69)+1,LEN($AW$69)))</f>
        <v/>
      </c>
      <c r="BD83" s="60" t="str">
        <f>TRIM(MID(SUBSTITUTE($AW$70,$BA$64,REPT(" ",LEN($AW$70))),($BA83-1)*LEN($AW$70)+1,LEN($AW$70)))</f>
        <v/>
      </c>
      <c r="BE83" s="60" t="str">
        <f>TRIM(MID(SUBSTITUTE($AW$71,$BA$64,REPT(" ",LEN($AW$71))),($BA83-1)*LEN($AW$71)+1,LEN($AW$71)))</f>
        <v/>
      </c>
      <c r="BF83" s="60" t="str">
        <f>TRIM(MID(SUBSTITUTE($AW$72,$BA$64,REPT(" ",LEN($AW$72))),($BA83-1)*LEN($AW$72)+1,LEN($AW$72)))</f>
        <v/>
      </c>
      <c r="BG83" s="60" t="str">
        <f>TRIM(MID(SUBSTITUTE($AW$73,$BA$64,REPT(" ",LEN($AW$73))),($BA83-1)*LEN($AW$73)+1,LEN($AW$73)))</f>
        <v/>
      </c>
      <c r="BH83" s="60" t="str">
        <f>TRIM(MID(SUBSTITUTE($AW$74,$BA$64,REPT(" ",LEN($AW$74))),($BA83-1)*LEN($AW$74)+1,LEN($AW$74)))</f>
        <v/>
      </c>
      <c r="BI83" s="60" t="str">
        <f>TRIM(MID(SUBSTITUTE($AW$75,$BA$64,REPT(" ",LEN($AW$75))),($BA83-1)*LEN($AW$75)+1,LEN($AW$75)))</f>
        <v/>
      </c>
      <c r="BJ83" s="60" t="str">
        <f>TRIM(MID(SUBSTITUTE($AW$76,$BA$64,REPT(" ",LEN($AW$76))),($BA83-1)*LEN($AW$76)+1,LEN($AW$76)))</f>
        <v/>
      </c>
      <c r="BK83" s="60" t="str">
        <f>TRIM(MID(SUBSTITUTE($AW$77,$BA$64,REPT(" ",LEN($AW$77))),($BA83-1)*LEN($AW$77)+1,LEN($AW$77)))</f>
        <v/>
      </c>
      <c r="BL83" s="60" t="str">
        <f>TRIM(MID(SUBSTITUTE($AW$78,$BA$64,REPT(" ",LEN($AW$78))),($BA83-1)*LEN($AW$78)+1,LEN($AW$78)))</f>
        <v/>
      </c>
      <c r="BM83" s="60" t="str">
        <f>TRIM(MID(SUBSTITUTE($AW$79,$BA$64,REPT(" ",LEN($AW$79))),($BA83-1)*LEN($AW$79)+1,LEN($AW$79)))</f>
        <v/>
      </c>
      <c r="BN83" s="60" t="str">
        <f>TRIM(MID(SUBSTITUTE($AW$80,$BA$64,REPT(" ",LEN($AW$80))),($BA83-1)*LEN($AW$80)+1,LEN($AW$80)))</f>
        <v/>
      </c>
      <c r="BO83" s="60" t="str">
        <f>TRIM(MID(SUBSTITUTE($AW$81,$BA$64,REPT(" ",LEN($AW$81))),($BA83-1)*LEN($AW$81)+1,LEN($AW$81)))</f>
        <v/>
      </c>
      <c r="BP83" s="60" t="str">
        <f>TRIM(MID(SUBSTITUTE($AW$82,$BA$64,REPT(" ",LEN($AW$82))),($BA83-1)*LEN($AW$82)+1,LEN($AW$82)))</f>
        <v/>
      </c>
      <c r="BQ83" s="60" t="str">
        <f>TRIM(MID(SUBSTITUTE($AW$83,$BA$64,REPT(" ",LEN($AW$83))),($BA83-1)*LEN($AW$83)+1,LEN($AW$83)))</f>
        <v/>
      </c>
      <c r="BR83" s="60" t="str">
        <f>TRIM(MID(SUBSTITUTE($AW$84,$BA$64,REPT(" ",LEN($AW$84))),($BA83-1)*LEN($AW$84)+1,LEN($AW$84)))</f>
        <v/>
      </c>
      <c r="BS83" s="60" t="str">
        <f>TRIM(MID(SUBSTITUTE($AW$85,$BA$64,REPT(" ",LEN($AW$85))),($BA83-1)*LEN($AW$85)+1,LEN($AW$85)))</f>
        <v/>
      </c>
      <c r="BT83" s="60" t="str">
        <f>TRIM(MID(SUBSTITUTE($AW$86,$BA$64,REPT(" ",LEN($AW$86))),($BA83-1)*LEN($AW$86)+1,LEN($AW$86)))</f>
        <v/>
      </c>
      <c r="BU83" s="150" t="str">
        <f>TRIM(MID(SUBSTITUTE($AW$87,$BA$64,REPT(" ",LEN($AW$87))),($BA83-1)*LEN($AW$87)+1,LEN($AW$87)))</f>
        <v/>
      </c>
      <c r="BV83" s="224" t="str">
        <f>IF(BX83=0,"",CONCATENATE(BW83,"68:",BW83,BX83+67))</f>
        <v/>
      </c>
      <c r="BW83" s="60" t="s">
        <v>204</v>
      </c>
      <c r="BX83" s="60">
        <f>BQ66</f>
        <v>0</v>
      </c>
    </row>
    <row r="84" spans="1:76" s="99" customFormat="1" ht="15.6" customHeight="1">
      <c r="A84" s="149"/>
      <c r="B84" s="285">
        <v>17</v>
      </c>
      <c r="C84" s="166" t="str">
        <f>IF(D84="","",C27)</f>
        <v/>
      </c>
      <c r="D84" s="237" t="str">
        <f>IF(OR(K27=0, K27=""),"",D27)</f>
        <v/>
      </c>
      <c r="E84" s="207" t="str">
        <f>IF(AX84="","",AX84)</f>
        <v/>
      </c>
      <c r="F84" s="739"/>
      <c r="G84" s="740"/>
      <c r="H84" s="204" t="str">
        <f>IF(D84="","",AB84)</f>
        <v/>
      </c>
      <c r="I84" s="334" t="str">
        <f>IF(OR(K27="", K27=0),"",K27)</f>
        <v/>
      </c>
      <c r="J84" s="741" t="str">
        <f>IFERROR(IF(F84="","",VLOOKUP(F84,'10. Condition and Temporal'!$B$6:$F$103,5,FALSE)), "Error ▲")</f>
        <v/>
      </c>
      <c r="K84" s="742"/>
      <c r="L84" s="304" t="str">
        <f>IFERROR(IF(D84="","",IF(AX84="Distinctiveness",(((((I84*AH84*AJ84)-(I84*V84*X84))*(AV84*AT84))+(I84*V84*X84))*(AP84))/10000,((((I84*AJ84*AH84)-(I84*V84*X84))*(AV84*AR84))+(I84*V84*X84))*AP84/10000)),"Error ▲")</f>
        <v/>
      </c>
      <c r="M84" s="743" t="str">
        <f>IFERROR(IF(F84="","",L84-AD84), "Error ▲")</f>
        <v/>
      </c>
      <c r="N84" s="744"/>
      <c r="O84" s="135"/>
      <c r="P84" s="87"/>
      <c r="R84" s="655"/>
      <c r="T84" s="217" t="str">
        <f>IF(D84="","",K27)</f>
        <v/>
      </c>
      <c r="U84" s="161" t="str">
        <f>IF($D84="","",T27)</f>
        <v/>
      </c>
      <c r="V84" s="150" t="str">
        <f>IF($D84="","",V27)</f>
        <v/>
      </c>
      <c r="W84" s="61" t="str">
        <f>IF($D84="","",W27)</f>
        <v/>
      </c>
      <c r="X84" s="150" t="str">
        <f>IF($D84="","",X27)</f>
        <v/>
      </c>
      <c r="Y84" s="371"/>
      <c r="Z84" s="349"/>
      <c r="AA84" s="494"/>
      <c r="AB84" s="61" t="str">
        <f>IF($D84="","",AB27)</f>
        <v/>
      </c>
      <c r="AC84" s="162" t="str">
        <f>IF($D84="","",AD27)</f>
        <v/>
      </c>
      <c r="AD84" s="217" t="str">
        <f>IF(AC84="","",(T84*V84*X84)*AC84/10000)</f>
        <v/>
      </c>
      <c r="AE84" s="217" t="str">
        <f>IF(AD84="","",IF(AH84&lt;V84,"Not Acceptable","Acceptable"))</f>
        <v/>
      </c>
      <c r="AF84" s="498" t="str">
        <f>IF(D84="","",I84)</f>
        <v/>
      </c>
      <c r="AG84" s="161" t="str">
        <f>IF(D84="","",VLOOKUP(F84,'9. All Habitats + Multipliers'!$C$4:$K$102,5,FALSE))</f>
        <v/>
      </c>
      <c r="AH84" s="350" t="str">
        <f>IF(AG84="","",VLOOKUP(AG84,'11. Lists'!$B$47:$D$49,2,FALSE))</f>
        <v/>
      </c>
      <c r="AI84" s="61" t="str">
        <f>IF(D84="","",J84)</f>
        <v/>
      </c>
      <c r="AJ84" s="150" t="str">
        <f>IF(AI84="","",VLOOKUP(AI84,'11. Lists'!$F$47:$G$51,2,FALSE))</f>
        <v/>
      </c>
      <c r="AK84" s="371"/>
      <c r="AL84" s="349"/>
      <c r="AM84" s="494"/>
      <c r="AN84" s="61" t="str">
        <f>IF(H84="","",H84)</f>
        <v/>
      </c>
      <c r="AO84" s="60" t="str">
        <f>IF(AN84="","",VLOOKUP(AN84,'11. Lists'!$F$36:$H$38,2,FALSE))</f>
        <v/>
      </c>
      <c r="AP84" s="150" t="str">
        <f>IF(AN84="","",VLOOKUP(AN84,'11. Lists'!$F$36:$H$38,3,FALSE))</f>
        <v/>
      </c>
      <c r="AQ84" s="161" t="str">
        <f>IF(D84="","",IF(AX84="Distinctiveness","N/A",VLOOKUP(F84,'10. Condition and Temporal'!$B$6:$L$103,11,FALSE)))</f>
        <v/>
      </c>
      <c r="AR84" s="165" t="str">
        <f>IF(AQ84="","",IF(AQ84="N/A","1",VLOOKUP(AQ84,'11. Lists'!$I$47:$K$80,3,FALSE)))</f>
        <v/>
      </c>
      <c r="AS84" s="510" t="str">
        <f>IF(D84="","",IF(AX84="Condition","N/A",VLOOKUP(F84,'10. Condition and Temporal'!$B$6:$M$106,12,FALSE)))</f>
        <v/>
      </c>
      <c r="AT84" s="165" t="str">
        <f>IF(AS84="","",IF(AS84="N/A","1",VLOOKUP(AS84,'11. Lists'!$I$47:$K$80,3,FALSE)))</f>
        <v/>
      </c>
      <c r="AU84" s="161" t="str">
        <f>IF(D84="","",VLOOKUP(F84,'9. All Habitats + Multipliers'!$C$4:$K$102,8,FALSE))</f>
        <v/>
      </c>
      <c r="AV84" s="162" t="str">
        <f>IF(AU84="","",VLOOKUP(AU84,'11. Lists'!$J$35:$K$38,2,FALSE))</f>
        <v/>
      </c>
      <c r="AW84" s="217" t="str">
        <f>IF(D84="","",VLOOKUP(D84,'10. Condition and Temporal'!$B$6:$M$103,4,FALSE))</f>
        <v/>
      </c>
      <c r="AX84" s="217" t="str">
        <f>IF(F84="","",IF(D84=F84,"Condition","Distinctiveness"))</f>
        <v/>
      </c>
      <c r="AY84" s="455" t="str">
        <f>IF(COUNTIF(F84,"*grassland*"),"Grassland",IF(COUNTIF(F84,"*scree*"),"Sparsely vegetated land",C84))</f>
        <v/>
      </c>
      <c r="BA84" s="61">
        <v>17</v>
      </c>
      <c r="BB84" s="60" t="str">
        <f>TRIM(MID(SUBSTITUTE($AW$68,$BA$64,REPT(" ",LEN($AW$68))),($BA84-1)*LEN($AW$68)+1,LEN($AW$68)))</f>
        <v/>
      </c>
      <c r="BC84" s="60" t="str">
        <f>TRIM(MID(SUBSTITUTE($AW$69,$BA$64,REPT(" ",LEN($AW$69))),($BA84-1)*LEN($AW$69)+1,LEN($AW$69)))</f>
        <v/>
      </c>
      <c r="BD84" s="60" t="str">
        <f>TRIM(MID(SUBSTITUTE($AW$70,$BA$64,REPT(" ",LEN($AW$70))),($BA84-1)*LEN($AW$70)+1,LEN($AW$70)))</f>
        <v/>
      </c>
      <c r="BE84" s="60" t="str">
        <f>TRIM(MID(SUBSTITUTE($AW$71,$BA$64,REPT(" ",LEN($AW$71))),($BA84-1)*LEN($AW$71)+1,LEN($AW$71)))</f>
        <v/>
      </c>
      <c r="BF84" s="60" t="str">
        <f>TRIM(MID(SUBSTITUTE($AW$72,$BA$64,REPT(" ",LEN($AW$72))),($BA84-1)*LEN($AW$72)+1,LEN($AW$72)))</f>
        <v/>
      </c>
      <c r="BG84" s="60" t="str">
        <f>TRIM(MID(SUBSTITUTE($AW$73,$BA$64,REPT(" ",LEN($AW$73))),($BA84-1)*LEN($AW$73)+1,LEN($AW$73)))</f>
        <v/>
      </c>
      <c r="BH84" s="60" t="str">
        <f>TRIM(MID(SUBSTITUTE($AW$74,$BA$64,REPT(" ",LEN($AW$74))),($BA84-1)*LEN($AW$74)+1,LEN($AW$74)))</f>
        <v/>
      </c>
      <c r="BI84" s="60" t="str">
        <f>TRIM(MID(SUBSTITUTE($AW$75,$BA$64,REPT(" ",LEN($AW$75))),($BA84-1)*LEN($AW$75)+1,LEN($AW$75)))</f>
        <v/>
      </c>
      <c r="BJ84" s="60" t="str">
        <f>TRIM(MID(SUBSTITUTE($AW$76,$BA$64,REPT(" ",LEN($AW$76))),($BA84-1)*LEN($AW$76)+1,LEN($AW$76)))</f>
        <v/>
      </c>
      <c r="BK84" s="60" t="str">
        <f>TRIM(MID(SUBSTITUTE($AW$77,$BA$64,REPT(" ",LEN($AW$77))),($BA84-1)*LEN($AW$77)+1,LEN($AW$77)))</f>
        <v/>
      </c>
      <c r="BL84" s="60" t="str">
        <f>TRIM(MID(SUBSTITUTE($AW$78,$BA$64,REPT(" ",LEN($AW$78))),($BA84-1)*LEN($AW$78)+1,LEN($AW$78)))</f>
        <v/>
      </c>
      <c r="BM84" s="60" t="str">
        <f>TRIM(MID(SUBSTITUTE($AW$79,$BA$64,REPT(" ",LEN($AW$79))),($BA84-1)*LEN($AW$79)+1,LEN($AW$79)))</f>
        <v/>
      </c>
      <c r="BN84" s="60" t="str">
        <f>TRIM(MID(SUBSTITUTE($AW$80,$BA$64,REPT(" ",LEN($AW$80))),($BA84-1)*LEN($AW$80)+1,LEN($AW$80)))</f>
        <v/>
      </c>
      <c r="BO84" s="60" t="str">
        <f>TRIM(MID(SUBSTITUTE($AW$81,$BA$64,REPT(" ",LEN($AW$81))),($BA84-1)*LEN($AW$81)+1,LEN($AW$81)))</f>
        <v/>
      </c>
      <c r="BP84" s="60" t="str">
        <f>TRIM(MID(SUBSTITUTE($AW$82,$BA$64,REPT(" ",LEN($AW$82))),($BA84-1)*LEN($AW$82)+1,LEN($AW$82)))</f>
        <v/>
      </c>
      <c r="BQ84" s="60" t="str">
        <f>TRIM(MID(SUBSTITUTE($AW$83,$BA$64,REPT(" ",LEN($AW$83))),($BA84-1)*LEN($AW$83)+1,LEN($AW$83)))</f>
        <v/>
      </c>
      <c r="BR84" s="60" t="str">
        <f>TRIM(MID(SUBSTITUTE($AW$84,$BA$64,REPT(" ",LEN($AW$84))),($BA84-1)*LEN($AW$84)+1,LEN($AW$84)))</f>
        <v/>
      </c>
      <c r="BS84" s="60" t="str">
        <f>TRIM(MID(SUBSTITUTE($AW$85,$BA$64,REPT(" ",LEN($AW$85))),($BA84-1)*LEN($AW$85)+1,LEN($AW$85)))</f>
        <v/>
      </c>
      <c r="BT84" s="60" t="str">
        <f>TRIM(MID(SUBSTITUTE($AW$86,$BA$64,REPT(" ",LEN($AW$86))),($BA84-1)*LEN($AW$86)+1,LEN($AW$86)))</f>
        <v/>
      </c>
      <c r="BU84" s="150" t="str">
        <f>TRIM(MID(SUBSTITUTE($AW$87,$BA$64,REPT(" ",LEN($AW$87))),($BA84-1)*LEN($AW$87)+1,LEN($AW$87)))</f>
        <v/>
      </c>
      <c r="BV84" s="224" t="str">
        <f>IF(BX84=0,"",CONCATENATE(BW84,"68:",BW84,BX84+67))</f>
        <v/>
      </c>
      <c r="BW84" s="60" t="s">
        <v>205</v>
      </c>
      <c r="BX84" s="60">
        <f>BR66</f>
        <v>0</v>
      </c>
    </row>
    <row r="85" spans="1:76" s="99" customFormat="1" ht="15.6" customHeight="1">
      <c r="A85" s="149"/>
      <c r="B85" s="285">
        <v>18</v>
      </c>
      <c r="C85" s="166" t="str">
        <f>IF(D85="","",C28)</f>
        <v/>
      </c>
      <c r="D85" s="237" t="str">
        <f>IF(OR(K28=0, K28=""),"",D28)</f>
        <v/>
      </c>
      <c r="E85" s="207" t="str">
        <f>IF(AX85="","",AX85)</f>
        <v/>
      </c>
      <c r="F85" s="739"/>
      <c r="G85" s="740"/>
      <c r="H85" s="204" t="str">
        <f>IF(D85="","",AB85)</f>
        <v/>
      </c>
      <c r="I85" s="334" t="str">
        <f>IF(OR(K28="", K28=0),"",K28)</f>
        <v/>
      </c>
      <c r="J85" s="741" t="str">
        <f>IFERROR(IF(F85="","",VLOOKUP(F85,'10. Condition and Temporal'!$B$6:$F$103,5,FALSE)), "Error ▲")</f>
        <v/>
      </c>
      <c r="K85" s="742"/>
      <c r="L85" s="304" t="str">
        <f>IFERROR(IF(D85="","",IF(AX85="Distinctiveness",(((((I85*AH85*AJ85)-(I85*V85*X85))*(AV85*AT85))+(I85*V85*X85))*(AP85))/10000,((((I85*AJ85*AH85)-(I85*V85*X85))*(AV85*AR85))+(I85*V85*X85))*AP85/10000)),"Error ▲")</f>
        <v/>
      </c>
      <c r="M85" s="743" t="str">
        <f>IFERROR(IF(F85="","",L85-AD85), "Error ▲")</f>
        <v/>
      </c>
      <c r="N85" s="744"/>
      <c r="O85" s="135"/>
      <c r="P85" s="87"/>
      <c r="R85" s="655"/>
      <c r="T85" s="217" t="str">
        <f>IF(D85="","",K28)</f>
        <v/>
      </c>
      <c r="U85" s="161" t="str">
        <f>IF($D85="","",T28)</f>
        <v/>
      </c>
      <c r="V85" s="150" t="str">
        <f>IF($D85="","",V28)</f>
        <v/>
      </c>
      <c r="W85" s="61" t="str">
        <f>IF($D85="","",W28)</f>
        <v/>
      </c>
      <c r="X85" s="150" t="str">
        <f>IF($D85="","",X28)</f>
        <v/>
      </c>
      <c r="Y85" s="371"/>
      <c r="Z85" s="349"/>
      <c r="AA85" s="494"/>
      <c r="AB85" s="61" t="str">
        <f>IF($D85="","",AB28)</f>
        <v/>
      </c>
      <c r="AC85" s="162" t="str">
        <f>IF($D85="","",AD28)</f>
        <v/>
      </c>
      <c r="AD85" s="217" t="str">
        <f>IF(AC85="","",(T85*V85*X85)*AC85/10000)</f>
        <v/>
      </c>
      <c r="AE85" s="217" t="str">
        <f>IF(AD85="","",IF(AH85&lt;V85,"Not Acceptable","Acceptable"))</f>
        <v/>
      </c>
      <c r="AF85" s="498" t="str">
        <f>IF(D85="","",I85)</f>
        <v/>
      </c>
      <c r="AG85" s="161" t="str">
        <f>IF(D85="","",VLOOKUP(F85,'9. All Habitats + Multipliers'!$C$4:$K$102,5,FALSE))</f>
        <v/>
      </c>
      <c r="AH85" s="350" t="str">
        <f>IF(AG85="","",VLOOKUP(AG85,'11. Lists'!$B$47:$D$49,2,FALSE))</f>
        <v/>
      </c>
      <c r="AI85" s="61" t="str">
        <f>IF(D85="","",J85)</f>
        <v/>
      </c>
      <c r="AJ85" s="150" t="str">
        <f>IF(AI85="","",VLOOKUP(AI85,'11. Lists'!$F$47:$G$51,2,FALSE))</f>
        <v/>
      </c>
      <c r="AK85" s="371"/>
      <c r="AL85" s="349"/>
      <c r="AM85" s="494"/>
      <c r="AN85" s="61" t="str">
        <f>IF(H85="","",H85)</f>
        <v/>
      </c>
      <c r="AO85" s="60" t="str">
        <f>IF(AN85="","",VLOOKUP(AN85,'11. Lists'!$F$36:$H$38,2,FALSE))</f>
        <v/>
      </c>
      <c r="AP85" s="150" t="str">
        <f>IF(AN85="","",VLOOKUP(AN85,'11. Lists'!$F$36:$H$38,3,FALSE))</f>
        <v/>
      </c>
      <c r="AQ85" s="161" t="str">
        <f>IF(D85="","",IF(AX85="Distinctiveness","N/A",VLOOKUP(F85,'10. Condition and Temporal'!$B$6:$L$103,11,FALSE)))</f>
        <v/>
      </c>
      <c r="AR85" s="165" t="str">
        <f>IF(AQ85="","",IF(AQ85="N/A","1",VLOOKUP(AQ85,'11. Lists'!$I$47:$K$80,3,FALSE)))</f>
        <v/>
      </c>
      <c r="AS85" s="510" t="str">
        <f>IF(D85="","",IF(AX85="Condition","N/A",VLOOKUP(F85,'10. Condition and Temporal'!$B$6:$M$106,12,FALSE)))</f>
        <v/>
      </c>
      <c r="AT85" s="165" t="str">
        <f>IF(AS85="","",IF(AS85="N/A","1",VLOOKUP(AS85,'11. Lists'!$I$47:$K$80,3,FALSE)))</f>
        <v/>
      </c>
      <c r="AU85" s="161" t="str">
        <f>IF(D85="","",VLOOKUP(F85,'9. All Habitats + Multipliers'!$C$4:$K$102,8,FALSE))</f>
        <v/>
      </c>
      <c r="AV85" s="162" t="str">
        <f>IF(AU85="","",VLOOKUP(AU85,'11. Lists'!$J$35:$K$38,2,FALSE))</f>
        <v/>
      </c>
      <c r="AW85" s="217" t="str">
        <f>IF(D85="","",VLOOKUP(D85,'10. Condition and Temporal'!$B$6:$M$103,4,FALSE))</f>
        <v/>
      </c>
      <c r="AX85" s="217" t="str">
        <f>IF(F85="","",IF(D85=F85,"Condition","Distinctiveness"))</f>
        <v/>
      </c>
      <c r="AY85" s="455" t="str">
        <f>IF(COUNTIF(F85,"*grassland*"),"Grassland",IF(COUNTIF(F85,"*scree*"),"Sparsely vegetated land",C85))</f>
        <v/>
      </c>
      <c r="BA85" s="61">
        <v>18</v>
      </c>
      <c r="BB85" s="60" t="str">
        <f>TRIM(MID(SUBSTITUTE($AW$68,$BA$64,REPT(" ",LEN($AW$68))),($BA85-1)*LEN($AW$68)+1,LEN($AW$68)))</f>
        <v/>
      </c>
      <c r="BC85" s="60" t="str">
        <f>TRIM(MID(SUBSTITUTE($AW$69,$BA$64,REPT(" ",LEN($AW$69))),($BA85-1)*LEN($AW$69)+1,LEN($AW$69)))</f>
        <v/>
      </c>
      <c r="BD85" s="60" t="str">
        <f>TRIM(MID(SUBSTITUTE($AW$70,$BA$64,REPT(" ",LEN($AW$70))),($BA85-1)*LEN($AW$70)+1,LEN($AW$70)))</f>
        <v/>
      </c>
      <c r="BE85" s="60" t="str">
        <f>TRIM(MID(SUBSTITUTE($AW$71,$BA$64,REPT(" ",LEN($AW$71))),($BA85-1)*LEN($AW$71)+1,LEN($AW$71)))</f>
        <v/>
      </c>
      <c r="BF85" s="60" t="str">
        <f>TRIM(MID(SUBSTITUTE($AW$72,$BA$64,REPT(" ",LEN($AW$72))),($BA85-1)*LEN($AW$72)+1,LEN($AW$72)))</f>
        <v/>
      </c>
      <c r="BG85" s="60" t="str">
        <f>TRIM(MID(SUBSTITUTE($AW$73,$BA$64,REPT(" ",LEN($AW$73))),($BA85-1)*LEN($AW$73)+1,LEN($AW$73)))</f>
        <v/>
      </c>
      <c r="BH85" s="60" t="str">
        <f>TRIM(MID(SUBSTITUTE($AW$74,$BA$64,REPT(" ",LEN($AW$74))),($BA85-1)*LEN($AW$74)+1,LEN($AW$74)))</f>
        <v/>
      </c>
      <c r="BI85" s="60" t="str">
        <f>TRIM(MID(SUBSTITUTE($AW$75,$BA$64,REPT(" ",LEN($AW$75))),($BA85-1)*LEN($AW$75)+1,LEN($AW$75)))</f>
        <v/>
      </c>
      <c r="BJ85" s="60" t="str">
        <f>TRIM(MID(SUBSTITUTE($AW$76,$BA$64,REPT(" ",LEN($AW$76))),($BA85-1)*LEN($AW$76)+1,LEN($AW$76)))</f>
        <v/>
      </c>
      <c r="BK85" s="60" t="str">
        <f>TRIM(MID(SUBSTITUTE($AW$77,$BA$64,REPT(" ",LEN($AW$77))),($BA85-1)*LEN($AW$77)+1,LEN($AW$77)))</f>
        <v/>
      </c>
      <c r="BL85" s="60" t="str">
        <f>TRIM(MID(SUBSTITUTE($AW$78,$BA$64,REPT(" ",LEN($AW$78))),($BA85-1)*LEN($AW$78)+1,LEN($AW$78)))</f>
        <v/>
      </c>
      <c r="BM85" s="60" t="str">
        <f>TRIM(MID(SUBSTITUTE($AW$79,$BA$64,REPT(" ",LEN($AW$79))),($BA85-1)*LEN($AW$79)+1,LEN($AW$79)))</f>
        <v/>
      </c>
      <c r="BN85" s="60" t="str">
        <f>TRIM(MID(SUBSTITUTE($AW$80,$BA$64,REPT(" ",LEN($AW$80))),($BA85-1)*LEN($AW$80)+1,LEN($AW$80)))</f>
        <v/>
      </c>
      <c r="BO85" s="60" t="str">
        <f>TRIM(MID(SUBSTITUTE($AW$81,$BA$64,REPT(" ",LEN($AW$81))),($BA85-1)*LEN($AW$81)+1,LEN($AW$81)))</f>
        <v/>
      </c>
      <c r="BP85" s="60" t="str">
        <f>TRIM(MID(SUBSTITUTE($AW$82,$BA$64,REPT(" ",LEN($AW$82))),($BA85-1)*LEN($AW$82)+1,LEN($AW$82)))</f>
        <v/>
      </c>
      <c r="BQ85" s="60" t="str">
        <f>TRIM(MID(SUBSTITUTE($AW$83,$BA$64,REPT(" ",LEN($AW$83))),($BA85-1)*LEN($AW$83)+1,LEN($AW$83)))</f>
        <v/>
      </c>
      <c r="BR85" s="60" t="str">
        <f>TRIM(MID(SUBSTITUTE($AW$84,$BA$64,REPT(" ",LEN($AW$84))),($BA85-1)*LEN($AW$84)+1,LEN($AW$84)))</f>
        <v/>
      </c>
      <c r="BS85" s="60" t="str">
        <f>TRIM(MID(SUBSTITUTE($AW$85,$BA$64,REPT(" ",LEN($AW$85))),($BA85-1)*LEN($AW$85)+1,LEN($AW$85)))</f>
        <v/>
      </c>
      <c r="BT85" s="60" t="str">
        <f>TRIM(MID(SUBSTITUTE($AW$86,$BA$64,REPT(" ",LEN($AW$86))),($BA85-1)*LEN($AW$86)+1,LEN($AW$86)))</f>
        <v/>
      </c>
      <c r="BU85" s="150" t="str">
        <f>TRIM(MID(SUBSTITUTE($AW$87,$BA$64,REPT(" ",LEN($AW$87))),($BA85-1)*LEN($AW$87)+1,LEN($AW$87)))</f>
        <v/>
      </c>
      <c r="BV85" s="224" t="str">
        <f>IF(BX85=0,"",CONCATENATE(BW85,"68:",BW85,BX85+67))</f>
        <v/>
      </c>
      <c r="BW85" s="60" t="s">
        <v>206</v>
      </c>
      <c r="BX85" s="60">
        <f>BS66</f>
        <v>0</v>
      </c>
    </row>
    <row r="86" spans="1:76" s="99" customFormat="1" ht="15.6" customHeight="1">
      <c r="A86" s="149"/>
      <c r="B86" s="285">
        <v>19</v>
      </c>
      <c r="C86" s="166" t="str">
        <f>IF(D86="","",C29)</f>
        <v/>
      </c>
      <c r="D86" s="237" t="str">
        <f>IF(OR(K29=0, K29=""),"",D29)</f>
        <v/>
      </c>
      <c r="E86" s="207" t="str">
        <f>IF(AX86="","",AX86)</f>
        <v/>
      </c>
      <c r="F86" s="739"/>
      <c r="G86" s="740"/>
      <c r="H86" s="204" t="str">
        <f>IF(D86="","",AB86)</f>
        <v/>
      </c>
      <c r="I86" s="334" t="str">
        <f>IF(OR(K29="", K29=0),"",K29)</f>
        <v/>
      </c>
      <c r="J86" s="741" t="str">
        <f>IFERROR(IF(F86="","",VLOOKUP(F86,'10. Condition and Temporal'!$B$6:$F$103,5,FALSE)), "Error ▲")</f>
        <v/>
      </c>
      <c r="K86" s="742"/>
      <c r="L86" s="304" t="str">
        <f>IFERROR(IF(D86="","",IF(AX86="Distinctiveness",(((((I86*AH86*AJ86)-(I86*V86*X86))*(AV86*AT86))+(I86*V86*X86))*(AP86))/10000,((((I86*AJ86*AH86)-(I86*V86*X86))*(AV86*AR86))+(I86*V86*X86))*AP86/10000)),"Error ▲")</f>
        <v/>
      </c>
      <c r="M86" s="743" t="str">
        <f>IFERROR(IF(F86="","",L86-AD86), "Error ▲")</f>
        <v/>
      </c>
      <c r="N86" s="744"/>
      <c r="O86" s="135"/>
      <c r="P86" s="87"/>
      <c r="R86" s="655"/>
      <c r="T86" s="217" t="str">
        <f>IF(D86="","",K29)</f>
        <v/>
      </c>
      <c r="U86" s="161" t="str">
        <f>IF($D86="","",T29)</f>
        <v/>
      </c>
      <c r="V86" s="150" t="str">
        <f>IF($D86="","",V29)</f>
        <v/>
      </c>
      <c r="W86" s="61" t="str">
        <f>IF($D86="","",W29)</f>
        <v/>
      </c>
      <c r="X86" s="150" t="str">
        <f>IF($D86="","",X29)</f>
        <v/>
      </c>
      <c r="Y86" s="371"/>
      <c r="Z86" s="349"/>
      <c r="AA86" s="494"/>
      <c r="AB86" s="61" t="str">
        <f>IF($D86="","",AB29)</f>
        <v/>
      </c>
      <c r="AC86" s="162" t="str">
        <f>IF($D86="","",AD29)</f>
        <v/>
      </c>
      <c r="AD86" s="217" t="str">
        <f>IF(AC86="","",(T86*V86*X86)*AC86/10000)</f>
        <v/>
      </c>
      <c r="AE86" s="217" t="str">
        <f>IF(AD86="","",IF(AH86&lt;V86,"Not Acceptable","Acceptable"))</f>
        <v/>
      </c>
      <c r="AF86" s="498" t="str">
        <f>IF(D86="","",I86)</f>
        <v/>
      </c>
      <c r="AG86" s="161" t="str">
        <f>IF(D86="","",VLOOKUP(F86,'9. All Habitats + Multipliers'!$C$4:$K$102,5,FALSE))</f>
        <v/>
      </c>
      <c r="AH86" s="350" t="str">
        <f>IF(AG86="","",VLOOKUP(AG86,'11. Lists'!$B$47:$D$49,2,FALSE))</f>
        <v/>
      </c>
      <c r="AI86" s="61" t="str">
        <f>IF(D86="","",J86)</f>
        <v/>
      </c>
      <c r="AJ86" s="150" t="str">
        <f>IF(AI86="","",VLOOKUP(AI86,'11. Lists'!$F$47:$G$51,2,FALSE))</f>
        <v/>
      </c>
      <c r="AK86" s="371"/>
      <c r="AL86" s="349"/>
      <c r="AM86" s="494"/>
      <c r="AN86" s="61" t="str">
        <f>IF(H86="","",H86)</f>
        <v/>
      </c>
      <c r="AO86" s="60" t="str">
        <f>IF(AN86="","",VLOOKUP(AN86,'11. Lists'!$F$36:$H$38,2,FALSE))</f>
        <v/>
      </c>
      <c r="AP86" s="150" t="str">
        <f>IF(AN86="","",VLOOKUP(AN86,'11. Lists'!$F$36:$H$38,3,FALSE))</f>
        <v/>
      </c>
      <c r="AQ86" s="161" t="str">
        <f>IF(D86="","",IF(AX86="Distinctiveness","N/A",VLOOKUP(F86,'10. Condition and Temporal'!$B$6:$L$103,11,FALSE)))</f>
        <v/>
      </c>
      <c r="AR86" s="165" t="str">
        <f>IF(AQ86="","",IF(AQ86="N/A","1",VLOOKUP(AQ86,'11. Lists'!$I$47:$K$80,3,FALSE)))</f>
        <v/>
      </c>
      <c r="AS86" s="510" t="str">
        <f>IF(D86="","",IF(AX86="Condition","N/A",VLOOKUP(F86,'10. Condition and Temporal'!$B$6:$M$106,12,FALSE)))</f>
        <v/>
      </c>
      <c r="AT86" s="165" t="str">
        <f>IF(AS86="","",IF(AS86="N/A","1",VLOOKUP(AS86,'11. Lists'!$I$47:$K$80,3,FALSE)))</f>
        <v/>
      </c>
      <c r="AU86" s="161" t="str">
        <f>IF(D86="","",VLOOKUP(F86,'9. All Habitats + Multipliers'!$C$4:$K$102,8,FALSE))</f>
        <v/>
      </c>
      <c r="AV86" s="162" t="str">
        <f>IF(AU86="","",VLOOKUP(AU86,'11. Lists'!$J$35:$K$38,2,FALSE))</f>
        <v/>
      </c>
      <c r="AW86" s="217" t="str">
        <f>IF(D86="","",VLOOKUP(D86,'10. Condition and Temporal'!$B$6:$M$103,4,FALSE))</f>
        <v/>
      </c>
      <c r="AX86" s="217" t="str">
        <f>IF(F86="","",IF(D86=F86,"Condition","Distinctiveness"))</f>
        <v/>
      </c>
      <c r="AY86" s="455" t="str">
        <f>IF(COUNTIF(F86,"*grassland*"),"Grassland",IF(COUNTIF(F86,"*scree*"),"Sparsely vegetated land",C86))</f>
        <v/>
      </c>
      <c r="BA86" s="61">
        <v>19</v>
      </c>
      <c r="BB86" s="60" t="str">
        <f>TRIM(MID(SUBSTITUTE($AW$68,$BA$64,REPT(" ",LEN($AW$68))),($BA86-1)*LEN($AW$68)+1,LEN($AW$68)))</f>
        <v/>
      </c>
      <c r="BC86" s="60" t="str">
        <f>TRIM(MID(SUBSTITUTE($AW$69,$BA$64,REPT(" ",LEN($AW$69))),($BA86-1)*LEN($AW$69)+1,LEN($AW$69)))</f>
        <v/>
      </c>
      <c r="BD86" s="60" t="str">
        <f>TRIM(MID(SUBSTITUTE($AW$70,$BA$64,REPT(" ",LEN($AW$70))),($BA86-1)*LEN($AW$70)+1,LEN($AW$70)))</f>
        <v/>
      </c>
      <c r="BE86" s="60" t="str">
        <f>TRIM(MID(SUBSTITUTE($AW$71,$BA$64,REPT(" ",LEN($AW$71))),($BA86-1)*LEN($AW$71)+1,LEN($AW$71)))</f>
        <v/>
      </c>
      <c r="BF86" s="60" t="str">
        <f>TRIM(MID(SUBSTITUTE($AW$72,$BA$64,REPT(" ",LEN($AW$72))),($BA86-1)*LEN($AW$72)+1,LEN($AW$72)))</f>
        <v/>
      </c>
      <c r="BG86" s="60" t="str">
        <f>TRIM(MID(SUBSTITUTE($AW$73,$BA$64,REPT(" ",LEN($AW$73))),($BA86-1)*LEN($AW$73)+1,LEN($AW$73)))</f>
        <v/>
      </c>
      <c r="BH86" s="60" t="str">
        <f>TRIM(MID(SUBSTITUTE($AW$74,$BA$64,REPT(" ",LEN($AW$74))),($BA86-1)*LEN($AW$74)+1,LEN($AW$74)))</f>
        <v/>
      </c>
      <c r="BI86" s="60" t="str">
        <f>TRIM(MID(SUBSTITUTE($AW$75,$BA$64,REPT(" ",LEN($AW$75))),($BA86-1)*LEN($AW$75)+1,LEN($AW$75)))</f>
        <v/>
      </c>
      <c r="BJ86" s="60" t="str">
        <f>TRIM(MID(SUBSTITUTE($AW$76,$BA$64,REPT(" ",LEN($AW$76))),($BA86-1)*LEN($AW$76)+1,LEN($AW$76)))</f>
        <v/>
      </c>
      <c r="BK86" s="60" t="str">
        <f>TRIM(MID(SUBSTITUTE($AW$77,$BA$64,REPT(" ",LEN($AW$77))),($BA86-1)*LEN($AW$77)+1,LEN($AW$77)))</f>
        <v/>
      </c>
      <c r="BL86" s="60" t="str">
        <f>TRIM(MID(SUBSTITUTE($AW$78,$BA$64,REPT(" ",LEN($AW$78))),($BA86-1)*LEN($AW$78)+1,LEN($AW$78)))</f>
        <v/>
      </c>
      <c r="BM86" s="60" t="str">
        <f>TRIM(MID(SUBSTITUTE($AW$79,$BA$64,REPT(" ",LEN($AW$79))),($BA86-1)*LEN($AW$79)+1,LEN($AW$79)))</f>
        <v/>
      </c>
      <c r="BN86" s="60" t="str">
        <f>TRIM(MID(SUBSTITUTE($AW$80,$BA$64,REPT(" ",LEN($AW$80))),($BA86-1)*LEN($AW$80)+1,LEN($AW$80)))</f>
        <v/>
      </c>
      <c r="BO86" s="60" t="str">
        <f>TRIM(MID(SUBSTITUTE($AW$81,$BA$64,REPT(" ",LEN($AW$81))),($BA86-1)*LEN($AW$81)+1,LEN($AW$81)))</f>
        <v/>
      </c>
      <c r="BP86" s="60" t="str">
        <f>TRIM(MID(SUBSTITUTE($AW$82,$BA$64,REPT(" ",LEN($AW$82))),($BA86-1)*LEN($AW$82)+1,LEN($AW$82)))</f>
        <v/>
      </c>
      <c r="BQ86" s="60" t="str">
        <f>TRIM(MID(SUBSTITUTE($AW$83,$BA$64,REPT(" ",LEN($AW$83))),($BA86-1)*LEN($AW$83)+1,LEN($AW$83)))</f>
        <v/>
      </c>
      <c r="BR86" s="60" t="str">
        <f>TRIM(MID(SUBSTITUTE($AW$84,$BA$64,REPT(" ",LEN($AW$84))),($BA86-1)*LEN($AW$84)+1,LEN($AW$84)))</f>
        <v/>
      </c>
      <c r="BS86" s="60" t="str">
        <f>TRIM(MID(SUBSTITUTE($AW$85,$BA$64,REPT(" ",LEN($AW$85))),($BA86-1)*LEN($AW$85)+1,LEN($AW$85)))</f>
        <v/>
      </c>
      <c r="BT86" s="60" t="str">
        <f>TRIM(MID(SUBSTITUTE($AW$86,$BA$64,REPT(" ",LEN($AW$86))),($BA86-1)*LEN($AW$86)+1,LEN($AW$86)))</f>
        <v/>
      </c>
      <c r="BU86" s="150" t="str">
        <f>TRIM(MID(SUBSTITUTE($AW$87,$BA$64,REPT(" ",LEN($AW$87))),($BA86-1)*LEN($AW$87)+1,LEN($AW$87)))</f>
        <v/>
      </c>
      <c r="BV86" s="224" t="str">
        <f>IF(BX86=0,"",CONCATENATE(BW86,"68:",BW86,BX86+67))</f>
        <v/>
      </c>
      <c r="BW86" s="60" t="s">
        <v>207</v>
      </c>
      <c r="BX86" s="60">
        <f>BT66</f>
        <v>0</v>
      </c>
    </row>
    <row r="87" spans="1:76" s="99" customFormat="1" ht="16.149999999999999" customHeight="1">
      <c r="A87" s="149"/>
      <c r="B87" s="286">
        <v>20</v>
      </c>
      <c r="C87" s="184" t="str">
        <f>IF(D87="","",C30)</f>
        <v/>
      </c>
      <c r="D87" s="413" t="str">
        <f>IF(OR(K30=0, K30=""),"",D30)</f>
        <v/>
      </c>
      <c r="E87" s="208" t="str">
        <f>IF(AX87="","",AX87)</f>
        <v/>
      </c>
      <c r="F87" s="745"/>
      <c r="G87" s="746"/>
      <c r="H87" s="205" t="str">
        <f>IF(D87="","",AB87)</f>
        <v/>
      </c>
      <c r="I87" s="420" t="str">
        <f>IF(OR(K30="", K30=0),"",K30)</f>
        <v/>
      </c>
      <c r="J87" s="747" t="str">
        <f>IFERROR(IF(F87="","",VLOOKUP(F87,'10. Condition and Temporal'!$B$6:$F$103,5,FALSE)), "Error ▲")</f>
        <v/>
      </c>
      <c r="K87" s="748"/>
      <c r="L87" s="415" t="str">
        <f>IFERROR(IF(D87="","",IF(AX87="Distinctiveness",(((((I87*AH87*AJ87)-(I87*V87*X87))*(AV87*AT87))+(I87*V87*X87))*(AP87))/10000,((((I87*AJ87*AH87)-(I87*V87*X87))*(AV87*AR87))+(I87*V87*X87))*AP87/10000)),"Error ▲")</f>
        <v/>
      </c>
      <c r="M87" s="749" t="str">
        <f>IFERROR(IF(F87="","",L87-AD87), "Error ▲")</f>
        <v/>
      </c>
      <c r="N87" s="750"/>
      <c r="O87" s="136"/>
      <c r="P87" s="89"/>
      <c r="R87" s="655"/>
      <c r="T87" s="218" t="str">
        <f>IF(D87="","",K30)</f>
        <v/>
      </c>
      <c r="U87" s="490" t="str">
        <f>IF($D87="","",T30)</f>
        <v/>
      </c>
      <c r="V87" s="153" t="str">
        <f>IF($D87="","",V30)</f>
        <v/>
      </c>
      <c r="W87" s="57" t="str">
        <f>IF($D87="","",W30)</f>
        <v/>
      </c>
      <c r="X87" s="153" t="str">
        <f>IF($D87="","",X30)</f>
        <v/>
      </c>
      <c r="Y87" s="491"/>
      <c r="Z87" s="352"/>
      <c r="AA87" s="495"/>
      <c r="AB87" s="57" t="str">
        <f>IF($D87="","",AB30)</f>
        <v/>
      </c>
      <c r="AC87" s="496" t="str">
        <f>IF($D87="","",AD30)</f>
        <v/>
      </c>
      <c r="AD87" s="218" t="str">
        <f>IF(AC87="","",(T87*V87*X87)*AC87/10000)</f>
        <v/>
      </c>
      <c r="AE87" s="218" t="str">
        <f>IF(AD87="","",IF(AH87&lt;V87,"Not Acceptable","Acceptable"))</f>
        <v/>
      </c>
      <c r="AF87" s="499" t="str">
        <f>IF(D87="","",I87)</f>
        <v/>
      </c>
      <c r="AG87" s="490" t="str">
        <f>IF(D87="","",VLOOKUP(F87,'9. All Habitats + Multipliers'!$C$4:$K$102,5,FALSE))</f>
        <v/>
      </c>
      <c r="AH87" s="465" t="str">
        <f>IF(AG87="","",VLOOKUP(AG87,'11. Lists'!$B$47:$D$49,2,FALSE))</f>
        <v/>
      </c>
      <c r="AI87" s="57" t="str">
        <f>IF(D87="","",J87)</f>
        <v/>
      </c>
      <c r="AJ87" s="153" t="str">
        <f>IF(AI87="","",VLOOKUP(AI87,'11. Lists'!$F$47:$G$51,2,FALSE))</f>
        <v/>
      </c>
      <c r="AK87" s="371"/>
      <c r="AL87" s="349"/>
      <c r="AM87" s="494"/>
      <c r="AN87" s="57" t="str">
        <f>IF(H87="","",H87)</f>
        <v/>
      </c>
      <c r="AO87" s="56" t="str">
        <f>IF(AN87="","",VLOOKUP(AN87,'11. Lists'!$F$36:$H$38,2,FALSE))</f>
        <v/>
      </c>
      <c r="AP87" s="153" t="str">
        <f>IF(AN87="","",VLOOKUP(AN87,'11. Lists'!$F$36:$H$38,3,FALSE))</f>
        <v/>
      </c>
      <c r="AQ87" s="490" t="str">
        <f>IF(D87="","",IF(AX87="Distinctiveness","N/A",VLOOKUP(F87,'10. Condition and Temporal'!$B$6:$L$103,11,FALSE)))</f>
        <v/>
      </c>
      <c r="AR87" s="507" t="str">
        <f>IF(AQ87="","",IF(AQ87="N/A","1",VLOOKUP(AQ87,'11. Lists'!$I$47:$K$80,3,FALSE)))</f>
        <v/>
      </c>
      <c r="AS87" s="511" t="str">
        <f>IF(D87="","",IF(AX87="Condition","N/A",VLOOKUP(F87,'10. Condition and Temporal'!$B$6:$M$106,12,FALSE)))</f>
        <v/>
      </c>
      <c r="AT87" s="507" t="str">
        <f>IF(AS87="","",IF(AS87="N/A","1",VLOOKUP(AS87,'11. Lists'!$I$47:$K$80,3,FALSE)))</f>
        <v/>
      </c>
      <c r="AU87" s="490" t="str">
        <f>IF(D87="","",VLOOKUP(F87,'9. All Habitats + Multipliers'!$C$4:$K$102,8,FALSE))</f>
        <v/>
      </c>
      <c r="AV87" s="496" t="str">
        <f>IF(AU87="","",VLOOKUP(AU87,'11. Lists'!$J$35:$K$38,2,FALSE))</f>
        <v/>
      </c>
      <c r="AW87" s="218" t="str">
        <f>IF(D87="","",VLOOKUP(D87,'10. Condition and Temporal'!$B$6:$M$103,4,FALSE))</f>
        <v/>
      </c>
      <c r="AX87" s="218" t="str">
        <f>IF(F87="","",IF(D87=F87,"Condition","Distinctiveness"))</f>
        <v/>
      </c>
      <c r="AY87" s="456" t="str">
        <f>IF(COUNTIF(F87,"*grassland*"),"Grassland",IF(COUNTIF(F87,"*scree*"),"Sparsely vegetated land",C87))</f>
        <v/>
      </c>
      <c r="BA87" s="57">
        <v>20</v>
      </c>
      <c r="BB87" s="56" t="str">
        <f>TRIM(MID(SUBSTITUTE($AW$68,$BA$64,REPT(" ",LEN($AW$68))),($BA87-1)*LEN($AW$68)+1,LEN($AW$68)))</f>
        <v/>
      </c>
      <c r="BC87" s="56" t="str">
        <f>TRIM(MID(SUBSTITUTE($AW$69,$BA$64,REPT(" ",LEN($AW$69))),($BA87-1)*LEN($AW$69)+1,LEN($AW$69)))</f>
        <v/>
      </c>
      <c r="BD87" s="56" t="str">
        <f>TRIM(MID(SUBSTITUTE($AW$70,$BA$64,REPT(" ",LEN($AW$70))),($BA87-1)*LEN($AW$70)+1,LEN($AW$70)))</f>
        <v/>
      </c>
      <c r="BE87" s="56" t="str">
        <f>TRIM(MID(SUBSTITUTE($AW$71,$BA$64,REPT(" ",LEN($AW$71))),($BA87-1)*LEN($AW$71)+1,LEN($AW$71)))</f>
        <v/>
      </c>
      <c r="BF87" s="56" t="str">
        <f>TRIM(MID(SUBSTITUTE($AW$72,$BA$64,REPT(" ",LEN($AW$72))),($BA87-1)*LEN($AW$72)+1,LEN($AW$72)))</f>
        <v/>
      </c>
      <c r="BG87" s="56" t="str">
        <f>TRIM(MID(SUBSTITUTE($AW$73,$BA$64,REPT(" ",LEN($AW$73))),($BA87-1)*LEN($AW$73)+1,LEN($AW$73)))</f>
        <v/>
      </c>
      <c r="BH87" s="56" t="str">
        <f>TRIM(MID(SUBSTITUTE($AW$74,$BA$64,REPT(" ",LEN($AW$74))),($BA87-1)*LEN($AW$74)+1,LEN($AW$74)))</f>
        <v/>
      </c>
      <c r="BI87" s="56" t="str">
        <f>TRIM(MID(SUBSTITUTE($AW$75,$BA$64,REPT(" ",LEN($AW$75))),($BA87-1)*LEN($AW$75)+1,LEN($AW$75)))</f>
        <v/>
      </c>
      <c r="BJ87" s="56" t="str">
        <f>TRIM(MID(SUBSTITUTE($AW$76,$BA$64,REPT(" ",LEN($AW$76))),($BA87-1)*LEN($AW$76)+1,LEN($AW$76)))</f>
        <v/>
      </c>
      <c r="BK87" s="56" t="str">
        <f>TRIM(MID(SUBSTITUTE($AW$77,$BA$64,REPT(" ",LEN($AW$77))),($BA87-1)*LEN($AW$77)+1,LEN($AW$77)))</f>
        <v/>
      </c>
      <c r="BL87" s="56" t="str">
        <f>TRIM(MID(SUBSTITUTE($AW$78,$BA$64,REPT(" ",LEN($AW$78))),($BA87-1)*LEN($AW$78)+1,LEN($AW$78)))</f>
        <v/>
      </c>
      <c r="BM87" s="56" t="str">
        <f>TRIM(MID(SUBSTITUTE($AW$79,$BA$64,REPT(" ",LEN($AW$79))),($BA87-1)*LEN($AW$79)+1,LEN($AW$79)))</f>
        <v/>
      </c>
      <c r="BN87" s="56" t="str">
        <f>TRIM(MID(SUBSTITUTE($AW$80,$BA$64,REPT(" ",LEN($AW$80))),($BA87-1)*LEN($AW$80)+1,LEN($AW$80)))</f>
        <v/>
      </c>
      <c r="BO87" s="56" t="str">
        <f>TRIM(MID(SUBSTITUTE($AW$81,$BA$64,REPT(" ",LEN($AW$81))),($BA87-1)*LEN($AW$81)+1,LEN($AW$81)))</f>
        <v/>
      </c>
      <c r="BP87" s="56" t="str">
        <f>TRIM(MID(SUBSTITUTE($AW$82,$BA$64,REPT(" ",LEN($AW$82))),($BA87-1)*LEN($AW$82)+1,LEN($AW$82)))</f>
        <v/>
      </c>
      <c r="BQ87" s="56" t="str">
        <f>TRIM(MID(SUBSTITUTE($AW$83,$BA$64,REPT(" ",LEN($AW$83))),($BA87-1)*LEN($AW$83)+1,LEN($AW$83)))</f>
        <v/>
      </c>
      <c r="BR87" s="56" t="str">
        <f>TRIM(MID(SUBSTITUTE($AW$84,$BA$64,REPT(" ",LEN($AW$84))),($BA87-1)*LEN($AW$84)+1,LEN($AW$84)))</f>
        <v/>
      </c>
      <c r="BS87" s="56" t="str">
        <f>TRIM(MID(SUBSTITUTE($AW$85,$BA$64,REPT(" ",LEN($AW$85))),($BA87-1)*LEN($AW$85)+1,LEN($AW$85)))</f>
        <v/>
      </c>
      <c r="BT87" s="56" t="str">
        <f>TRIM(MID(SUBSTITUTE($AW$86,$BA$64,REPT(" ",LEN($AW$86))),($BA87-1)*LEN($AW$86)+1,LEN($AW$86)))</f>
        <v/>
      </c>
      <c r="BU87" s="153" t="str">
        <f>TRIM(MID(SUBSTITUTE($AW$87,$BA$64,REPT(" ",LEN($AW$87))),($BA87-1)*LEN($AW$87)+1,LEN($AW$87)))</f>
        <v/>
      </c>
      <c r="BV87" s="224" t="str">
        <f>IF(BX87=0,"",CONCATENATE(BW87,"68:",BW87,BX87+67))</f>
        <v/>
      </c>
      <c r="BW87" s="60" t="s">
        <v>208</v>
      </c>
      <c r="BX87" s="60">
        <f>BU66</f>
        <v>0</v>
      </c>
    </row>
    <row r="88" spans="1:76" s="99" customFormat="1" ht="32.65" hidden="1" customHeight="1">
      <c r="A88" s="149"/>
      <c r="B88" s="288" t="s">
        <v>123</v>
      </c>
      <c r="C88" s="152" t="s">
        <v>124</v>
      </c>
      <c r="D88" s="396" t="s">
        <v>125</v>
      </c>
      <c r="E88" s="152" t="str">
        <f>IF(AX88="","",AX88)</f>
        <v>Condition</v>
      </c>
      <c r="F88" s="714" t="s">
        <v>125</v>
      </c>
      <c r="G88" s="715"/>
      <c r="H88" s="397" t="s">
        <v>121</v>
      </c>
      <c r="I88" s="398">
        <v>0</v>
      </c>
      <c r="J88" s="716" t="str">
        <f>IF(F88="","",VLOOKUP(F88,'10. Condition and Temporal'!$B$6:$F$103,5,FALSE))</f>
        <v>Good</v>
      </c>
      <c r="K88" s="717"/>
      <c r="L88" s="399">
        <f>IFERROR(IF(D88="","",IF(AX88="Distinctiveness",(((((I88*AH88*AJ88)-(I88*V88*X88))*(AV88*AT88))+(I88*V88*X88))*(AP88))/10000,((((I88*AJ88*AH88)-(I88*V88*X88))*(AV88*AR88))+(I88*V88*X88))*AP88/10000)),"This intervention is not permitted within the SSM ▲")</f>
        <v>0</v>
      </c>
      <c r="M88" s="718">
        <f>L88-AD88</f>
        <v>0</v>
      </c>
      <c r="N88" s="719"/>
      <c r="O88" s="400"/>
      <c r="P88" s="108"/>
      <c r="R88" s="655"/>
      <c r="T88" s="210">
        <f>IF(D88="","",K31)</f>
        <v>0</v>
      </c>
      <c r="U88" s="211" t="str">
        <f>IF($D88="","",T31)</f>
        <v>Medium</v>
      </c>
      <c r="V88" s="354">
        <f>IF($D88="","",V31)</f>
        <v>4</v>
      </c>
      <c r="W88" s="211" t="str">
        <f>IF($D88="","",W31)</f>
        <v>Moderate</v>
      </c>
      <c r="X88" s="213">
        <f>IF($D88="","",X31)</f>
        <v>2</v>
      </c>
      <c r="Y88" s="353"/>
      <c r="Z88" s="353"/>
      <c r="AA88" s="353"/>
      <c r="AB88" s="213" t="str">
        <f>IF($D88="","",AB31)</f>
        <v>Formally identified in local strategy</v>
      </c>
      <c r="AC88" s="213">
        <f>IF($D88="","",AD31)</f>
        <v>1.1499999999999999</v>
      </c>
      <c r="AD88" s="212">
        <f>IF(AC88="","",(T88*V88*X88)*(AA88*AC88)/10000)</f>
        <v>0</v>
      </c>
      <c r="AE88" s="220" t="str">
        <f>IF(AD88="","",IF(AH88&lt;V88,"Not Acceptable","Acceptable"))</f>
        <v>Acceptable</v>
      </c>
      <c r="AF88" s="210">
        <f>IF(D88="","",I88)</f>
        <v>0</v>
      </c>
      <c r="AG88" s="211" t="str">
        <f>IF(D88="","",VLOOKUP(F88,'9. All Habitats + Multipliers'!$C$4:$K$102,5,FALSE))</f>
        <v>Medium</v>
      </c>
      <c r="AH88" s="212">
        <f>IF(AG88="","",VLOOKUP(AG88,'11. Lists'!$B$47:$D$49,2,FALSE))</f>
        <v>4</v>
      </c>
      <c r="AI88" s="501" t="str">
        <f>IF(D88="","",J88)</f>
        <v>Good</v>
      </c>
      <c r="AJ88" s="490">
        <f>IF(AI88="","",VLOOKUP(AI88,'11. Lists'!$F$47:$G$51,2,FALSE))</f>
        <v>3</v>
      </c>
      <c r="AK88" s="364"/>
      <c r="AL88" s="364"/>
      <c r="AM88" s="364"/>
      <c r="AN88" s="496" t="str">
        <f>IF(H88="","",H88)</f>
        <v>Area/compensation not in local strategy/ no local strategy</v>
      </c>
      <c r="AO88" s="504" t="str">
        <f>IF(AN88="","",VLOOKUP(AN88,'11. Lists'!$F$36:$H$38,2,FALSE))</f>
        <v>Low Strategic Significance</v>
      </c>
      <c r="AP88" s="496">
        <f>IF(AN88="","",VLOOKUP(AN88,'11. Lists'!$F$36:$H$38,3,FALSE))</f>
        <v>1</v>
      </c>
      <c r="AQ88" s="211">
        <f>IF(D88="","",VLOOKUP(F88,'10. Condition and Temporal'!$B$6:$L$103,11,FALSE))</f>
        <v>16</v>
      </c>
      <c r="AR88" s="215">
        <f>IF(AQ88="","",VLOOKUP(AQ88,'11. Lists'!$I$47:$K$80,3,FALSE))</f>
        <v>0.56550573479999999</v>
      </c>
      <c r="AS88" s="508" t="str">
        <f>IF(D88="","",VLOOKUP(F88,'10. Condition and Temporal'!$B$6:$M$106,12,FALSE))</f>
        <v>Not Possible</v>
      </c>
      <c r="AT88" s="165" t="str">
        <f>IF(AS88="","",IF(AS88="N/A","1",VLOOKUP(AS88,'11. Lists'!$I$47:$K$80,3,FALSE)))</f>
        <v>N/A</v>
      </c>
      <c r="AU88" s="214" t="str">
        <f>IF(D88="","",VLOOKUP(F88,'9. All Habitats + Multipliers'!$C$4:$K$102,8,FALSE))</f>
        <v>Low</v>
      </c>
      <c r="AV88" s="212">
        <f>IF(AU88="","",VLOOKUP(AU88,'11. Lists'!$J$35:$K$38,2,FALSE))</f>
        <v>1</v>
      </c>
      <c r="AW88" s="211" t="str">
        <f>IF(D88="","",VLOOKUP(D88,'10. Condition and Temporal'!$B$6:$M$103,4,FALSE))</f>
        <v>Urban/rural tree</v>
      </c>
      <c r="AX88" s="212" t="str">
        <f>IF(F88="","",IF(D88=F88,"Condition","Distinctivness"))</f>
        <v>Condition</v>
      </c>
      <c r="AY88" s="99" t="str">
        <f>C88</f>
        <v>Individual trees</v>
      </c>
    </row>
    <row r="89" spans="1:76" s="99" customFormat="1" ht="15" customHeight="1">
      <c r="H89" s="216" t="s">
        <v>127</v>
      </c>
      <c r="I89" s="331">
        <f>SUMIFS(I68:I87,F68:F87,"&lt;&gt;"&amp;'11. Lists'!Q10,F68:F87,"&lt;&gt;"&amp;'11. Lists'!Q11,F68:F87,"&lt;&gt;"&amp;'11. Lists'!I4,F68:F87,"&lt;&gt;"&amp;'11. Lists'!I2,F68:F87,"&lt;&gt;"&amp;'11. Lists'!I3)</f>
        <v>458.62549999999999</v>
      </c>
      <c r="J89" s="247"/>
      <c r="K89" s="245"/>
      <c r="L89" s="51">
        <f>SUM(L68:L88)</f>
        <v>0.27196492149999996</v>
      </c>
      <c r="M89" s="720">
        <f>SUM(M68:N88)</f>
        <v>8.8514721499999963E-2</v>
      </c>
      <c r="N89" s="719"/>
      <c r="R89" s="655"/>
    </row>
    <row r="90" spans="1:76" s="99" customFormat="1">
      <c r="C90" s="100"/>
      <c r="R90" s="655"/>
    </row>
    <row r="91" spans="1:76" s="99" customFormat="1" ht="21" customHeight="1">
      <c r="B91" s="121" t="s">
        <v>209</v>
      </c>
      <c r="R91" s="655"/>
    </row>
    <row r="92" spans="1:76" s="99" customFormat="1" ht="15" customHeight="1">
      <c r="D92" s="148"/>
      <c r="R92" s="655"/>
    </row>
    <row r="93" spans="1:76" s="99" customFormat="1" ht="48" customHeight="1">
      <c r="B93" s="721" t="s">
        <v>210</v>
      </c>
      <c r="C93" s="722"/>
      <c r="D93" s="725" t="s">
        <v>211</v>
      </c>
      <c r="E93" s="727" t="s">
        <v>212</v>
      </c>
      <c r="F93" s="728"/>
      <c r="G93" s="727" t="s">
        <v>213</v>
      </c>
      <c r="H93" s="722"/>
      <c r="I93" s="731" t="s">
        <v>214</v>
      </c>
      <c r="J93" s="732"/>
      <c r="K93" s="732"/>
      <c r="L93" s="732"/>
      <c r="M93" s="732"/>
      <c r="N93" s="732"/>
      <c r="O93" s="732"/>
      <c r="P93" s="733"/>
      <c r="R93" s="655"/>
    </row>
    <row r="94" spans="1:76" s="99" customFormat="1" ht="15.6" customHeight="1">
      <c r="B94" s="723"/>
      <c r="C94" s="724"/>
      <c r="D94" s="726"/>
      <c r="E94" s="729"/>
      <c r="F94" s="730"/>
      <c r="G94" s="729"/>
      <c r="H94" s="724"/>
      <c r="I94" s="734" t="s">
        <v>215</v>
      </c>
      <c r="J94" s="735"/>
      <c r="K94" s="736"/>
      <c r="L94" s="737" t="s">
        <v>216</v>
      </c>
      <c r="M94" s="735"/>
      <c r="N94" s="736"/>
      <c r="O94" s="737" t="s">
        <v>217</v>
      </c>
      <c r="P94" s="738"/>
      <c r="R94" s="655"/>
    </row>
    <row r="95" spans="1:76" s="99" customFormat="1" ht="23.1" customHeight="1">
      <c r="B95" s="703" t="s">
        <v>218</v>
      </c>
      <c r="C95" s="704"/>
      <c r="D95" s="197">
        <v>0</v>
      </c>
      <c r="E95" s="705">
        <v>0</v>
      </c>
      <c r="F95" s="706"/>
      <c r="G95" s="707">
        <v>0</v>
      </c>
      <c r="H95" s="708"/>
      <c r="I95" s="709">
        <f>D95*'11. Lists'!P47</f>
        <v>0</v>
      </c>
      <c r="J95" s="710"/>
      <c r="K95" s="711"/>
      <c r="L95" s="712">
        <f>IF(E95&gt;D95, "Error ▲", E95*'11. Lists'!P47)</f>
        <v>0</v>
      </c>
      <c r="M95" s="710"/>
      <c r="N95" s="711"/>
      <c r="O95" s="712">
        <f>G95*'11. Lists'!P47</f>
        <v>0</v>
      </c>
      <c r="P95" s="713"/>
      <c r="R95" s="655"/>
    </row>
    <row r="96" spans="1:76" s="99" customFormat="1" ht="24.6" customHeight="1">
      <c r="B96" s="692" t="s">
        <v>219</v>
      </c>
      <c r="C96" s="693"/>
      <c r="D96" s="242">
        <v>0</v>
      </c>
      <c r="E96" s="694">
        <v>0</v>
      </c>
      <c r="F96" s="695"/>
      <c r="G96" s="696">
        <v>0</v>
      </c>
      <c r="H96" s="697"/>
      <c r="I96" s="698">
        <f>D96*'11. Lists'!P48</f>
        <v>0</v>
      </c>
      <c r="J96" s="699"/>
      <c r="K96" s="700"/>
      <c r="L96" s="701">
        <f>IF(E96&gt;D96,"Error ▲",(E96*'11. Lists'!P48))</f>
        <v>0</v>
      </c>
      <c r="M96" s="699"/>
      <c r="N96" s="700"/>
      <c r="O96" s="701">
        <f>G96*'11. Lists'!P48</f>
        <v>0</v>
      </c>
      <c r="P96" s="702"/>
      <c r="R96" s="655"/>
    </row>
    <row r="97" spans="1:18" s="99" customFormat="1" ht="24.6" customHeight="1">
      <c r="B97" s="692" t="s">
        <v>220</v>
      </c>
      <c r="C97" s="693"/>
      <c r="D97" s="242">
        <v>0</v>
      </c>
      <c r="E97" s="694">
        <v>0</v>
      </c>
      <c r="F97" s="695"/>
      <c r="G97" s="696">
        <v>0</v>
      </c>
      <c r="H97" s="697"/>
      <c r="I97" s="698">
        <f>D97*'11. Lists'!P49</f>
        <v>0</v>
      </c>
      <c r="J97" s="699"/>
      <c r="K97" s="700"/>
      <c r="L97" s="701">
        <f>IF(E97&gt;D97,"Error ▲",(E97*'11. Lists'!P49))</f>
        <v>0</v>
      </c>
      <c r="M97" s="699"/>
      <c r="N97" s="700"/>
      <c r="O97" s="701">
        <f>G97*'11. Lists'!P49</f>
        <v>0</v>
      </c>
      <c r="P97" s="702"/>
      <c r="R97" s="655"/>
    </row>
    <row r="98" spans="1:18" s="99" customFormat="1" ht="24.6" customHeight="1">
      <c r="B98" s="692" t="s">
        <v>221</v>
      </c>
      <c r="C98" s="693"/>
      <c r="D98" s="242">
        <v>0</v>
      </c>
      <c r="E98" s="694">
        <v>0</v>
      </c>
      <c r="F98" s="695"/>
      <c r="G98" s="696">
        <v>0</v>
      </c>
      <c r="H98" s="697"/>
      <c r="I98" s="698">
        <f>D98*'11. Lists'!P50</f>
        <v>0</v>
      </c>
      <c r="J98" s="699"/>
      <c r="K98" s="700"/>
      <c r="L98" s="701">
        <f>IF(E98&gt;D98,"Error ▲",(E98*'11. Lists'!P50))</f>
        <v>0</v>
      </c>
      <c r="M98" s="699"/>
      <c r="N98" s="700"/>
      <c r="O98" s="701">
        <f>G98*'11. Lists'!P50</f>
        <v>0</v>
      </c>
      <c r="P98" s="702"/>
      <c r="R98" s="655"/>
    </row>
    <row r="99" spans="1:18" s="99" customFormat="1" ht="24.6" customHeight="1">
      <c r="B99" s="643" t="s">
        <v>222</v>
      </c>
      <c r="C99" s="683"/>
      <c r="D99" s="305">
        <f>SUM(D95:D98)</f>
        <v>0</v>
      </c>
      <c r="E99" s="684">
        <f>SUM(E95:F98)</f>
        <v>0</v>
      </c>
      <c r="F99" s="685"/>
      <c r="G99" s="684">
        <f>SUM(G95:H98)</f>
        <v>0</v>
      </c>
      <c r="H99" s="686"/>
      <c r="I99" s="685">
        <f>SUM(I95:K98)</f>
        <v>0</v>
      </c>
      <c r="J99" s="687"/>
      <c r="K99" s="687"/>
      <c r="L99" s="687">
        <f>SUM(L95:N98)</f>
        <v>0</v>
      </c>
      <c r="M99" s="687"/>
      <c r="N99" s="687"/>
      <c r="O99" s="684">
        <f>SUM(O95:P98)</f>
        <v>0</v>
      </c>
      <c r="P99" s="686"/>
      <c r="R99" s="655"/>
    </row>
    <row r="100" spans="1:18" s="99" customFormat="1" ht="19.149999999999999" customHeight="1">
      <c r="E100" s="688" t="str">
        <f>IFERROR(IF(OR(E95&gt;D95, E96&gt;D96, E97&gt;D97, E98&gt;D98), "Error - trees retained and lost is greater than number of pre-development trees ▲", ""), "Error  ▲")</f>
        <v/>
      </c>
      <c r="F100" s="688"/>
      <c r="G100" s="688"/>
      <c r="R100" s="655"/>
    </row>
    <row r="101" spans="1:18" s="99" customFormat="1">
      <c r="R101" s="655"/>
    </row>
    <row r="102" spans="1:18" s="99" customFormat="1">
      <c r="A102" s="689" t="s">
        <v>223</v>
      </c>
      <c r="B102" s="689"/>
      <c r="C102" s="689"/>
      <c r="D102" s="689"/>
      <c r="E102" s="689"/>
      <c r="F102" s="689"/>
      <c r="G102" s="689"/>
      <c r="H102" s="689"/>
      <c r="I102" s="689"/>
      <c r="J102" s="689"/>
      <c r="K102" s="689"/>
      <c r="L102" s="689"/>
      <c r="M102" s="689"/>
      <c r="N102" s="689"/>
      <c r="O102" s="689"/>
      <c r="P102" s="689"/>
      <c r="Q102" s="689"/>
      <c r="R102" s="655"/>
    </row>
    <row r="103" spans="1:18" s="99" customFormat="1">
      <c r="A103" s="689"/>
      <c r="B103" s="689"/>
      <c r="C103" s="689"/>
      <c r="D103" s="689"/>
      <c r="E103" s="689"/>
      <c r="F103" s="689"/>
      <c r="G103" s="689"/>
      <c r="H103" s="689"/>
      <c r="I103" s="689"/>
      <c r="J103" s="689"/>
      <c r="K103" s="689"/>
      <c r="L103" s="689"/>
      <c r="M103" s="689"/>
      <c r="N103" s="689"/>
      <c r="O103" s="689"/>
      <c r="P103" s="689"/>
      <c r="Q103" s="689"/>
      <c r="R103" s="655"/>
    </row>
    <row r="104" spans="1:18" s="99" customFormat="1">
      <c r="A104" s="689"/>
      <c r="B104" s="689"/>
      <c r="C104" s="689"/>
      <c r="D104" s="689"/>
      <c r="E104" s="689"/>
      <c r="F104" s="689"/>
      <c r="G104" s="689"/>
      <c r="H104" s="689"/>
      <c r="I104" s="689"/>
      <c r="J104" s="689"/>
      <c r="K104" s="689"/>
      <c r="L104" s="689"/>
      <c r="M104" s="689"/>
      <c r="N104" s="689"/>
      <c r="O104" s="689"/>
      <c r="P104" s="689"/>
      <c r="Q104" s="689"/>
      <c r="R104" s="655"/>
    </row>
    <row r="105" spans="1:18" s="99" customFormat="1">
      <c r="R105" s="655"/>
    </row>
    <row r="106" spans="1:18" s="99" customFormat="1" ht="21" customHeight="1">
      <c r="B106" s="121" t="s">
        <v>224</v>
      </c>
      <c r="D106" s="100"/>
      <c r="E106" s="100"/>
      <c r="F106" s="100"/>
      <c r="G106" s="100"/>
      <c r="R106" s="655"/>
    </row>
    <row r="107" spans="1:18" s="99" customFormat="1" ht="15" customHeight="1">
      <c r="R107" s="655"/>
    </row>
    <row r="108" spans="1:18" s="99" customFormat="1" ht="36.6" customHeight="1">
      <c r="B108" s="680" t="s">
        <v>225</v>
      </c>
      <c r="C108" s="681"/>
      <c r="D108" s="682"/>
      <c r="E108" s="690" t="str">
        <f>IF(SUM(J114:J135)&gt;0,"Error - Trading Rules Not Satisfied - Insufficient Units Created Within Habitat Groups ▲", "Trading Rules Satisfied ✓")</f>
        <v>Trading Rules Satisfied ✓</v>
      </c>
      <c r="F108" s="690"/>
      <c r="G108" s="690"/>
      <c r="H108" s="690"/>
      <c r="I108" s="691"/>
      <c r="J108" s="199">
        <f>IFERROR(FIND("Error",E108),0)</f>
        <v>0</v>
      </c>
      <c r="R108" s="655"/>
    </row>
    <row r="109" spans="1:18" s="99" customFormat="1" ht="36" customHeight="1">
      <c r="B109" s="662" t="s">
        <v>226</v>
      </c>
      <c r="C109" s="663"/>
      <c r="D109" s="664"/>
      <c r="E109" s="665" t="str">
        <f>IF(SUM(J138:J140)&gt;0,"Error - Trading Rules Not Satisfied - Insufficient Biodiversity Units Created ▲","Trading Rules Satisfied ✓")</f>
        <v>Error - Trading Rules Not Satisfied - Insufficient Biodiversity Units Created ▲</v>
      </c>
      <c r="F109" s="665"/>
      <c r="G109" s="665"/>
      <c r="H109" s="665"/>
      <c r="I109" s="666"/>
      <c r="J109" s="199">
        <f>IFERROR(FIND("Error",E109),0)</f>
        <v>1</v>
      </c>
      <c r="R109" s="655"/>
    </row>
    <row r="110" spans="1:18" s="99" customFormat="1">
      <c r="R110" s="655"/>
    </row>
    <row r="111" spans="1:18" s="99" customFormat="1" ht="21" customHeight="1">
      <c r="B111" s="121" t="s">
        <v>227</v>
      </c>
      <c r="R111" s="655"/>
    </row>
    <row r="112" spans="1:18" s="99" customFormat="1" ht="15" customHeight="1">
      <c r="R112" s="655"/>
    </row>
    <row r="113" spans="2:18" s="99" customFormat="1" ht="36.6" customHeight="1">
      <c r="B113" s="667" t="s">
        <v>228</v>
      </c>
      <c r="C113" s="668"/>
      <c r="D113" s="668"/>
      <c r="E113" s="241" t="s">
        <v>229</v>
      </c>
      <c r="F113" s="241" t="s">
        <v>230</v>
      </c>
      <c r="G113" s="241" t="s">
        <v>231</v>
      </c>
      <c r="H113" s="241" t="s">
        <v>232</v>
      </c>
      <c r="I113" s="167" t="s">
        <v>233</v>
      </c>
      <c r="J113" s="423"/>
      <c r="R113" s="655"/>
    </row>
    <row r="114" spans="2:18" s="99" customFormat="1" ht="15.6" customHeight="1">
      <c r="B114" s="669" t="s">
        <v>234</v>
      </c>
      <c r="C114" s="670"/>
      <c r="D114" s="671"/>
      <c r="E114" s="168" t="s">
        <v>235</v>
      </c>
      <c r="F114" s="169">
        <f>SUMIFS($L$11:$L$30,$C$11:$C$30,$B114,$T$11:$T$30,$E114)</f>
        <v>0</v>
      </c>
      <c r="G114" s="169">
        <f>SUMIFS($L$40:$L$59,$C$40:$C$59,$B114,$T$40:$T$59,$E114)+SUMIFS($L$68:$L$87,AY68:AY87,B114,$AG$68:$AG$87,E114)+SUMIFS($AE$11:$AE$31,$C$11:$C$31,B114,$T$11:$T$31,E114)</f>
        <v>0</v>
      </c>
      <c r="H114" s="169">
        <f>G114-F114</f>
        <v>0</v>
      </c>
      <c r="I114" s="170" t="s">
        <v>236</v>
      </c>
      <c r="J114" s="199"/>
      <c r="R114" s="655"/>
    </row>
    <row r="115" spans="2:18" s="99" customFormat="1" ht="15.6" customHeight="1">
      <c r="B115" s="672"/>
      <c r="C115" s="673"/>
      <c r="D115" s="674"/>
      <c r="E115" s="171" t="s">
        <v>237</v>
      </c>
      <c r="F115" s="169">
        <f>SUMIFS($L$11:$L$30,$C$11:$C$30,$B114,$T$11:$T$30,$E115)</f>
        <v>0</v>
      </c>
      <c r="G115" s="169">
        <f>SUMIFS($L$40:$L$59,$C$40:$C$59,$B114,$T$40:$T$59,$E115)+SUMIFS($L$68:$L$87,AY68:AY87,B114,$AG$68:$AG$87,E115)+SUMIFS($AE$11:$AE$31,$C$11:$C$31,B114,$T$11:$T$31,E115)</f>
        <v>0</v>
      </c>
      <c r="H115" s="169">
        <f>G115-F115</f>
        <v>0</v>
      </c>
      <c r="I115" s="172" t="str">
        <f>IF(F115=0,"N/A",IF(H115&lt;0,"No ▲","Yes ✓"))</f>
        <v>N/A</v>
      </c>
      <c r="J115" s="199">
        <f>IF(I115="No ▲",1,0)</f>
        <v>0</v>
      </c>
      <c r="R115" s="655"/>
    </row>
    <row r="116" spans="2:18" s="99" customFormat="1" ht="15.6" customHeight="1">
      <c r="B116" s="669" t="s">
        <v>238</v>
      </c>
      <c r="C116" s="670"/>
      <c r="D116" s="671"/>
      <c r="E116" s="168" t="s">
        <v>235</v>
      </c>
      <c r="F116" s="169">
        <f>SUMIFS($L$11:$L$30,$C$11:$C$30,$B116,$T$11:$T$30,$E116)</f>
        <v>0</v>
      </c>
      <c r="G116" s="169">
        <f>SUMIFS($L$40:$L$59,$C$40:$C$59,$B116,$T$40:$T$59,$E116)+SUMIFS($L$68:$L$87,AY68:AY87,B116,$AG$68:$AG$87,E116)+SUMIFS($AE$11:$AE$31,$C$11:$C$31,B116,$T$11:$T$31,E116)</f>
        <v>0</v>
      </c>
      <c r="H116" s="169">
        <f>G116-F116</f>
        <v>0</v>
      </c>
      <c r="I116" s="170" t="s">
        <v>236</v>
      </c>
      <c r="J116" s="199"/>
      <c r="R116" s="655"/>
    </row>
    <row r="117" spans="2:18" s="99" customFormat="1" ht="15.6" customHeight="1">
      <c r="B117" s="672"/>
      <c r="C117" s="673"/>
      <c r="D117" s="674"/>
      <c r="E117" s="171" t="s">
        <v>237</v>
      </c>
      <c r="F117" s="169">
        <f>SUMIFS($L$11:$L$30,$C$11:$C$30,$B116,$T$11:$T$30,$E117)</f>
        <v>0</v>
      </c>
      <c r="G117" s="169">
        <f>SUMIFS($L$40:$L$59,$C$40:$C$59,$B116,$T$40:$T$59,$E117)+SUMIFS($L$68:$L$87,AY68:AY87,B116,$AG$68:$AG$87,E117)+SUMIFS($AE$11:$AE$31,$C$11:$C$31,B116,$T$11:$T$31,E117)</f>
        <v>0</v>
      </c>
      <c r="H117" s="169">
        <f>G117-F117</f>
        <v>0</v>
      </c>
      <c r="I117" s="172" t="str">
        <f>IF(F117=0,"N/A",IF(H117&lt;0,"No ▲","Yes ✓"))</f>
        <v>N/A</v>
      </c>
      <c r="J117" s="199">
        <f>IF(I117="No ▲",1,0)</f>
        <v>0</v>
      </c>
      <c r="R117" s="655"/>
    </row>
    <row r="118" spans="2:18" s="99" customFormat="1" ht="15.6" customHeight="1">
      <c r="B118" s="669" t="s">
        <v>239</v>
      </c>
      <c r="C118" s="670"/>
      <c r="D118" s="671"/>
      <c r="E118" s="168" t="s">
        <v>235</v>
      </c>
      <c r="F118" s="169">
        <f>SUMIFS($L$11:$L$30,$C$11:$C$30,$B118,$T$11:$T$30,$E118)</f>
        <v>0</v>
      </c>
      <c r="G118" s="169">
        <f>SUMIFS($L$40:$L$59,$C$40:$C$59,$B118,$T$40:$T$59,$E118)+SUMIFS($L$68:$L$87,$C$68:$C$87,B118,$AG$68:$AG$87,E118)+SUMIFS($AE$11:$AE$31,$C$11:$C$31,B118,$T$11:$T$31,E118)</f>
        <v>0</v>
      </c>
      <c r="H118" s="169">
        <f>G118-F118</f>
        <v>0</v>
      </c>
      <c r="I118" s="170" t="s">
        <v>236</v>
      </c>
      <c r="J118" s="199"/>
      <c r="R118" s="655"/>
    </row>
    <row r="119" spans="2:18" s="99" customFormat="1" ht="15.6" customHeight="1">
      <c r="B119" s="672"/>
      <c r="C119" s="673"/>
      <c r="D119" s="674"/>
      <c r="E119" s="171" t="s">
        <v>237</v>
      </c>
      <c r="F119" s="169">
        <f>SUMIFS($L$11:$L$30,$C$11:$C$30,$B118,$T$11:$T$30,$E119)</f>
        <v>0</v>
      </c>
      <c r="G119" s="169">
        <f>SUMIFS($L$40:$L$59,$C$40:$C$59,$B118,$T$40:$T$59,$E119)+SUMIFS($L$68:$L$87,$C$68:$C$87,B118,$AG$68:$AG$87,E119)+SUMIFS($AE$11:$AE$31,$C$11:$C$31,B118,$T$11:$T$31,E119)</f>
        <v>0</v>
      </c>
      <c r="H119" s="169">
        <f>G119-F119</f>
        <v>0</v>
      </c>
      <c r="I119" s="172" t="str">
        <f>IF(F119=0,"N/A",IF(H119&lt;0,"No ▲","Yes ✓"))</f>
        <v>N/A</v>
      </c>
      <c r="J119" s="199">
        <f>IF(I119="No ▲",1,0)</f>
        <v>0</v>
      </c>
      <c r="R119" s="655"/>
    </row>
    <row r="120" spans="2:18" s="99" customFormat="1" ht="15.6" customHeight="1">
      <c r="B120" s="669" t="s">
        <v>240</v>
      </c>
      <c r="C120" s="670"/>
      <c r="D120" s="671"/>
      <c r="E120" s="168" t="s">
        <v>235</v>
      </c>
      <c r="F120" s="169">
        <f>SUMIFS($L$11:$L$30,$C$11:$C$30,$B120,$T$11:$T$30,$E120)</f>
        <v>0</v>
      </c>
      <c r="G120" s="169">
        <f>SUMIFS($L$40:$L$59,$C$40:$C$59,$B120,$T$40:$T$59,$E120)+SUMIFS($L$68:$L$87,$C$68:$C$87,B120,$AG$68:$AG$87,E120)+SUMIFS($AE$11:$AE$31,$C$11:$C$31,B120,$T$11:$T$31,E120)</f>
        <v>0</v>
      </c>
      <c r="H120" s="169">
        <f>G120-F120</f>
        <v>0</v>
      </c>
      <c r="I120" s="170" t="s">
        <v>236</v>
      </c>
      <c r="J120" s="199"/>
      <c r="R120" s="655"/>
    </row>
    <row r="121" spans="2:18" s="99" customFormat="1" ht="15.6" customHeight="1">
      <c r="B121" s="672"/>
      <c r="C121" s="673"/>
      <c r="D121" s="674"/>
      <c r="E121" s="171" t="s">
        <v>237</v>
      </c>
      <c r="F121" s="169">
        <f>SUMIFS($L$11:$L$30,$C$11:$C$30,$B120,$T$11:$T$30,$E121)</f>
        <v>0</v>
      </c>
      <c r="G121" s="169">
        <f>SUMIFS($L$40:$L$59,$C$40:$C$59,$B120,$T$40:$T$59,$E121)+SUMIFS($L$68:$L$87,$C$68:$C$87,B120,$AG$68:$AG$87,E121)+SUMIFS($AE$11:$AE$31,$C$11:$C$31,B120,$T$11:$T$31,E121)</f>
        <v>0</v>
      </c>
      <c r="H121" s="169">
        <f>G121-F121</f>
        <v>0</v>
      </c>
      <c r="I121" s="172" t="str">
        <f>IF(F121=0,"N/A",IF(H121&lt;0,"No ▲","Yes ✓"))</f>
        <v>N/A</v>
      </c>
      <c r="J121" s="199">
        <f>IF(I121="No ▲",1,0)</f>
        <v>0</v>
      </c>
      <c r="R121" s="655"/>
    </row>
    <row r="122" spans="2:18" s="99" customFormat="1" ht="15.6" customHeight="1">
      <c r="B122" s="669" t="s">
        <v>241</v>
      </c>
      <c r="C122" s="670"/>
      <c r="D122" s="671"/>
      <c r="E122" s="168" t="s">
        <v>235</v>
      </c>
      <c r="F122" s="169">
        <f>SUMIFS($L$11:$L$30,$C$11:$C$30,$B122,$T$11:$T$30,$E122)</f>
        <v>0</v>
      </c>
      <c r="G122" s="169">
        <f>SUMIFS($L$40:$L$59,$C$40:$C$59,$B122,$T$40:$T$59,$E122)+SUMIFS($L$68:$L$87,$C$68:$C$87,B122,$AG$68:$AG$87,E122)+SUMIFS($AE$11:$AE$31,$C$11:$C$31,B122,$T$11:$T$31,E122)</f>
        <v>0</v>
      </c>
      <c r="H122" s="169">
        <f>G122-F122</f>
        <v>0</v>
      </c>
      <c r="I122" s="170" t="s">
        <v>236</v>
      </c>
      <c r="J122" s="199"/>
      <c r="R122" s="655"/>
    </row>
    <row r="123" spans="2:18" s="99" customFormat="1" ht="15.6" customHeight="1">
      <c r="B123" s="672"/>
      <c r="C123" s="673"/>
      <c r="D123" s="674"/>
      <c r="E123" s="171" t="s">
        <v>237</v>
      </c>
      <c r="F123" s="169">
        <f>SUMIFS($L$11:$L$30,$C$11:$C$30,$B122,$T$11:$T$30,$E123)</f>
        <v>0</v>
      </c>
      <c r="G123" s="169">
        <f>SUMIFS($L$40:$L$59,$C$40:$C$59,$B$122,$T$40:$T$59,$E$123)+SUMIFS($L$68:$L$87,$C$68:$C$87,$B$122,$AG$68:$AG$87,$E$123)+SUMIFS($AE$11:$AE$31,$C$11:$C$31,$B$122,$T$11:$T$31,$E$123)</f>
        <v>0</v>
      </c>
      <c r="H123" s="169">
        <f>G123-F123</f>
        <v>0</v>
      </c>
      <c r="I123" s="172" t="str">
        <f>IF(F123=0,"N/A",IF(H123&lt;0,"No ▲","Yes ✓"))</f>
        <v>N/A</v>
      </c>
      <c r="J123" s="199">
        <f>IF(I123="No ▲",1,0)</f>
        <v>0</v>
      </c>
      <c r="R123" s="655"/>
    </row>
    <row r="124" spans="2:18" s="99" customFormat="1" ht="15.6" customHeight="1">
      <c r="B124" s="669" t="s">
        <v>242</v>
      </c>
      <c r="C124" s="670"/>
      <c r="D124" s="671"/>
      <c r="E124" s="168" t="s">
        <v>235</v>
      </c>
      <c r="F124" s="169">
        <f>SUMIFS($L$11:$L$30,$C$11:$C$30,$B124,$T$11:$T$30,$E124)</f>
        <v>0</v>
      </c>
      <c r="G124" s="169">
        <f>SUMIFS($L$40:$L$59,$C$40:$C$59,$B124,$T$40:$T$59,$E124)+SUMIFS($L$68:$L$87,$C$68:$C$87,B124,$AG$68:$AG$87,E124)+SUMIFS($AE$11:$AE$31,$C$11:$C$31,B124,$T$11:$T$31,E124)</f>
        <v>0</v>
      </c>
      <c r="H124" s="169">
        <f>G124-F124</f>
        <v>0</v>
      </c>
      <c r="I124" s="170" t="s">
        <v>236</v>
      </c>
      <c r="J124" s="199"/>
      <c r="R124" s="655"/>
    </row>
    <row r="125" spans="2:18" s="99" customFormat="1" ht="15.6" customHeight="1">
      <c r="B125" s="672"/>
      <c r="C125" s="673"/>
      <c r="D125" s="674"/>
      <c r="E125" s="171" t="s">
        <v>237</v>
      </c>
      <c r="F125" s="169">
        <f>SUMIFS($L$11:$L$30,$C$11:$C$30,$B124,$T$11:$T$30,$E125)</f>
        <v>0</v>
      </c>
      <c r="G125" s="169">
        <f>SUMIFS($L$40:$L$59,$C$40:$C$59,$B$124,$T$40:$T$59,$E125)+SUMIFS($L$68:$L$87,$C$68:$C$87,B124,$AG$68:$AG$87,E125)+SUMIFS($AE$11:$AE$31,$C$11:$C$31,$B$124,$T$11:$T$31,$E$125)</f>
        <v>0</v>
      </c>
      <c r="H125" s="169">
        <f>G125-F125</f>
        <v>0</v>
      </c>
      <c r="I125" s="172" t="str">
        <f>IF(F125=0,"N/A",IF(H125&lt;0,"No ▲","Yes ✓"))</f>
        <v>N/A</v>
      </c>
      <c r="J125" s="199">
        <f>IF(I125="No ▲",1,0)</f>
        <v>0</v>
      </c>
      <c r="R125" s="655"/>
    </row>
    <row r="126" spans="2:18" s="99" customFormat="1" ht="15.6" customHeight="1">
      <c r="B126" s="669" t="s">
        <v>243</v>
      </c>
      <c r="C126" s="670"/>
      <c r="D126" s="671"/>
      <c r="E126" s="168" t="s">
        <v>235</v>
      </c>
      <c r="F126" s="169">
        <f>SUMIFS($L$11:$L$30,$C$11:$C$30,$B126,$T$11:$T$30,$E126)</f>
        <v>0</v>
      </c>
      <c r="G126" s="169">
        <f>SUMIFS($L$40:$L$59,$C$40:$C$59,$B126,$T$40:$T$59,$E126)+SUMIFS($L$68:$L$87,AY68:AY87,B126,$AG$68:$AG$87,E126)+SUMIFS($AE$11:$AE$31,$C$11:$C$31,B126,$T$11:$T$31,E126)</f>
        <v>0</v>
      </c>
      <c r="H126" s="169">
        <f>G126-F126</f>
        <v>0</v>
      </c>
      <c r="I126" s="170" t="s">
        <v>236</v>
      </c>
      <c r="J126" s="199"/>
      <c r="R126" s="655"/>
    </row>
    <row r="127" spans="2:18" s="99" customFormat="1" ht="15.6" customHeight="1">
      <c r="B127" s="672"/>
      <c r="C127" s="673"/>
      <c r="D127" s="674"/>
      <c r="E127" s="171" t="s">
        <v>237</v>
      </c>
      <c r="F127" s="169">
        <f>SUMIFS($L$11:$L$30,$C$11:$C$30,$B126,$T$11:$T$30,$E127)</f>
        <v>0</v>
      </c>
      <c r="G127" s="169">
        <f>SUMIFS($L$40:$L$59,$C$40:$C$59,$B126,$T$40:$T$59,$E127)+SUMIFS($L$68:$L$87,AY68:AY87,B126,$AG$68:$AG$87,E127)+SUMIFS($AE$11:$AE$31,$C$11:$C$31,B126,$T$11:$T$31,E127)</f>
        <v>0</v>
      </c>
      <c r="H127" s="169">
        <f>G127-F127</f>
        <v>0</v>
      </c>
      <c r="I127" s="172" t="str">
        <f>IF(F127=0,"N/A",IF(H127&lt;0,"No ▲","Yes ✓"))</f>
        <v>N/A</v>
      </c>
      <c r="J127" s="199">
        <f>IF(I127="No ▲",1,0)</f>
        <v>0</v>
      </c>
      <c r="R127" s="655"/>
    </row>
    <row r="128" spans="2:18" s="99" customFormat="1" ht="15.6" customHeight="1">
      <c r="B128" s="669" t="s">
        <v>119</v>
      </c>
      <c r="C128" s="670"/>
      <c r="D128" s="671"/>
      <c r="E128" s="168" t="s">
        <v>235</v>
      </c>
      <c r="F128" s="169">
        <f>SUMIFS($L$11:$L$30,$C$11:$C$30,$B128,$T$11:$T$30,$E128)</f>
        <v>0.30134388000000001</v>
      </c>
      <c r="G128" s="169">
        <f>SUMIFS($L$40:$L$59,$C$40:$C$59,$B128,$T$40:$T$59,$E128)+SUMIFS($L$68:$L$87,AY68:AY87,B128,$AG$68:$AG$87,E128)+SUMIFS($AE$11:$AE$31,$C$11:$C$31,B128,$T$11:$T$31,E128)</f>
        <v>0.27196492149999996</v>
      </c>
      <c r="H128" s="169">
        <f>G128-F128</f>
        <v>-2.9378958500000052E-2</v>
      </c>
      <c r="I128" s="170" t="s">
        <v>236</v>
      </c>
      <c r="J128" s="199"/>
      <c r="R128" s="655"/>
    </row>
    <row r="129" spans="2:18" s="99" customFormat="1" ht="15.6" customHeight="1">
      <c r="B129" s="672"/>
      <c r="C129" s="673"/>
      <c r="D129" s="674"/>
      <c r="E129" s="171" t="s">
        <v>237</v>
      </c>
      <c r="F129" s="169">
        <f>SUMIFS($L$11:$L$30,$C$11:$C$30,$B128,$T$11:$T$30,$E129)</f>
        <v>0</v>
      </c>
      <c r="G129" s="169">
        <f>SUMIFS($L$40:$L$59,$C$40:$C$59,$B128,$T$40:$T$59,$E129)+SUMIFS($L$68:$L$87,AY68:AY87,B128,$AG$68:$AG$87,E129)+SUMIFS($AE$11:$AE$31,$C$11:$C$31,B128,$T$11:$T$31,E129)</f>
        <v>0</v>
      </c>
      <c r="H129" s="169">
        <f>G129-F129</f>
        <v>0</v>
      </c>
      <c r="I129" s="172" t="str">
        <f>IF(F129=0,"N/A",IF(H129&lt;0,"No ▲","Yes ✓"))</f>
        <v>N/A</v>
      </c>
      <c r="J129" s="199">
        <f>IF(I129="No ▲",1,0)</f>
        <v>0</v>
      </c>
      <c r="R129" s="655"/>
    </row>
    <row r="130" spans="2:18" s="99" customFormat="1" ht="15.6" customHeight="1">
      <c r="B130" s="669" t="s">
        <v>244</v>
      </c>
      <c r="C130" s="670"/>
      <c r="D130" s="671"/>
      <c r="E130" s="168" t="s">
        <v>235</v>
      </c>
      <c r="F130" s="169">
        <f>SUMIFS($L$11:$L$30,$C$11:$C$30,$B130,$T$11:$T$30,$E130)</f>
        <v>0</v>
      </c>
      <c r="G130" s="169">
        <f>SUMIFS($L$40:$L$59,$C$40:$C$59,$B130,$T$40:$T$59,$E130)+SUMIFS($L$68:$L$87,$C$68:$C$87,B130,$AG$68:$AG$87,E130)+SUMIFS($AE$11:$AE$31,$C$11:$C$31,B130,$T$11:$T$31,E130)</f>
        <v>0</v>
      </c>
      <c r="H130" s="169">
        <f>G130-F130</f>
        <v>0</v>
      </c>
      <c r="I130" s="170" t="s">
        <v>236</v>
      </c>
      <c r="J130" s="199"/>
      <c r="R130" s="655"/>
    </row>
    <row r="131" spans="2:18" s="99" customFormat="1" ht="15.6" customHeight="1">
      <c r="B131" s="672"/>
      <c r="C131" s="673"/>
      <c r="D131" s="674"/>
      <c r="E131" s="171" t="s">
        <v>237</v>
      </c>
      <c r="F131" s="169">
        <f>SUMIFS($L$11:$L$30,$C$11:$C$30,$B130,$T$11:$T$30,$E131)</f>
        <v>0</v>
      </c>
      <c r="G131" s="169">
        <f>SUMIFS($L$40:$L$59,$C$40:$C$59,$B130,$T$40:$T$59,$E131)+SUMIFS($L$68:$L$87,$C$68:$C$87,B130,$AG$68:$AG$87,E131)+SUMIFS($AE$11:$AE$31,$C$11:$C$31,B130,$T$11:$T$31,E131)</f>
        <v>0</v>
      </c>
      <c r="H131" s="169">
        <f>G131-F131</f>
        <v>0</v>
      </c>
      <c r="I131" s="172" t="str">
        <f>IF(F131=0,"N/A",IF(H131&lt;0,"No ▲","Yes ✓"))</f>
        <v>N/A</v>
      </c>
      <c r="J131" s="199">
        <f>IF(I131="No ▲",1,0)</f>
        <v>0</v>
      </c>
      <c r="R131" s="655"/>
    </row>
    <row r="132" spans="2:18" s="99" customFormat="1" ht="15.6" customHeight="1">
      <c r="B132" s="669" t="s">
        <v>245</v>
      </c>
      <c r="C132" s="670"/>
      <c r="D132" s="670"/>
      <c r="E132" s="168" t="s">
        <v>235</v>
      </c>
      <c r="F132" s="169">
        <f>SUMIFS($L$11:$L$30,$C$11:$C$30,$B132,$T$11:$T$30,$E132)</f>
        <v>0</v>
      </c>
      <c r="G132" s="169">
        <f>SUMIFS($L$40:$L$59,$C$40:$C$59,$B132,$T$40:$T$59,$E132)+SUMIFS($L$68:$L$87,$C$68:$C$87,B132,$AG$68:$AG$87,E132)+SUMIFS($AE$11:$AE$31,$C$11:$C$31,B132,$T$11:$T$31,E132)</f>
        <v>0</v>
      </c>
      <c r="H132" s="169">
        <f>G132-F132</f>
        <v>0</v>
      </c>
      <c r="I132" s="170" t="s">
        <v>236</v>
      </c>
      <c r="J132" s="199"/>
      <c r="R132" s="655"/>
    </row>
    <row r="133" spans="2:18" s="99" customFormat="1" ht="15.6" customHeight="1">
      <c r="B133" s="675"/>
      <c r="C133" s="676"/>
      <c r="D133" s="676"/>
      <c r="E133" s="373" t="s">
        <v>237</v>
      </c>
      <c r="F133" s="374">
        <f>SUMIFS($L$11:$L$30,$C$11:$C$30,$B132,$T$11:$T$30,$E133)</f>
        <v>0</v>
      </c>
      <c r="G133" s="374">
        <f>SUMIFS($L$40:$L$59,$C$40:$C$59,$B132,$T$40:$T$59,$E133)+SUMIFS($L$68:$L$87,$C$68:$C$87,B132,$AG$68:$AG$87,E133)+SUMIFS($AE$11:$AE$31,$C$11:$C$31,B132,$T$11:$T$31,E133)</f>
        <v>0</v>
      </c>
      <c r="H133" s="374">
        <f>G133-F133</f>
        <v>0</v>
      </c>
      <c r="I133" s="375" t="str">
        <f>IF(F133=0,"N/A",IF(H133&lt;0,"No ▲","Yes ✓"))</f>
        <v>N/A</v>
      </c>
      <c r="J133" s="199">
        <f>IF(I133="No ▲",1,0)</f>
        <v>0</v>
      </c>
      <c r="R133" s="655"/>
    </row>
    <row r="134" spans="2:18" s="99" customFormat="1" ht="15.6" customHeight="1">
      <c r="B134" s="669" t="s">
        <v>124</v>
      </c>
      <c r="C134" s="670"/>
      <c r="D134" s="671"/>
      <c r="E134" s="168" t="s">
        <v>235</v>
      </c>
      <c r="F134" s="169">
        <f>SUMIFS($L$11:$L$31,$C$11:$C$31,$B134,$T$11:$T$31,$E134)</f>
        <v>0</v>
      </c>
      <c r="G134" s="169">
        <f>SUMIFS($L$40:$L$60,$C$40:$C$60,$B134,$T$40:$T$60,$E134)+SUMIFS($L$68:$L$88,$C$68:$C$88,B134,$AG$68:$AG$88,E134)+SUMIFS($AE$11:$AE$31,$C$11:$C$31,B134,$T$11:$T$31,E134)</f>
        <v>0</v>
      </c>
      <c r="H134" s="169">
        <f>G134-F134</f>
        <v>0</v>
      </c>
      <c r="I134" s="170" t="s">
        <v>236</v>
      </c>
      <c r="J134" s="199"/>
      <c r="R134" s="655"/>
    </row>
    <row r="135" spans="2:18" s="99" customFormat="1" ht="23.1" customHeight="1">
      <c r="B135" s="677"/>
      <c r="C135" s="678"/>
      <c r="D135" s="679"/>
      <c r="E135" s="243" t="s">
        <v>237</v>
      </c>
      <c r="F135" s="244">
        <f>SUMIFS($L$11:$L$31,$C$11:$C$31,$B134,$T$11:$T$31,$E135)</f>
        <v>0</v>
      </c>
      <c r="G135" s="244">
        <f>SUMIFS($L$40:$L$60,$C$40:$C$60,$B134,$T$40:$T$60,$E135)+SUMIFS($L$68:$L$88,$C$68:$C$88,B134,$AG$68:$AG$88,E135)+SUMIFS($AE$11:$AE$31,$C$11:$C$31,B134,$T$11:$T$31,E135)</f>
        <v>0</v>
      </c>
      <c r="H135" s="244">
        <f>G135-F135</f>
        <v>0</v>
      </c>
      <c r="I135" s="489" t="str">
        <f>IF(F135=0,"N/A",IF(H135&lt;0,"No ▲","Yes ✓"))</f>
        <v>N/A</v>
      </c>
      <c r="J135" s="199">
        <f>IF(I135="No ▲",1,0)</f>
        <v>0</v>
      </c>
      <c r="R135" s="655"/>
    </row>
    <row r="136" spans="2:18" s="99" customFormat="1" ht="15.6" customHeight="1">
      <c r="J136" s="199"/>
      <c r="M136" s="100"/>
      <c r="R136" s="655"/>
    </row>
    <row r="137" spans="2:18" s="99" customFormat="1" ht="36" customHeight="1">
      <c r="B137" s="680" t="s">
        <v>229</v>
      </c>
      <c r="C137" s="681"/>
      <c r="D137" s="681"/>
      <c r="E137" s="682"/>
      <c r="F137" s="173" t="s">
        <v>230</v>
      </c>
      <c r="G137" s="173" t="s">
        <v>231</v>
      </c>
      <c r="H137" s="173" t="s">
        <v>232</v>
      </c>
      <c r="I137" s="174" t="s">
        <v>233</v>
      </c>
      <c r="J137" s="199"/>
      <c r="M137" s="100"/>
      <c r="R137" s="655"/>
    </row>
    <row r="138" spans="2:18" s="99" customFormat="1" ht="30.6" customHeight="1">
      <c r="B138" s="652" t="s">
        <v>246</v>
      </c>
      <c r="C138" s="653"/>
      <c r="D138" s="653"/>
      <c r="E138" s="654"/>
      <c r="F138" s="169">
        <f>SUMIFS($L$11:$L$31,$T$11:$T$31,"Medium")</f>
        <v>0</v>
      </c>
      <c r="G138" s="198">
        <f>IF(L61+L89+P1=0,0,SUMIFS($L$40:$L$60,$T$40:$T$60,"Medium")+SUMIFS($L$68:$L$87,$AG$68:$AG$87,"Medium")+SUMIFS($AE$11:$AE$31,$T$11:$T$31,"Medium"))</f>
        <v>0</v>
      </c>
      <c r="H138" s="169">
        <f>IFERROR(G138-F138,"")</f>
        <v>0</v>
      </c>
      <c r="I138" s="342" t="str">
        <f>IF(G138="","",IF(H138&gt;=0,"Yes ✓","No ▲"))</f>
        <v>Yes ✓</v>
      </c>
      <c r="J138" s="199">
        <f>IF(I138="No ▲",1,0)</f>
        <v>0</v>
      </c>
      <c r="R138" s="655" t="s">
        <v>82</v>
      </c>
    </row>
    <row r="139" spans="2:18" s="99" customFormat="1" ht="30.6" customHeight="1">
      <c r="B139" s="652" t="s">
        <v>247</v>
      </c>
      <c r="C139" s="653"/>
      <c r="D139" s="653"/>
      <c r="E139" s="654"/>
      <c r="F139" s="169">
        <f>SUMIFS($L$11:$L$31,$T$11:$T$31,"Low")</f>
        <v>0.30134388000000001</v>
      </c>
      <c r="G139" s="198">
        <f>IF(L61+L89+P1=0,0,SUMIFS($L$40:$L$60,$T$40:$T$60,"Low")+SUMIFS($L$68:$L$88,$AG$68:$AG$88,"Low")+SUMIFS($AE$11:$AE$31,$T$11:$T$31,"Low"))</f>
        <v>0.27196492149999996</v>
      </c>
      <c r="H139" s="169">
        <f>IFERROR(G139-F139,"")</f>
        <v>-2.9378958500000052E-2</v>
      </c>
      <c r="I139" s="342" t="str">
        <f>IF($I$142&gt;=0,"Yes ✓","No ▲")</f>
        <v>No ▲</v>
      </c>
      <c r="J139" s="199">
        <f>IF(I139="No ▲",1,0)</f>
        <v>1</v>
      </c>
      <c r="R139" s="655"/>
    </row>
    <row r="140" spans="2:18" s="99" customFormat="1" ht="41.25" customHeight="1">
      <c r="B140" s="656" t="s">
        <v>248</v>
      </c>
      <c r="C140" s="657"/>
      <c r="D140" s="657"/>
      <c r="E140" s="658"/>
      <c r="F140" s="659">
        <f>IFERROR(H138+H139,"")</f>
        <v>-2.9378958500000052E-2</v>
      </c>
      <c r="G140" s="660"/>
      <c r="H140" s="661"/>
      <c r="I140" s="343" t="str">
        <f>IF(F140="","",IF(F140&gt;=0,"Yes ✓","No ▲"))</f>
        <v>No ▲</v>
      </c>
      <c r="J140" s="199">
        <f>IF(I140="No ▲",1,0)</f>
        <v>1</v>
      </c>
      <c r="R140" s="655"/>
    </row>
    <row r="141" spans="2:18" s="99" customFormat="1">
      <c r="R141" s="655"/>
    </row>
    <row r="142" spans="2:18" s="99" customFormat="1">
      <c r="I142" s="427">
        <f>IF($H$138&gt;0,($H$139+$H$138),$H$139)</f>
        <v>-2.9378958500000052E-2</v>
      </c>
      <c r="R142" s="655"/>
    </row>
    <row r="143" spans="2:18" s="99" customFormat="1">
      <c r="R143" s="655"/>
    </row>
    <row r="144" spans="2:18" s="99" customFormat="1">
      <c r="R144" s="655"/>
    </row>
    <row r="145" spans="18:18" s="99" customFormat="1">
      <c r="R145" s="655"/>
    </row>
    <row r="146" spans="18:18" s="99" customFormat="1">
      <c r="R146" s="655"/>
    </row>
    <row r="147" spans="18:18" s="99" customFormat="1">
      <c r="R147" s="655"/>
    </row>
    <row r="148" spans="18:18" s="99" customFormat="1">
      <c r="R148" s="655"/>
    </row>
    <row r="149" spans="18:18" s="99" customFormat="1">
      <c r="R149" s="655"/>
    </row>
    <row r="150" spans="18:18" s="99" customFormat="1">
      <c r="R150" s="655"/>
    </row>
    <row r="151" spans="18:18" s="99" customFormat="1">
      <c r="R151" s="655"/>
    </row>
    <row r="152" spans="18:18" s="99" customFormat="1">
      <c r="R152" s="655"/>
    </row>
    <row r="153" spans="18:18" s="99" customFormat="1">
      <c r="R153" s="655"/>
    </row>
    <row r="154" spans="18:18" s="99" customFormat="1">
      <c r="R154" s="655"/>
    </row>
    <row r="155" spans="18:18" s="99" customFormat="1">
      <c r="R155" s="655"/>
    </row>
    <row r="156" spans="18:18" s="99" customFormat="1">
      <c r="R156" s="655"/>
    </row>
    <row r="157" spans="18:18" s="99" customFormat="1">
      <c r="R157" s="655"/>
    </row>
    <row r="158" spans="18:18" s="99" customFormat="1">
      <c r="R158" s="655"/>
    </row>
    <row r="159" spans="18:18" s="99" customFormat="1">
      <c r="R159" s="655"/>
    </row>
    <row r="160" spans="18:18" s="99" customFormat="1">
      <c r="R160" s="655"/>
    </row>
    <row r="161" spans="18:18" s="99" customFormat="1">
      <c r="R161" s="655"/>
    </row>
    <row r="162" spans="18:18" s="99" customFormat="1">
      <c r="R162" s="655"/>
    </row>
    <row r="163" spans="18:18" s="99" customFormat="1">
      <c r="R163" s="655"/>
    </row>
    <row r="164" spans="18:18" s="99" customFormat="1">
      <c r="R164" s="655"/>
    </row>
    <row r="165" spans="18:18" s="99" customFormat="1">
      <c r="R165" s="655"/>
    </row>
    <row r="166" spans="18:18" s="99" customFormat="1">
      <c r="R166" s="655"/>
    </row>
    <row r="167" spans="18:18" s="99" customFormat="1">
      <c r="R167" s="655"/>
    </row>
    <row r="168" spans="18:18" s="99" customFormat="1">
      <c r="R168" s="655"/>
    </row>
    <row r="169" spans="18:18" s="99" customFormat="1">
      <c r="R169" s="655"/>
    </row>
  </sheetData>
  <sheetProtection algorithmName="SHA-512" hashValue="rsFdASMxyLnDo8IkIV7Oz7GB6MQlYQrKcjh4/1rrGzsCnMN8e+oyx4NVrw492eMJ0B8aqwKpBzG9N0LG0ETPHQ==" saltValue="nPSlTLoCZlsnf9MRvJ0giA==" spinCount="100000" sheet="1" formatRows="0"/>
  <mergeCells count="332">
    <mergeCell ref="B9:B10"/>
    <mergeCell ref="C9:E9"/>
    <mergeCell ref="F9:H10"/>
    <mergeCell ref="I9:K9"/>
    <mergeCell ref="L9:N9"/>
    <mergeCell ref="O9:P9"/>
    <mergeCell ref="D11:E11"/>
    <mergeCell ref="F11:H11"/>
    <mergeCell ref="D15:E15"/>
    <mergeCell ref="F15:H15"/>
    <mergeCell ref="T9:V9"/>
    <mergeCell ref="W9:X9"/>
    <mergeCell ref="Y9:AA9"/>
    <mergeCell ref="AB9:AD9"/>
    <mergeCell ref="AE9:AG9"/>
    <mergeCell ref="AH9:AH10"/>
    <mergeCell ref="AI9:AI10"/>
    <mergeCell ref="D10:E10"/>
    <mergeCell ref="T10:U10"/>
    <mergeCell ref="R1:R32"/>
    <mergeCell ref="C2:D2"/>
    <mergeCell ref="F2:H6"/>
    <mergeCell ref="J2:M5"/>
    <mergeCell ref="C3:D3"/>
    <mergeCell ref="D19:E19"/>
    <mergeCell ref="F19:H19"/>
    <mergeCell ref="D23:E23"/>
    <mergeCell ref="F23:H23"/>
    <mergeCell ref="D27:E27"/>
    <mergeCell ref="F27:H27"/>
    <mergeCell ref="D31:E31"/>
    <mergeCell ref="F31:H31"/>
    <mergeCell ref="T11:U11"/>
    <mergeCell ref="D12:E12"/>
    <mergeCell ref="F12:H12"/>
    <mergeCell ref="T12:U12"/>
    <mergeCell ref="D13:E13"/>
    <mergeCell ref="F13:H13"/>
    <mergeCell ref="T13:U13"/>
    <mergeCell ref="D14:E14"/>
    <mergeCell ref="F14:H14"/>
    <mergeCell ref="T14:U14"/>
    <mergeCell ref="T15:U15"/>
    <mergeCell ref="D16:E16"/>
    <mergeCell ref="F16:H16"/>
    <mergeCell ref="T16:U16"/>
    <mergeCell ref="D17:E17"/>
    <mergeCell ref="F17:H17"/>
    <mergeCell ref="T17:U17"/>
    <mergeCell ref="D18:E18"/>
    <mergeCell ref="F18:H18"/>
    <mergeCell ref="T18:U18"/>
    <mergeCell ref="T19:U19"/>
    <mergeCell ref="D20:E20"/>
    <mergeCell ref="F20:H20"/>
    <mergeCell ref="T20:U20"/>
    <mergeCell ref="D21:E21"/>
    <mergeCell ref="F21:H21"/>
    <mergeCell ref="T21:U21"/>
    <mergeCell ref="D22:E22"/>
    <mergeCell ref="F22:H22"/>
    <mergeCell ref="T22:U22"/>
    <mergeCell ref="T23:U23"/>
    <mergeCell ref="D24:E24"/>
    <mergeCell ref="F24:H24"/>
    <mergeCell ref="T24:U24"/>
    <mergeCell ref="D25:E25"/>
    <mergeCell ref="F25:H25"/>
    <mergeCell ref="T25:U25"/>
    <mergeCell ref="D26:E26"/>
    <mergeCell ref="F26:H26"/>
    <mergeCell ref="T26:U26"/>
    <mergeCell ref="T27:U27"/>
    <mergeCell ref="D28:E28"/>
    <mergeCell ref="F28:H28"/>
    <mergeCell ref="T28:U28"/>
    <mergeCell ref="D29:E29"/>
    <mergeCell ref="F29:H29"/>
    <mergeCell ref="T29:U29"/>
    <mergeCell ref="D30:E30"/>
    <mergeCell ref="F30:H30"/>
    <mergeCell ref="T30:U30"/>
    <mergeCell ref="T31:U31"/>
    <mergeCell ref="I33:N33"/>
    <mergeCell ref="I34:N34"/>
    <mergeCell ref="I35:N35"/>
    <mergeCell ref="R35:R64"/>
    <mergeCell ref="B38:B39"/>
    <mergeCell ref="C38:D38"/>
    <mergeCell ref="E38:G38"/>
    <mergeCell ref="H38:H39"/>
    <mergeCell ref="I38:K39"/>
    <mergeCell ref="L38:N39"/>
    <mergeCell ref="O38:P38"/>
    <mergeCell ref="T38:V38"/>
    <mergeCell ref="F41:G41"/>
    <mergeCell ref="I41:K41"/>
    <mergeCell ref="L41:N41"/>
    <mergeCell ref="T41:U41"/>
    <mergeCell ref="F42:G42"/>
    <mergeCell ref="I42:K42"/>
    <mergeCell ref="L42:N42"/>
    <mergeCell ref="T42:U42"/>
    <mergeCell ref="F43:G43"/>
    <mergeCell ref="I43:K43"/>
    <mergeCell ref="L43:N43"/>
    <mergeCell ref="W38:X38"/>
    <mergeCell ref="Y38:AA38"/>
    <mergeCell ref="AB38:AD38"/>
    <mergeCell ref="AE38:AF38"/>
    <mergeCell ref="AG38:AH38"/>
    <mergeCell ref="F39:G39"/>
    <mergeCell ref="T39:U39"/>
    <mergeCell ref="F40:G40"/>
    <mergeCell ref="I40:K40"/>
    <mergeCell ref="L40:N40"/>
    <mergeCell ref="T40:U40"/>
    <mergeCell ref="T43:U43"/>
    <mergeCell ref="F44:G44"/>
    <mergeCell ref="I44:K44"/>
    <mergeCell ref="L44:N44"/>
    <mergeCell ref="T44:U44"/>
    <mergeCell ref="F45:G45"/>
    <mergeCell ref="I45:K45"/>
    <mergeCell ref="L45:N45"/>
    <mergeCell ref="T45:U45"/>
    <mergeCell ref="F46:G46"/>
    <mergeCell ref="I46:K46"/>
    <mergeCell ref="L46:N46"/>
    <mergeCell ref="T46:U46"/>
    <mergeCell ref="F47:G47"/>
    <mergeCell ref="I47:K47"/>
    <mergeCell ref="L47:N47"/>
    <mergeCell ref="T47:U47"/>
    <mergeCell ref="F48:G48"/>
    <mergeCell ref="I48:K48"/>
    <mergeCell ref="L48:N48"/>
    <mergeCell ref="T48:U48"/>
    <mergeCell ref="F49:G49"/>
    <mergeCell ref="I49:K49"/>
    <mergeCell ref="L49:N49"/>
    <mergeCell ref="T49:U49"/>
    <mergeCell ref="F50:G50"/>
    <mergeCell ref="I50:K50"/>
    <mergeCell ref="L50:N50"/>
    <mergeCell ref="T50:U50"/>
    <mergeCell ref="F51:G51"/>
    <mergeCell ref="I51:K51"/>
    <mergeCell ref="L51:N51"/>
    <mergeCell ref="T51:U51"/>
    <mergeCell ref="F52:G52"/>
    <mergeCell ref="I52:K52"/>
    <mergeCell ref="L52:N52"/>
    <mergeCell ref="T52:U52"/>
    <mergeCell ref="F53:G53"/>
    <mergeCell ref="I53:K53"/>
    <mergeCell ref="L53:N53"/>
    <mergeCell ref="T53:U53"/>
    <mergeCell ref="F54:G54"/>
    <mergeCell ref="I54:K54"/>
    <mergeCell ref="L54:N54"/>
    <mergeCell ref="T54:U54"/>
    <mergeCell ref="F55:G55"/>
    <mergeCell ref="I55:K55"/>
    <mergeCell ref="L55:N55"/>
    <mergeCell ref="T55:U55"/>
    <mergeCell ref="F56:G56"/>
    <mergeCell ref="I56:K56"/>
    <mergeCell ref="L56:N56"/>
    <mergeCell ref="T56:U56"/>
    <mergeCell ref="F57:G57"/>
    <mergeCell ref="I57:K57"/>
    <mergeCell ref="L57:N57"/>
    <mergeCell ref="T57:U57"/>
    <mergeCell ref="F58:G58"/>
    <mergeCell ref="I58:K58"/>
    <mergeCell ref="L58:N58"/>
    <mergeCell ref="T58:U58"/>
    <mergeCell ref="F59:G59"/>
    <mergeCell ref="I59:K59"/>
    <mergeCell ref="L59:N59"/>
    <mergeCell ref="T59:U59"/>
    <mergeCell ref="F60:G60"/>
    <mergeCell ref="I60:K60"/>
    <mergeCell ref="L60:N60"/>
    <mergeCell ref="T60:U60"/>
    <mergeCell ref="I61:K61"/>
    <mergeCell ref="L61:N61"/>
    <mergeCell ref="I62:N62"/>
    <mergeCell ref="R65:R109"/>
    <mergeCell ref="B66:B67"/>
    <mergeCell ref="C66:D66"/>
    <mergeCell ref="E66:G66"/>
    <mergeCell ref="H66:H67"/>
    <mergeCell ref="I66:I67"/>
    <mergeCell ref="J66:K67"/>
    <mergeCell ref="L66:L67"/>
    <mergeCell ref="M66:N67"/>
    <mergeCell ref="O66:P66"/>
    <mergeCell ref="F69:G69"/>
    <mergeCell ref="J69:K69"/>
    <mergeCell ref="M69:N69"/>
    <mergeCell ref="F70:G70"/>
    <mergeCell ref="J70:K70"/>
    <mergeCell ref="M70:N70"/>
    <mergeCell ref="F71:G71"/>
    <mergeCell ref="J71:K71"/>
    <mergeCell ref="M71:N71"/>
    <mergeCell ref="F72:G72"/>
    <mergeCell ref="J72:K72"/>
    <mergeCell ref="T66:AD66"/>
    <mergeCell ref="AE66:AE67"/>
    <mergeCell ref="AF66:AP66"/>
    <mergeCell ref="AQ66:AQ67"/>
    <mergeCell ref="AR66:AX66"/>
    <mergeCell ref="F67:G67"/>
    <mergeCell ref="F68:G68"/>
    <mergeCell ref="J68:K68"/>
    <mergeCell ref="M68:N68"/>
    <mergeCell ref="M72:N72"/>
    <mergeCell ref="F73:G73"/>
    <mergeCell ref="J73:K73"/>
    <mergeCell ref="M73:N73"/>
    <mergeCell ref="F74:G74"/>
    <mergeCell ref="J74:K74"/>
    <mergeCell ref="M74:N74"/>
    <mergeCell ref="F75:G75"/>
    <mergeCell ref="J75:K75"/>
    <mergeCell ref="M75:N75"/>
    <mergeCell ref="F76:G76"/>
    <mergeCell ref="J76:K76"/>
    <mergeCell ref="M76:N76"/>
    <mergeCell ref="F77:G77"/>
    <mergeCell ref="J77:K77"/>
    <mergeCell ref="M77:N77"/>
    <mergeCell ref="F78:G78"/>
    <mergeCell ref="J78:K78"/>
    <mergeCell ref="M78:N78"/>
    <mergeCell ref="F79:G79"/>
    <mergeCell ref="J79:K79"/>
    <mergeCell ref="M79:N79"/>
    <mergeCell ref="F80:G80"/>
    <mergeCell ref="J80:K80"/>
    <mergeCell ref="M80:N80"/>
    <mergeCell ref="F81:G81"/>
    <mergeCell ref="J81:K81"/>
    <mergeCell ref="M81:N81"/>
    <mergeCell ref="F82:G82"/>
    <mergeCell ref="J82:K82"/>
    <mergeCell ref="M82:N82"/>
    <mergeCell ref="F83:G83"/>
    <mergeCell ref="J83:K83"/>
    <mergeCell ref="M83:N83"/>
    <mergeCell ref="F84:G84"/>
    <mergeCell ref="J84:K84"/>
    <mergeCell ref="M84:N84"/>
    <mergeCell ref="F85:G85"/>
    <mergeCell ref="J85:K85"/>
    <mergeCell ref="M85:N85"/>
    <mergeCell ref="F86:G86"/>
    <mergeCell ref="J86:K86"/>
    <mergeCell ref="M86:N86"/>
    <mergeCell ref="F87:G87"/>
    <mergeCell ref="J87:K87"/>
    <mergeCell ref="M87:N87"/>
    <mergeCell ref="F88:G88"/>
    <mergeCell ref="J88:K88"/>
    <mergeCell ref="M88:N88"/>
    <mergeCell ref="M89:N89"/>
    <mergeCell ref="B93:C94"/>
    <mergeCell ref="D93:D94"/>
    <mergeCell ref="E93:F94"/>
    <mergeCell ref="G93:H94"/>
    <mergeCell ref="I93:P93"/>
    <mergeCell ref="I94:K94"/>
    <mergeCell ref="L94:N94"/>
    <mergeCell ref="O94:P94"/>
    <mergeCell ref="B95:C95"/>
    <mergeCell ref="E95:F95"/>
    <mergeCell ref="G95:H95"/>
    <mergeCell ref="I95:K95"/>
    <mergeCell ref="L95:N95"/>
    <mergeCell ref="O95:P95"/>
    <mergeCell ref="B96:C96"/>
    <mergeCell ref="E96:F96"/>
    <mergeCell ref="G96:H96"/>
    <mergeCell ref="I96:K96"/>
    <mergeCell ref="L96:N96"/>
    <mergeCell ref="O96:P96"/>
    <mergeCell ref="B97:C97"/>
    <mergeCell ref="E97:F97"/>
    <mergeCell ref="G97:H97"/>
    <mergeCell ref="I97:K97"/>
    <mergeCell ref="L97:N97"/>
    <mergeCell ref="O97:P97"/>
    <mergeCell ref="B98:C98"/>
    <mergeCell ref="E98:F98"/>
    <mergeCell ref="G98:H98"/>
    <mergeCell ref="I98:K98"/>
    <mergeCell ref="L98:N98"/>
    <mergeCell ref="O98:P98"/>
    <mergeCell ref="B99:C99"/>
    <mergeCell ref="E99:F99"/>
    <mergeCell ref="G99:H99"/>
    <mergeCell ref="I99:K99"/>
    <mergeCell ref="L99:N99"/>
    <mergeCell ref="O99:P99"/>
    <mergeCell ref="E100:G100"/>
    <mergeCell ref="A102:Q104"/>
    <mergeCell ref="B108:D108"/>
    <mergeCell ref="E108:I108"/>
    <mergeCell ref="B138:E138"/>
    <mergeCell ref="R138:R169"/>
    <mergeCell ref="B139:E139"/>
    <mergeCell ref="B140:E140"/>
    <mergeCell ref="F140:H140"/>
    <mergeCell ref="B109:D109"/>
    <mergeCell ref="E109:I109"/>
    <mergeCell ref="R110:R137"/>
    <mergeCell ref="B113:D113"/>
    <mergeCell ref="B114:D115"/>
    <mergeCell ref="B116:D117"/>
    <mergeCell ref="B118:D119"/>
    <mergeCell ref="B120:D121"/>
    <mergeCell ref="B122:D123"/>
    <mergeCell ref="B124:D125"/>
    <mergeCell ref="B126:D127"/>
    <mergeCell ref="B128:D129"/>
    <mergeCell ref="B130:D131"/>
    <mergeCell ref="B132:D133"/>
    <mergeCell ref="B134:D135"/>
    <mergeCell ref="B137:E137"/>
  </mergeCells>
  <phoneticPr fontId="19" type="noConversion"/>
  <conditionalFormatting sqref="L98:N98">
    <cfRule type="containsText" dxfId="242" priority="1" operator="containsText" text="Error">
      <formula>NOT(ISERROR(SEARCH("Error",L98)))</formula>
    </cfRule>
  </conditionalFormatting>
  <conditionalFormatting sqref="E98:F98">
    <cfRule type="cellIs" dxfId="241" priority="2" operator="greaterThan">
      <formula>$D98</formula>
    </cfRule>
  </conditionalFormatting>
  <conditionalFormatting sqref="F68:G87">
    <cfRule type="containsText" dxfId="240" priority="3" operator="containsText" text="not possible">
      <formula>NOT(ISERROR(SEARCH("not possible",F68)))</formula>
    </cfRule>
    <cfRule type="expression" dxfId="239" priority="14">
      <formula>$D68=""</formula>
    </cfRule>
  </conditionalFormatting>
  <conditionalFormatting sqref="P1:P5 J68:K87 M68:N87">
    <cfRule type="containsText" dxfId="238" priority="4" operator="containsText" text="Error ▲">
      <formula>NOT(ISERROR(SEARCH("Error ▲",P1)))</formula>
    </cfRule>
  </conditionalFormatting>
  <conditionalFormatting sqref="I134:I135">
    <cfRule type="containsText" dxfId="237" priority="5" operator="containsText" text="Yes">
      <formula>NOT(ISERROR(SEARCH("Yes",I134)))</formula>
    </cfRule>
    <cfRule type="containsText" dxfId="236" priority="6" operator="containsText" text="No">
      <formula>NOT(ISERROR(SEARCH("No",I134)))</formula>
    </cfRule>
  </conditionalFormatting>
  <conditionalFormatting sqref="L95:N97">
    <cfRule type="containsText" dxfId="235" priority="7" operator="containsText" text="Error">
      <formula>NOT(ISERROR(SEARCH("Error",L95)))</formula>
    </cfRule>
  </conditionalFormatting>
  <conditionalFormatting sqref="E100:G100">
    <cfRule type="containsText" dxfId="234" priority="8" operator="containsText" text="Error">
      <formula>NOT(ISERROR(SEARCH("Error",E100)))</formula>
    </cfRule>
  </conditionalFormatting>
  <conditionalFormatting sqref="J2">
    <cfRule type="containsText" dxfId="233" priority="9" operator="containsText" text="Technical">
      <formula>NOT(ISERROR(SEARCH("Technical",J2)))</formula>
    </cfRule>
  </conditionalFormatting>
  <conditionalFormatting sqref="L11:L30 L40:N59 L68:L88">
    <cfRule type="containsText" dxfId="232" priority="10" operator="containsText" text="▲">
      <formula>NOT(ISERROR(SEARCH("▲",L11)))</formula>
    </cfRule>
  </conditionalFormatting>
  <conditionalFormatting sqref="L11:L30 L40:N59">
    <cfRule type="containsText" dxfId="231" priority="11" operator="containsText" text="value">
      <formula>NOT(ISERROR(SEARCH("value",L11)))</formula>
    </cfRule>
  </conditionalFormatting>
  <conditionalFormatting sqref="N11:N30">
    <cfRule type="containsText" dxfId="230" priority="12" operator="containsText" text="▲">
      <formula>NOT(ISERROR(SEARCH("▲",N11)))</formula>
    </cfRule>
    <cfRule type="containsText" dxfId="229" priority="13" operator="containsText" text="error">
      <formula>NOT(ISERROR(SEARCH("error",N11)))</formula>
    </cfRule>
    <cfRule type="cellIs" dxfId="228" priority="63" operator="equal">
      <formula>"Alternative Compensation"</formula>
    </cfRule>
    <cfRule type="cellIs" dxfId="227" priority="64" operator="equal">
      <formula>"Unacceptable Loss"</formula>
    </cfRule>
    <cfRule type="cellIs" dxfId="226" priority="65" operator="equal">
      <formula>"Compensation Agreed"</formula>
    </cfRule>
    <cfRule type="cellIs" dxfId="225" priority="66" operator="equal">
      <formula>"Unacceptable Loss"</formula>
    </cfRule>
    <cfRule type="cellIs" dxfId="224" priority="67" operator="equal">
      <formula>"Compensation Agreed"</formula>
    </cfRule>
    <cfRule type="cellIs" dxfId="223" priority="68" operator="equal">
      <formula>"Unacceptable Loss"</formula>
    </cfRule>
  </conditionalFormatting>
  <conditionalFormatting sqref="E68:E88">
    <cfRule type="cellIs" dxfId="222" priority="15" operator="equal">
      <formula>"Enhancement not possible"</formula>
    </cfRule>
  </conditionalFormatting>
  <conditionalFormatting sqref="H88">
    <cfRule type="expression" dxfId="221" priority="16">
      <formula>$D88=""</formula>
    </cfRule>
  </conditionalFormatting>
  <conditionalFormatting sqref="F44:F59">
    <cfRule type="containsBlanks" dxfId="220" priority="17" stopIfTrue="1">
      <formula>LEN(TRIM(F44))=0</formula>
    </cfRule>
    <cfRule type="expression" dxfId="219" priority="18">
      <formula>ISNUMBER(SEARCH(F44,E44,1))</formula>
    </cfRule>
  </conditionalFormatting>
  <conditionalFormatting sqref="M11:M30 I62:N62">
    <cfRule type="containsText" dxfId="218" priority="19" operator="containsText" text="error">
      <formula>NOT(ISERROR(SEARCH("error",M11)))</formula>
    </cfRule>
  </conditionalFormatting>
  <conditionalFormatting sqref="J2 O6:P6">
    <cfRule type="containsText" dxfId="217" priority="20" operator="containsText" text="Errors Present On Sheet">
      <formula>NOT(ISERROR(SEARCH("Errors Present On Sheet",J2)))</formula>
    </cfRule>
  </conditionalFormatting>
  <conditionalFormatting sqref="I62:N62">
    <cfRule type="containsText" dxfId="216" priority="21" operator="containsText" text="acceptable">
      <formula>NOT(ISERROR(SEARCH("acceptable",I62)))</formula>
    </cfRule>
  </conditionalFormatting>
  <conditionalFormatting sqref="I33:N35">
    <cfRule type="containsText" dxfId="215" priority="22" operator="containsText" text="error">
      <formula>NOT(ISERROR(SEARCH("error",I33)))</formula>
    </cfRule>
    <cfRule type="containsText" dxfId="214" priority="23" operator="containsText" text="acceptable">
      <formula>NOT(ISERROR(SEARCH("acceptable",I33)))</formula>
    </cfRule>
  </conditionalFormatting>
  <conditionalFormatting sqref="K11:K30">
    <cfRule type="expression" dxfId="213" priority="24">
      <formula>$AI11="Enhancement not possible"</formula>
    </cfRule>
  </conditionalFormatting>
  <conditionalFormatting sqref="L68:M88">
    <cfRule type="cellIs" dxfId="212" priority="25" operator="equal">
      <formula>"Alternative Compensation"</formula>
    </cfRule>
    <cfRule type="cellIs" dxfId="211" priority="26" operator="equal">
      <formula>"Unacceptable Loss"</formula>
    </cfRule>
    <cfRule type="cellIs" dxfId="210" priority="27" operator="equal">
      <formula>"Compensation Agreed"</formula>
    </cfRule>
    <cfRule type="cellIs" dxfId="209" priority="28" operator="equal">
      <formula>"Unacceptable Loss"</formula>
    </cfRule>
    <cfRule type="cellIs" dxfId="208" priority="29" operator="equal">
      <formula>"Compensation Agreed"</formula>
    </cfRule>
    <cfRule type="cellIs" dxfId="207" priority="30" operator="equal">
      <formula>"Unacceptable Loss"</formula>
    </cfRule>
  </conditionalFormatting>
  <conditionalFormatting sqref="AJ68:AJ88">
    <cfRule type="cellIs" dxfId="206" priority="31" operator="equal">
      <formula>"Not Possible"</formula>
    </cfRule>
  </conditionalFormatting>
  <conditionalFormatting sqref="L89">
    <cfRule type="cellIs" dxfId="205" priority="32" operator="equal">
      <formula>"Any loss Unacceptable"</formula>
    </cfRule>
    <cfRule type="expression" dxfId="204" priority="33">
      <formula>"p18=""Avoid"""</formula>
    </cfRule>
  </conditionalFormatting>
  <conditionalFormatting sqref="I89">
    <cfRule type="cellIs" dxfId="203" priority="34" operator="equal">
      <formula>"Any loss Unacceptable"</formula>
    </cfRule>
    <cfRule type="expression" dxfId="202" priority="35">
      <formula>"p18=""Avoid"""</formula>
    </cfRule>
  </conditionalFormatting>
  <conditionalFormatting sqref="X40:X60">
    <cfRule type="cellIs" dxfId="201" priority="36" operator="equal">
      <formula>"Not Possible"</formula>
    </cfRule>
  </conditionalFormatting>
  <conditionalFormatting sqref="L31:M31">
    <cfRule type="cellIs" dxfId="200" priority="37" operator="equal">
      <formula>"Alternative Compensation"</formula>
    </cfRule>
    <cfRule type="cellIs" dxfId="199" priority="38" operator="equal">
      <formula>"Unacceptable Loss"</formula>
    </cfRule>
    <cfRule type="cellIs" dxfId="198" priority="39" operator="equal">
      <formula>"Compensation Agreed"</formula>
    </cfRule>
    <cfRule type="cellIs" dxfId="197" priority="40" operator="equal">
      <formula>"Unacceptable Loss"</formula>
    </cfRule>
    <cfRule type="cellIs" dxfId="196" priority="41" operator="equal">
      <formula>"Compensation Agreed"</formula>
    </cfRule>
    <cfRule type="cellIs" dxfId="195" priority="42" operator="equal">
      <formula>"Unacceptable Loss"</formula>
    </cfRule>
  </conditionalFormatting>
  <conditionalFormatting sqref="L60:M60">
    <cfRule type="cellIs" dxfId="194" priority="43" operator="equal">
      <formula>"Alternative Compensation"</formula>
    </cfRule>
    <cfRule type="cellIs" dxfId="193" priority="44" operator="equal">
      <formula>"Unacceptable Loss"</formula>
    </cfRule>
    <cfRule type="cellIs" dxfId="192" priority="45" operator="equal">
      <formula>"Compensation Agreed"</formula>
    </cfRule>
    <cfRule type="cellIs" dxfId="191" priority="46" operator="equal">
      <formula>"Unacceptable Loss"</formula>
    </cfRule>
    <cfRule type="cellIs" dxfId="190" priority="47" operator="equal">
      <formula>"Compensation Agreed"</formula>
    </cfRule>
    <cfRule type="cellIs" dxfId="189" priority="48" operator="equal">
      <formula>"Unacceptable Loss"</formula>
    </cfRule>
  </conditionalFormatting>
  <conditionalFormatting sqref="I140">
    <cfRule type="containsText" dxfId="188" priority="49" operator="containsText" text="Yes">
      <formula>NOT(ISERROR(SEARCH("Yes",I140)))</formula>
    </cfRule>
    <cfRule type="containsText" dxfId="187" priority="50" operator="containsText" text="No">
      <formula>NOT(ISERROR(SEARCH("No",I140)))</formula>
    </cfRule>
  </conditionalFormatting>
  <conditionalFormatting sqref="E108:E109">
    <cfRule type="containsText" dxfId="186" priority="51" operator="containsText" text="Trading Rules Satisfied">
      <formula>NOT(ISERROR(SEARCH("Trading Rules Satisfied",E108)))</formula>
    </cfRule>
    <cfRule type="containsText" dxfId="185" priority="52" operator="containsText" text="Error - Trading Rules Not Satisfied">
      <formula>NOT(ISERROR(SEARCH("Error - Trading Rules Not Satisfied",E108)))</formula>
    </cfRule>
  </conditionalFormatting>
  <conditionalFormatting sqref="I138:I139">
    <cfRule type="containsText" dxfId="184" priority="53" operator="containsText" text="Yes">
      <formula>NOT(ISERROR(SEARCH("Yes",I138)))</formula>
    </cfRule>
    <cfRule type="containsText" dxfId="183" priority="54" operator="containsText" text="No">
      <formula>NOT(ISERROR(SEARCH("No",I138)))</formula>
    </cfRule>
  </conditionalFormatting>
  <conditionalFormatting sqref="I114:I133">
    <cfRule type="containsText" dxfId="182" priority="55" operator="containsText" text="Yes">
      <formula>NOT(ISERROR(SEARCH("Yes",I114)))</formula>
    </cfRule>
    <cfRule type="containsText" dxfId="181" priority="56" operator="containsText" text="No">
      <formula>NOT(ISERROR(SEARCH("No",I114)))</formula>
    </cfRule>
  </conditionalFormatting>
  <conditionalFormatting sqref="L40:M59">
    <cfRule type="cellIs" dxfId="180" priority="57" operator="equal">
      <formula>"Alternative Compensation"</formula>
    </cfRule>
    <cfRule type="cellIs" dxfId="179" priority="58" operator="equal">
      <formula>"Unacceptable Loss"</formula>
    </cfRule>
    <cfRule type="cellIs" dxfId="178" priority="59" operator="equal">
      <formula>"Compensation Agreed"</formula>
    </cfRule>
    <cfRule type="cellIs" dxfId="177" priority="60" operator="equal">
      <formula>"Unacceptable Loss"</formula>
    </cfRule>
    <cfRule type="cellIs" dxfId="176" priority="61" operator="equal">
      <formula>"Compensation Agreed"</formula>
    </cfRule>
    <cfRule type="cellIs" dxfId="175" priority="62" operator="equal">
      <formula>"Unacceptable Loss"</formula>
    </cfRule>
  </conditionalFormatting>
  <conditionalFormatting sqref="L11:M30">
    <cfRule type="cellIs" dxfId="174" priority="69" operator="equal">
      <formula>"Any loss Unacceptable"</formula>
    </cfRule>
    <cfRule type="expression" dxfId="173" priority="70">
      <formula>"p18=""Avoid"""</formula>
    </cfRule>
  </conditionalFormatting>
  <conditionalFormatting sqref="AG11:AG31">
    <cfRule type="cellIs" dxfId="172" priority="71" operator="equal">
      <formula>"Unacceptable Loss"</formula>
    </cfRule>
  </conditionalFormatting>
  <conditionalFormatting sqref="X11:X31">
    <cfRule type="cellIs" dxfId="171" priority="72" operator="equal">
      <formula>"Not Possible"</formula>
    </cfRule>
  </conditionalFormatting>
  <conditionalFormatting sqref="F40">
    <cfRule type="containsBlanks" dxfId="170" priority="73" stopIfTrue="1">
      <formula>LEN(TRIM(F40))=0</formula>
    </cfRule>
    <cfRule type="expression" dxfId="169" priority="74">
      <formula>ISNUMBER(SEARCH(F40,E40,1))</formula>
    </cfRule>
  </conditionalFormatting>
  <conditionalFormatting sqref="F41:F43">
    <cfRule type="containsBlanks" dxfId="168" priority="75" stopIfTrue="1">
      <formula>LEN(TRIM(F41))=0</formula>
    </cfRule>
    <cfRule type="expression" dxfId="167" priority="76">
      <formula>ISNUMBER(SEARCH(F41,E41,1))</formula>
    </cfRule>
  </conditionalFormatting>
  <conditionalFormatting sqref="E95:F97">
    <cfRule type="cellIs" dxfId="166" priority="77" operator="greaterThan">
      <formula>$D95</formula>
    </cfRule>
  </conditionalFormatting>
  <dataValidations count="3">
    <dataValidation type="list" allowBlank="1" showInputMessage="1" showErrorMessage="1" sqref="D11:E30 D40:D59" xr:uid="{00000000-0002-0000-0400-000000000000}">
      <formula1>INDIRECT(SUBSTITUTE(C11," ",""))</formula1>
    </dataValidation>
    <dataValidation type="list" allowBlank="1" showInputMessage="1" showErrorMessage="1" sqref="BX63" xr:uid="{00000000-0002-0000-0400-000001000000}">
      <formula1>INDIRECT("BV68:BV"&amp;BV63+67)</formula1>
    </dataValidation>
    <dataValidation type="list" allowBlank="1" showInputMessage="1" showErrorMessage="1" sqref="F68:G87" xr:uid="{00000000-0002-0000-0400-000002000000}">
      <formula1>INDIRECT(BV68)</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3631-8921-4865-916B-1CF388715C68}">
  <sheetPr codeName="Sheet3">
    <tabColor rgb="FF663300"/>
    <pageSetUpPr fitToPage="1"/>
  </sheetPr>
  <dimension ref="A1:CB127"/>
  <sheetViews>
    <sheetView zoomScale="80" zoomScaleNormal="80" workbookViewId="0"/>
  </sheetViews>
  <sheetFormatPr defaultColWidth="0" defaultRowHeight="14.45" zeroHeight="1"/>
  <cols>
    <col min="1" max="1" width="4.5703125" customWidth="1"/>
    <col min="2" max="2" width="14.7109375" customWidth="1"/>
    <col min="3" max="3" width="24.42578125" bestFit="1" customWidth="1"/>
    <col min="4" max="4" width="40.28515625" customWidth="1"/>
    <col min="5" max="5" width="27" customWidth="1"/>
    <col min="6" max="6" width="18.5703125" customWidth="1"/>
    <col min="7" max="7" width="39.7109375" customWidth="1"/>
    <col min="8" max="8" width="49.28515625" bestFit="1"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2.5703125" customWidth="1"/>
    <col min="20" max="20" width="16.7109375" customWidth="1"/>
    <col min="21" max="21" width="14.7109375" customWidth="1"/>
    <col min="22" max="22" width="20.7109375" bestFit="1" customWidth="1"/>
    <col min="23" max="23" width="23.7109375" customWidth="1"/>
    <col min="24" max="24" width="16.7109375" bestFit="1" customWidth="1"/>
    <col min="25" max="25" width="14" hidden="1" customWidth="1"/>
    <col min="26" max="26" width="22"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65.7109375" bestFit="1" customWidth="1"/>
    <col min="35" max="35" width="207" bestFit="1" customWidth="1"/>
    <col min="36" max="36" width="23.5703125" customWidth="1"/>
    <col min="37" max="37" width="23.5703125" hidden="1" customWidth="1"/>
    <col min="38" max="38" width="16.7109375" hidden="1" customWidth="1"/>
    <col min="39" max="39" width="13.28515625" hidden="1" customWidth="1"/>
    <col min="40" max="40" width="12.28515625" customWidth="1"/>
    <col min="41" max="41" width="34.28515625" bestFit="1" customWidth="1"/>
    <col min="42" max="42" width="19.7109375" bestFit="1" customWidth="1"/>
    <col min="43" max="43" width="16.28515625" bestFit="1" customWidth="1"/>
    <col min="44" max="47" width="27.28515625" customWidth="1"/>
    <col min="48" max="48" width="21.28515625" bestFit="1" customWidth="1"/>
    <col min="49" max="49" width="23.28515625" bestFit="1" customWidth="1"/>
    <col min="50" max="50" width="68.28515625" customWidth="1"/>
    <col min="51" max="51" width="23.28515625" customWidth="1"/>
    <col min="52" max="52" width="24.42578125" customWidth="1"/>
    <col min="53" max="53" width="18.7109375" customWidth="1"/>
    <col min="54" max="73" width="31.7109375" customWidth="1"/>
    <col min="74" max="74" width="15.5703125" customWidth="1"/>
    <col min="75" max="80" width="8.7109375" customWidth="1"/>
    <col min="81" max="81" width="8.7109375" hidden="1" customWidth="1"/>
    <col min="82" max="16384" width="8.7109375" hidden="1"/>
  </cols>
  <sheetData>
    <row r="1" spans="1:35" s="99" customFormat="1" ht="15.75" customHeight="1">
      <c r="I1" s="116"/>
      <c r="J1" s="116"/>
      <c r="K1" s="116"/>
      <c r="L1" s="116"/>
      <c r="M1" s="116"/>
      <c r="N1" s="116"/>
      <c r="O1" s="69" t="s">
        <v>81</v>
      </c>
      <c r="P1" s="298">
        <f>IFERROR(SUM(AE11:AE30), "Error ▲")</f>
        <v>0</v>
      </c>
      <c r="R1" s="655" t="s">
        <v>82</v>
      </c>
      <c r="T1" s="100"/>
    </row>
    <row r="2" spans="1:35" s="99" customFormat="1" ht="19.899999999999999" customHeight="1">
      <c r="B2" s="141" t="s">
        <v>83</v>
      </c>
      <c r="C2" s="833" t="str">
        <f>IF('2. Site Details'!D4="","Enter site name on 2. Site Details",'2. Site Details'!D4)</f>
        <v>8 cliffe lane</v>
      </c>
      <c r="D2" s="834"/>
      <c r="F2" s="835" t="s">
        <v>249</v>
      </c>
      <c r="G2" s="836"/>
      <c r="H2" s="837"/>
      <c r="I2" s="116"/>
      <c r="J2" s="844" t="str" cm="1">
        <f t="array" aca="1" ref="J2" ca="1">IFERROR(IF(OR((ISNUMBER(SEARCH("▲",A7:Q101)))),"Input Errors Present On Sheet - Red Cells Or ▲ Highlight Errors","All Key Rules Satisfied ✓ "),"Technical Errors On Sheet ▲")</f>
        <v xml:space="preserve">All Key Rules Satisfied ✓ </v>
      </c>
      <c r="K2" s="844"/>
      <c r="L2" s="844"/>
      <c r="M2" s="844"/>
      <c r="N2" s="142"/>
      <c r="O2" s="144" t="s">
        <v>85</v>
      </c>
      <c r="P2" s="298">
        <f>IFERROR(N31, "Error ▲")</f>
        <v>0</v>
      </c>
      <c r="R2" s="655"/>
      <c r="T2" s="100"/>
    </row>
    <row r="3" spans="1:35" s="99" customFormat="1" ht="19.899999999999999" customHeight="1">
      <c r="B3" s="143" t="s">
        <v>16</v>
      </c>
      <c r="C3" s="845" t="s">
        <v>250</v>
      </c>
      <c r="D3" s="846"/>
      <c r="F3" s="838"/>
      <c r="G3" s="839"/>
      <c r="H3" s="840"/>
      <c r="I3" s="116"/>
      <c r="J3" s="844"/>
      <c r="K3" s="844"/>
      <c r="L3" s="844"/>
      <c r="M3" s="844"/>
      <c r="N3" s="142"/>
      <c r="O3" s="144" t="s">
        <v>87</v>
      </c>
      <c r="P3" s="298">
        <f>IFERROR(L59, "Error ▲")</f>
        <v>0</v>
      </c>
      <c r="R3" s="655"/>
      <c r="T3" s="100"/>
    </row>
    <row r="4" spans="1:35" s="99" customFormat="1" ht="19.899999999999999" customHeight="1">
      <c r="B4" s="145"/>
      <c r="C4" s="145"/>
      <c r="D4" s="145"/>
      <c r="F4" s="838"/>
      <c r="G4" s="839"/>
      <c r="H4" s="840"/>
      <c r="I4" s="116"/>
      <c r="J4" s="844"/>
      <c r="K4" s="844"/>
      <c r="L4" s="844"/>
      <c r="M4" s="844"/>
      <c r="N4" s="142"/>
      <c r="O4" s="144" t="s">
        <v>88</v>
      </c>
      <c r="P4" s="298">
        <f>IFERROR(L86, "Error ▲")</f>
        <v>0</v>
      </c>
      <c r="R4" s="655"/>
      <c r="T4" s="100"/>
    </row>
    <row r="5" spans="1:35" s="99" customFormat="1" ht="19.899999999999999" customHeight="1">
      <c r="A5" s="12"/>
      <c r="F5" s="838"/>
      <c r="G5" s="839"/>
      <c r="H5" s="840"/>
      <c r="I5" s="116"/>
      <c r="J5" s="844"/>
      <c r="K5" s="844"/>
      <c r="L5" s="844"/>
      <c r="M5" s="844"/>
      <c r="N5" s="142"/>
      <c r="O5" s="146" t="s">
        <v>89</v>
      </c>
      <c r="P5" s="299">
        <f>IFERROR(P1+L59+L86-L31, "Error ▲")</f>
        <v>0</v>
      </c>
      <c r="R5" s="655"/>
      <c r="T5" s="100"/>
    </row>
    <row r="6" spans="1:35" s="99" customFormat="1" ht="13.15" customHeight="1">
      <c r="A6" s="12"/>
      <c r="F6" s="841"/>
      <c r="G6" s="842"/>
      <c r="H6" s="843"/>
      <c r="I6" s="116"/>
      <c r="J6" s="116"/>
      <c r="K6" s="116"/>
      <c r="L6" s="116"/>
      <c r="M6" s="116"/>
      <c r="N6" s="116"/>
      <c r="O6" s="147"/>
      <c r="P6" s="147"/>
      <c r="R6" s="655"/>
      <c r="T6" s="100"/>
    </row>
    <row r="7" spans="1:35" s="99" customFormat="1" ht="19.149999999999999" customHeight="1">
      <c r="B7" s="121" t="s">
        <v>90</v>
      </c>
      <c r="D7" s="148"/>
      <c r="H7" s="100"/>
      <c r="K7" s="100"/>
      <c r="L7" s="104"/>
      <c r="M7" s="104"/>
      <c r="N7" s="104"/>
      <c r="R7" s="655"/>
      <c r="T7" s="100"/>
    </row>
    <row r="8" spans="1:35" s="99" customFormat="1" ht="10.9" customHeight="1">
      <c r="A8" s="149"/>
      <c r="R8" s="655"/>
    </row>
    <row r="9" spans="1:35" s="99" customFormat="1" ht="29.65" customHeight="1">
      <c r="A9" s="149"/>
      <c r="B9" s="814" t="s">
        <v>76</v>
      </c>
      <c r="C9" s="771" t="s">
        <v>91</v>
      </c>
      <c r="D9" s="772"/>
      <c r="E9" s="773"/>
      <c r="F9" s="721" t="s">
        <v>92</v>
      </c>
      <c r="G9" s="817"/>
      <c r="H9" s="722"/>
      <c r="I9" s="771" t="s">
        <v>251</v>
      </c>
      <c r="J9" s="772"/>
      <c r="K9" s="773"/>
      <c r="L9" s="847" t="s">
        <v>94</v>
      </c>
      <c r="M9" s="848"/>
      <c r="N9" s="849"/>
      <c r="O9" s="847" t="s">
        <v>95</v>
      </c>
      <c r="P9" s="849"/>
      <c r="R9" s="655"/>
      <c r="T9" s="769" t="s">
        <v>96</v>
      </c>
      <c r="U9" s="779"/>
      <c r="V9" s="905"/>
      <c r="W9" s="769" t="s">
        <v>97</v>
      </c>
      <c r="X9" s="770"/>
      <c r="Y9" s="803"/>
      <c r="Z9" s="803"/>
      <c r="AA9" s="803"/>
      <c r="AB9" s="802" t="s">
        <v>98</v>
      </c>
      <c r="AC9" s="779"/>
      <c r="AD9" s="770"/>
      <c r="AE9" s="769" t="s">
        <v>99</v>
      </c>
      <c r="AF9" s="779"/>
      <c r="AG9" s="770"/>
      <c r="AH9" s="769" t="s">
        <v>100</v>
      </c>
      <c r="AI9" s="770" t="s">
        <v>101</v>
      </c>
    </row>
    <row r="10" spans="1:35" s="99" customFormat="1" ht="32.65" customHeight="1">
      <c r="A10" s="149"/>
      <c r="B10" s="734"/>
      <c r="C10" s="146" t="s">
        <v>102</v>
      </c>
      <c r="D10" s="820" t="s">
        <v>103</v>
      </c>
      <c r="E10" s="923"/>
      <c r="F10" s="723"/>
      <c r="G10" s="818"/>
      <c r="H10" s="724"/>
      <c r="I10" s="146" t="s">
        <v>252</v>
      </c>
      <c r="J10" s="54" t="s">
        <v>253</v>
      </c>
      <c r="K10" s="42" t="s">
        <v>254</v>
      </c>
      <c r="L10" s="38" t="s">
        <v>255</v>
      </c>
      <c r="M10" s="37" t="s">
        <v>256</v>
      </c>
      <c r="N10" s="36" t="s">
        <v>109</v>
      </c>
      <c r="O10" s="146" t="s">
        <v>110</v>
      </c>
      <c r="P10" s="42" t="s">
        <v>111</v>
      </c>
      <c r="R10" s="655"/>
      <c r="T10" s="804" t="s">
        <v>112</v>
      </c>
      <c r="U10" s="805"/>
      <c r="V10" s="28" t="s">
        <v>113</v>
      </c>
      <c r="W10" s="65" t="s">
        <v>114</v>
      </c>
      <c r="X10" s="43" t="s">
        <v>113</v>
      </c>
      <c r="Y10" s="66"/>
      <c r="Z10" s="66"/>
      <c r="AA10" s="66"/>
      <c r="AB10" s="8" t="s">
        <v>98</v>
      </c>
      <c r="AC10" s="64" t="s">
        <v>98</v>
      </c>
      <c r="AD10" s="43" t="s">
        <v>115</v>
      </c>
      <c r="AE10" s="65" t="s">
        <v>116</v>
      </c>
      <c r="AF10" s="64" t="s">
        <v>117</v>
      </c>
      <c r="AG10" s="43" t="s">
        <v>118</v>
      </c>
      <c r="AH10" s="804"/>
      <c r="AI10" s="922"/>
    </row>
    <row r="11" spans="1:35" s="99" customFormat="1" ht="28.9" customHeight="1">
      <c r="A11" s="149"/>
      <c r="B11" s="291">
        <v>1</v>
      </c>
      <c r="C11" s="535" t="s">
        <v>257</v>
      </c>
      <c r="D11" s="882"/>
      <c r="E11" s="883"/>
      <c r="F11" s="924"/>
      <c r="G11" s="925"/>
      <c r="H11" s="926"/>
      <c r="I11" s="315"/>
      <c r="J11" s="316"/>
      <c r="K11" s="317"/>
      <c r="L11" s="35" t="str">
        <f>IF(D11="","",IFERROR(IF(I11="","",((I11/1000)*V11*X11)*AD11),"This intervention is not permitted within the SSM ▲"))</f>
        <v/>
      </c>
      <c r="M11" s="327" t="str">
        <f>IF(I11="","",IF(J11+K11&gt;I11,"Length Error ▲",I11-J11-K11))</f>
        <v/>
      </c>
      <c r="N11" s="34" t="str">
        <f>IFERROR(IF(I11="","",IF(M11="Length Error ▲","Length Error ▲",((M11/1000)*V11*X11)*AD11)),"This intervention is not permitted within the SSM ▲")</f>
        <v/>
      </c>
      <c r="O11" s="187"/>
      <c r="P11" s="188"/>
      <c r="R11" s="655"/>
      <c r="T11" s="791" t="str">
        <f>IF(D11="","",VLOOKUP(D11,'9. All Habitats + Multipliers'!$C$4:$K$102,5,FALSE))</f>
        <v/>
      </c>
      <c r="U11" s="792"/>
      <c r="V11" s="350" t="str">
        <f>IF(T11="","",VLOOKUP(T11,'11. Lists'!$S$47:$U$50,2,FALSE))</f>
        <v/>
      </c>
      <c r="W11" s="61" t="str">
        <f>IF(D11="","",VLOOKUP(D11,'10. Condition and Temporal'!$B$6:$C$103,2,FALSE))</f>
        <v/>
      </c>
      <c r="X11" s="150" t="str">
        <f>IF(W11="","",VLOOKUP(W11,'11. Lists'!$F$47:$G$51,2,FALSE))</f>
        <v/>
      </c>
      <c r="Y11" s="113"/>
      <c r="Z11" s="113"/>
      <c r="AA11" s="113"/>
      <c r="AB11" s="224" t="str">
        <f>IF(F11="","",F11)</f>
        <v/>
      </c>
      <c r="AC11" s="60" t="str">
        <f>IF(AB11="","",VLOOKUP(AB11,'11. Lists'!$F$36:$H$38,2,FALSE))</f>
        <v/>
      </c>
      <c r="AD11" s="150" t="str">
        <f>IF(AB11="","",VLOOKUP(AB11,'11. Lists'!$F$36:$H$38,3,FALSE))</f>
        <v/>
      </c>
      <c r="AE11" s="311" t="str">
        <f>IF(D11="","",((J11/1000)*V11*X11)*AD11)</f>
        <v/>
      </c>
      <c r="AF11" s="312" t="str">
        <f>IF(D11="","",((K11/1000)*V11*X11)*AD11)</f>
        <v/>
      </c>
      <c r="AG11" s="151" t="str">
        <f>IF(D11="","",M11)</f>
        <v/>
      </c>
      <c r="AH11" s="61" t="str">
        <f>IF(T11="","",VLOOKUP(T11,'11. Lists'!$B$47:$D$49,3,FALSE))</f>
        <v/>
      </c>
      <c r="AI11" s="150" t="str">
        <f>IF(D11="","",VLOOKUP(D11,'10. Condition and Temporal'!$B$6:$L$103,4,FALSE))</f>
        <v/>
      </c>
    </row>
    <row r="12" spans="1:35" s="99" customFormat="1" ht="28.9" customHeight="1">
      <c r="B12" s="285">
        <v>2</v>
      </c>
      <c r="C12" s="535" t="s">
        <v>257</v>
      </c>
      <c r="D12" s="739"/>
      <c r="E12" s="740"/>
      <c r="F12" s="919"/>
      <c r="G12" s="920"/>
      <c r="H12" s="921"/>
      <c r="I12" s="318"/>
      <c r="J12" s="319"/>
      <c r="K12" s="320"/>
      <c r="L12" s="25" t="str">
        <f>IF(D12="","",IFERROR(IF(I12="","",((I12/1000)*V12*X12)*AD12),"This intervention is not permitted within the SSM ▲"))</f>
        <v/>
      </c>
      <c r="M12" s="314" t="str">
        <f>IF(I12="","",IF(J12+K12&gt;I12,"Length Error ▲",I12-J12-K12))</f>
        <v/>
      </c>
      <c r="N12" s="23" t="str">
        <f>IFERROR(IF(I12="","",IF(M12="Length Error ▲","Length Error ▲",((M12/1000)*V12*X12)*AD12)),"This intervention is not permitted within the SSM ▲")</f>
        <v/>
      </c>
      <c r="O12" s="132"/>
      <c r="P12" s="79"/>
      <c r="R12" s="655"/>
      <c r="T12" s="791" t="str">
        <f>IF(D12="","",VLOOKUP(D12,'9. All Habitats + Multipliers'!$C$4:$K$102,5,FALSE))</f>
        <v/>
      </c>
      <c r="U12" s="792"/>
      <c r="V12" s="350" t="str">
        <f>IF(T12="","",VLOOKUP(T12,'11. Lists'!$S$47:$U$50,2,FALSE))</f>
        <v/>
      </c>
      <c r="W12" s="61" t="str">
        <f>IF(D12="","",VLOOKUP(D12,'10. Condition and Temporal'!$B$6:$C$103,2,FALSE))</f>
        <v/>
      </c>
      <c r="X12" s="150" t="str">
        <f>IF(W12="","",VLOOKUP(W12,'11. Lists'!$F$47:$G$51,2,FALSE))</f>
        <v/>
      </c>
      <c r="Y12" s="113"/>
      <c r="Z12" s="113"/>
      <c r="AA12" s="113"/>
      <c r="AB12" s="224" t="str">
        <f>IF(F12="","",F12)</f>
        <v/>
      </c>
      <c r="AC12" s="60" t="str">
        <f>IF(AB12="","",VLOOKUP(AB12,'11. Lists'!$F$36:$H$38,2,FALSE))</f>
        <v/>
      </c>
      <c r="AD12" s="150" t="str">
        <f>IF(AB12="","",VLOOKUP(AB12,'11. Lists'!$F$36:$H$38,3,FALSE))</f>
        <v/>
      </c>
      <c r="AE12" s="311" t="str">
        <f>IF(D12="","",((J12/1000)*V12*X12)*AD12)</f>
        <v/>
      </c>
      <c r="AF12" s="312" t="str">
        <f>IF(D12="","",((K12/1000)*V12*X12)*AD12)</f>
        <v/>
      </c>
      <c r="AG12" s="151" t="str">
        <f>IF(D12="","",M12)</f>
        <v/>
      </c>
      <c r="AH12" s="61" t="str">
        <f>IF(T12="","",VLOOKUP(T12,'11. Lists'!$B$47:$D$49,3,FALSE))</f>
        <v/>
      </c>
      <c r="AI12" s="150" t="str">
        <f>IF(D12="","",VLOOKUP(D12,'10. Condition and Temporal'!$B$6:$L$103,4,FALSE))</f>
        <v/>
      </c>
    </row>
    <row r="13" spans="1:35" s="99" customFormat="1" ht="28.9" customHeight="1">
      <c r="B13" s="285">
        <v>3</v>
      </c>
      <c r="C13" s="535" t="s">
        <v>257</v>
      </c>
      <c r="D13" s="739"/>
      <c r="E13" s="740"/>
      <c r="F13" s="919"/>
      <c r="G13" s="920"/>
      <c r="H13" s="921"/>
      <c r="I13" s="318"/>
      <c r="J13" s="319"/>
      <c r="K13" s="320"/>
      <c r="L13" s="25" t="str">
        <f>IF(D13="","",IFERROR(IF(I13="","",((I13/1000)*V13*X13)*AD13),"This intervention is not permitted within the SSM ▲"))</f>
        <v/>
      </c>
      <c r="M13" s="314" t="str">
        <f>IF(I13="","",IF(J13+K13&gt;I13,"Length Error ▲",I13-J13-K13))</f>
        <v/>
      </c>
      <c r="N13" s="23" t="str">
        <f>IFERROR(IF(I13="","",IF(M13="Length Error ▲","Length Error ▲",((M13/1000)*V13*X13)*AD13)),"This intervention is not permitted within the SSM ▲")</f>
        <v/>
      </c>
      <c r="O13" s="306"/>
      <c r="P13" s="79"/>
      <c r="R13" s="655"/>
      <c r="T13" s="791" t="str">
        <f>IF(D13="","",VLOOKUP(D13,'9. All Habitats + Multipliers'!$C$4:$K$102,5,FALSE))</f>
        <v/>
      </c>
      <c r="U13" s="792"/>
      <c r="V13" s="350" t="str">
        <f>IF(T13="","",VLOOKUP(T13,'11. Lists'!$S$47:$U$50,2,FALSE))</f>
        <v/>
      </c>
      <c r="W13" s="61" t="str">
        <f>IF(D13="","",VLOOKUP(D13,'10. Condition and Temporal'!$B$6:$C$103,2,FALSE))</f>
        <v/>
      </c>
      <c r="X13" s="150" t="str">
        <f>IF(W13="","",VLOOKUP(W13,'11. Lists'!$F$47:$G$51,2,FALSE))</f>
        <v/>
      </c>
      <c r="Y13" s="113"/>
      <c r="Z13" s="113"/>
      <c r="AA13" s="113"/>
      <c r="AB13" s="224" t="str">
        <f>IF(F13="","",F13)</f>
        <v/>
      </c>
      <c r="AC13" s="60" t="str">
        <f>IF(AB13="","",VLOOKUP(AB13,'11. Lists'!$F$36:$H$38,2,FALSE))</f>
        <v/>
      </c>
      <c r="AD13" s="150" t="str">
        <f>IF(AB13="","",VLOOKUP(AB13,'11. Lists'!$F$36:$H$38,3,FALSE))</f>
        <v/>
      </c>
      <c r="AE13" s="311" t="str">
        <f>IF(D13="","",((J13/1000)*V13*X13)*AD13)</f>
        <v/>
      </c>
      <c r="AF13" s="312" t="str">
        <f>IF(D13="","",((K13/1000)*V13*X13)*AD13)</f>
        <v/>
      </c>
      <c r="AG13" s="151" t="str">
        <f>IF(D13="","",M13)</f>
        <v/>
      </c>
      <c r="AH13" s="61" t="str">
        <f>IF(T13="","",VLOOKUP(T13,'11. Lists'!$B$47:$D$49,3,FALSE))</f>
        <v/>
      </c>
      <c r="AI13" s="150" t="str">
        <f>IF(D13="","",VLOOKUP(D13,'10. Condition and Temporal'!$B$6:$L$103,4,FALSE))</f>
        <v/>
      </c>
    </row>
    <row r="14" spans="1:35" s="99" customFormat="1" ht="28.9" customHeight="1">
      <c r="B14" s="285">
        <v>4</v>
      </c>
      <c r="C14" s="535" t="s">
        <v>257</v>
      </c>
      <c r="D14" s="739"/>
      <c r="E14" s="740"/>
      <c r="F14" s="919"/>
      <c r="G14" s="920"/>
      <c r="H14" s="921"/>
      <c r="I14" s="318"/>
      <c r="J14" s="319"/>
      <c r="K14" s="320"/>
      <c r="L14" s="25" t="str">
        <f>IF(D14="","",IFERROR(IF(I14="","",((I14/1000)*V14*X14)*AD14),"This intervention is not permitted within the SSM ▲"))</f>
        <v/>
      </c>
      <c r="M14" s="314" t="str">
        <f>IF(I14="","",IF(J14+K14&gt;I14,"Length Error ▲",I14-J14-K14))</f>
        <v/>
      </c>
      <c r="N14" s="23" t="str">
        <f>IFERROR(IF(I14="","",IF(M14="Length Error ▲","Length Error ▲",((M14/1000)*V14*X14)*AD14)),"This intervention is not permitted within the SSM ▲")</f>
        <v/>
      </c>
      <c r="O14" s="132"/>
      <c r="P14" s="79"/>
      <c r="R14" s="655"/>
      <c r="T14" s="791" t="str">
        <f>IF(D14="","",VLOOKUP(D14,'9. All Habitats + Multipliers'!$C$4:$K$102,5,FALSE))</f>
        <v/>
      </c>
      <c r="U14" s="792"/>
      <c r="V14" s="350" t="str">
        <f>IF(T14="","",VLOOKUP(T14,'11. Lists'!$S$47:$U$50,2,FALSE))</f>
        <v/>
      </c>
      <c r="W14" s="61" t="str">
        <f>IF(D14="","",VLOOKUP(D14,'10. Condition and Temporal'!$B$6:$C$103,2,FALSE))</f>
        <v/>
      </c>
      <c r="X14" s="150" t="str">
        <f>IF(W14="","",VLOOKUP(W14,'11. Lists'!$F$47:$G$51,2,FALSE))</f>
        <v/>
      </c>
      <c r="Y14" s="113"/>
      <c r="Z14" s="113"/>
      <c r="AA14" s="113"/>
      <c r="AB14" s="224" t="str">
        <f>IF(F14="","",F14)</f>
        <v/>
      </c>
      <c r="AC14" s="60" t="str">
        <f>IF(AB14="","",VLOOKUP(AB14,'11. Lists'!$F$36:$H$38,2,FALSE))</f>
        <v/>
      </c>
      <c r="AD14" s="150" t="str">
        <f>IF(AB14="","",VLOOKUP(AB14,'11. Lists'!$F$36:$H$38,3,FALSE))</f>
        <v/>
      </c>
      <c r="AE14" s="311" t="str">
        <f>IF(D14="","",((J14/1000)*V14*X14)*AD14)</f>
        <v/>
      </c>
      <c r="AF14" s="312" t="str">
        <f>IF(D14="","",((K14/1000)*V14*X14)*AD14)</f>
        <v/>
      </c>
      <c r="AG14" s="151" t="str">
        <f>IF(D14="","",M14)</f>
        <v/>
      </c>
      <c r="AH14" s="61" t="str">
        <f>IF(T14="","",VLOOKUP(T14,'11. Lists'!$B$47:$D$49,3,FALSE))</f>
        <v/>
      </c>
      <c r="AI14" s="150" t="str">
        <f>IF(D14="","",VLOOKUP(D14,'10. Condition and Temporal'!$B$6:$L$103,4,FALSE))</f>
        <v/>
      </c>
    </row>
    <row r="15" spans="1:35" s="99" customFormat="1" ht="28.9" customHeight="1">
      <c r="B15" s="285">
        <v>5</v>
      </c>
      <c r="C15" s="535" t="s">
        <v>257</v>
      </c>
      <c r="D15" s="739"/>
      <c r="E15" s="740"/>
      <c r="F15" s="823"/>
      <c r="G15" s="824"/>
      <c r="H15" s="825"/>
      <c r="I15" s="318"/>
      <c r="J15" s="319"/>
      <c r="K15" s="320"/>
      <c r="L15" s="25" t="str">
        <f>IF(D15="","",IFERROR(IF(I15="","",((I15/1000)*V15*X15)*AD15),"This intervention is not permitted within the SSM ▲"))</f>
        <v/>
      </c>
      <c r="M15" s="314" t="str">
        <f>IF(I15="","",IF(J15+K15&gt;I15,"Length Error ▲",I15-J15-K15))</f>
        <v/>
      </c>
      <c r="N15" s="23" t="str">
        <f>IFERROR(IF(I15="","",IF(M15="Length Error ▲","Length Error ▲",((M15/1000)*V15*X15)*AD15)),"This intervention is not permitted within the SSM ▲")</f>
        <v/>
      </c>
      <c r="O15" s="132"/>
      <c r="P15" s="79"/>
      <c r="R15" s="655"/>
      <c r="T15" s="791" t="str">
        <f>IF(D15="","",VLOOKUP(D15,'9. All Habitats + Multipliers'!$C$4:$K$102,5,FALSE))</f>
        <v/>
      </c>
      <c r="U15" s="792"/>
      <c r="V15" s="350" t="str">
        <f>IF(T15="","",VLOOKUP(T15,'11. Lists'!$S$47:$U$50,2,FALSE))</f>
        <v/>
      </c>
      <c r="W15" s="61" t="str">
        <f>IF(D15="","",VLOOKUP(D15,'10. Condition and Temporal'!$B$6:$C$103,2,FALSE))</f>
        <v/>
      </c>
      <c r="X15" s="150" t="str">
        <f>IF(W15="","",VLOOKUP(W15,'11. Lists'!$F$47:$G$51,2,FALSE))</f>
        <v/>
      </c>
      <c r="Y15" s="113"/>
      <c r="Z15" s="113"/>
      <c r="AA15" s="113"/>
      <c r="AB15" s="224" t="str">
        <f>IF(F15="","",F15)</f>
        <v/>
      </c>
      <c r="AC15" s="60" t="str">
        <f>IF(AB15="","",VLOOKUP(AB15,'11. Lists'!$F$36:$H$38,2,FALSE))</f>
        <v/>
      </c>
      <c r="AD15" s="150" t="str">
        <f>IF(AB15="","",VLOOKUP(AB15,'11. Lists'!$F$36:$H$38,3,FALSE))</f>
        <v/>
      </c>
      <c r="AE15" s="311" t="str">
        <f>IF(D15="","",((J15/1000)*V15*X15)*AD15)</f>
        <v/>
      </c>
      <c r="AF15" s="312" t="str">
        <f>IF(D15="","",((K15/1000)*V15*X15)*AD15)</f>
        <v/>
      </c>
      <c r="AG15" s="151" t="str">
        <f>IF(D15="","",M15)</f>
        <v/>
      </c>
      <c r="AH15" s="61" t="str">
        <f>IF(T15="","",VLOOKUP(T15,'11. Lists'!$B$47:$D$49,3,FALSE))</f>
        <v/>
      </c>
      <c r="AI15" s="150" t="str">
        <f>IF(D15="","",VLOOKUP(D15,'10. Condition and Temporal'!$B$6:$L$103,4,FALSE))</f>
        <v/>
      </c>
    </row>
    <row r="16" spans="1:35" s="99" customFormat="1" ht="28.9" customHeight="1">
      <c r="B16" s="285">
        <v>6</v>
      </c>
      <c r="C16" s="535" t="s">
        <v>257</v>
      </c>
      <c r="D16" s="739"/>
      <c r="E16" s="740"/>
      <c r="F16" s="823"/>
      <c r="G16" s="824"/>
      <c r="H16" s="825"/>
      <c r="I16" s="318"/>
      <c r="J16" s="319"/>
      <c r="K16" s="320"/>
      <c r="L16" s="25" t="str">
        <f>IF(D16="","",IFERROR(IF(I16="","",((I16/1000)*V16*X16)*AD16),"This intervention is not permitted within the SSM ▲"))</f>
        <v/>
      </c>
      <c r="M16" s="314" t="str">
        <f>IF(I16="","",IF(J16+K16&gt;I16,"Length Error ▲",I16-J16-K16))</f>
        <v/>
      </c>
      <c r="N16" s="23" t="str">
        <f>IFERROR(IF(I16="","",IF(M16="Length Error ▲","Length Error ▲",((M16/1000)*V16*X16)*AD16)),"This intervention is not permitted within the SSM ▲")</f>
        <v/>
      </c>
      <c r="O16" s="132"/>
      <c r="P16" s="79"/>
      <c r="R16" s="655"/>
      <c r="T16" s="791" t="str">
        <f>IF(D16="","",VLOOKUP(D16,'9. All Habitats + Multipliers'!$C$4:$K$102,5,FALSE))</f>
        <v/>
      </c>
      <c r="U16" s="792"/>
      <c r="V16" s="350" t="str">
        <f>IF(T16="","",VLOOKUP(T16,'11. Lists'!$S$47:$U$50,2,FALSE))</f>
        <v/>
      </c>
      <c r="W16" s="61" t="str">
        <f>IF(D16="","",VLOOKUP(D16,'10. Condition and Temporal'!$B$6:$C$103,2,FALSE))</f>
        <v/>
      </c>
      <c r="X16" s="150" t="str">
        <f>IF(W16="","",VLOOKUP(W16,'11. Lists'!$F$47:$G$51,2,FALSE))</f>
        <v/>
      </c>
      <c r="Y16" s="113"/>
      <c r="Z16" s="113"/>
      <c r="AA16" s="113"/>
      <c r="AB16" s="224" t="str">
        <f>IF(F16="","",F16)</f>
        <v/>
      </c>
      <c r="AC16" s="60" t="str">
        <f>IF(AB16="","",VLOOKUP(AB16,'11. Lists'!$F$36:$H$38,2,FALSE))</f>
        <v/>
      </c>
      <c r="AD16" s="150" t="str">
        <f>IF(AB16="","",VLOOKUP(AB16,'11. Lists'!$F$36:$H$38,3,FALSE))</f>
        <v/>
      </c>
      <c r="AE16" s="311" t="str">
        <f>IF(D16="","",((J16/1000)*V16*X16)*AD16)</f>
        <v/>
      </c>
      <c r="AF16" s="312" t="str">
        <f>IF(D16="","",((K16/1000)*V16*X16)*AD16)</f>
        <v/>
      </c>
      <c r="AG16" s="151" t="str">
        <f>IF(D16="","",M16)</f>
        <v/>
      </c>
      <c r="AH16" s="61" t="str">
        <f>IF(T16="","",VLOOKUP(T16,'11. Lists'!$B$47:$D$49,3,FALSE))</f>
        <v/>
      </c>
      <c r="AI16" s="150" t="str">
        <f>IF(D16="","",VLOOKUP(D16,'10. Condition and Temporal'!$B$6:$L$103,4,FALSE))</f>
        <v/>
      </c>
    </row>
    <row r="17" spans="2:35" s="99" customFormat="1" ht="28.9" customHeight="1">
      <c r="B17" s="285">
        <v>7</v>
      </c>
      <c r="C17" s="535" t="s">
        <v>257</v>
      </c>
      <c r="D17" s="739"/>
      <c r="E17" s="740"/>
      <c r="F17" s="823"/>
      <c r="G17" s="824"/>
      <c r="H17" s="825"/>
      <c r="I17" s="318"/>
      <c r="J17" s="319"/>
      <c r="K17" s="320"/>
      <c r="L17" s="25" t="str">
        <f>IF(D17="","",IFERROR(IF(I17="","",((I17/1000)*V17*X17)*AD17),"This intervention is not permitted within the SSM ▲"))</f>
        <v/>
      </c>
      <c r="M17" s="314" t="str">
        <f>IF(I17="","",IF(J17+K17&gt;I17,"Length Error ▲",I17-J17-K17))</f>
        <v/>
      </c>
      <c r="N17" s="23" t="str">
        <f>IFERROR(IF(I17="","",IF(M17="Length Error ▲","Length Error ▲",((M17/1000)*V17*X17)*AD17)),"This intervention is not permitted within the SSM ▲")</f>
        <v/>
      </c>
      <c r="O17" s="132"/>
      <c r="P17" s="79"/>
      <c r="R17" s="655"/>
      <c r="T17" s="791" t="str">
        <f>IF(D17="","",VLOOKUP(D17,'9. All Habitats + Multipliers'!$C$4:$K$102,5,FALSE))</f>
        <v/>
      </c>
      <c r="U17" s="792"/>
      <c r="V17" s="350" t="str">
        <f>IF(T17="","",VLOOKUP(T17,'11. Lists'!$S$47:$U$50,2,FALSE))</f>
        <v/>
      </c>
      <c r="W17" s="61" t="str">
        <f>IF(D17="","",VLOOKUP(D17,'10. Condition and Temporal'!$B$6:$C$103,2,FALSE))</f>
        <v/>
      </c>
      <c r="X17" s="150" t="str">
        <f>IF(W17="","",VLOOKUP(W17,'11. Lists'!$F$47:$G$51,2,FALSE))</f>
        <v/>
      </c>
      <c r="Y17" s="113"/>
      <c r="Z17" s="113"/>
      <c r="AA17" s="113"/>
      <c r="AB17" s="224" t="str">
        <f>IF(F17="","",F17)</f>
        <v/>
      </c>
      <c r="AC17" s="60" t="str">
        <f>IF(AB17="","",VLOOKUP(AB17,'11. Lists'!$F$36:$H$38,2,FALSE))</f>
        <v/>
      </c>
      <c r="AD17" s="150" t="str">
        <f>IF(AB17="","",VLOOKUP(AB17,'11. Lists'!$F$36:$H$38,3,FALSE))</f>
        <v/>
      </c>
      <c r="AE17" s="311" t="str">
        <f>IF(D17="","",((J17/1000)*V17*X17)*AD17)</f>
        <v/>
      </c>
      <c r="AF17" s="312" t="str">
        <f>IF(D17="","",((K17/1000)*V17*X17)*AD17)</f>
        <v/>
      </c>
      <c r="AG17" s="151" t="str">
        <f>IF(D17="","",M17)</f>
        <v/>
      </c>
      <c r="AH17" s="61" t="str">
        <f>IF(T17="","",VLOOKUP(T17,'11. Lists'!$B$47:$D$49,3,FALSE))</f>
        <v/>
      </c>
      <c r="AI17" s="150" t="str">
        <f>IF(D17="","",VLOOKUP(D17,'10. Condition and Temporal'!$B$6:$L$103,4,FALSE))</f>
        <v/>
      </c>
    </row>
    <row r="18" spans="2:35" s="99" customFormat="1" ht="28.9" customHeight="1">
      <c r="B18" s="285">
        <v>8</v>
      </c>
      <c r="C18" s="535" t="s">
        <v>257</v>
      </c>
      <c r="D18" s="739"/>
      <c r="E18" s="740"/>
      <c r="F18" s="823"/>
      <c r="G18" s="824"/>
      <c r="H18" s="825"/>
      <c r="I18" s="318"/>
      <c r="J18" s="319"/>
      <c r="K18" s="320"/>
      <c r="L18" s="25" t="str">
        <f>IF(D18="","",IFERROR(IF(I18="","",((I18/1000)*V18*X18)*AD18),"This intervention is not permitted within the SSM ▲"))</f>
        <v/>
      </c>
      <c r="M18" s="314" t="str">
        <f>IF(I18="","",IF(J18+K18&gt;I18,"Length Error ▲",I18-J18-K18))</f>
        <v/>
      </c>
      <c r="N18" s="23" t="str">
        <f>IFERROR(IF(I18="","",IF(M18="Length Error ▲","Length Error ▲",((M18/1000)*V18*X18)*AD18)),"This intervention is not permitted within the SSM ▲")</f>
        <v/>
      </c>
      <c r="O18" s="132"/>
      <c r="P18" s="79"/>
      <c r="R18" s="655"/>
      <c r="T18" s="791" t="str">
        <f>IF(D18="","",VLOOKUP(D18,'9. All Habitats + Multipliers'!$C$4:$K$102,5,FALSE))</f>
        <v/>
      </c>
      <c r="U18" s="792"/>
      <c r="V18" s="350" t="str">
        <f>IF(T18="","",VLOOKUP(T18,'11. Lists'!$S$47:$U$50,2,FALSE))</f>
        <v/>
      </c>
      <c r="W18" s="61" t="str">
        <f>IF(D18="","",VLOOKUP(D18,'10. Condition and Temporal'!$B$6:$C$103,2,FALSE))</f>
        <v/>
      </c>
      <c r="X18" s="150" t="str">
        <f>IF(W18="","",VLOOKUP(W18,'11. Lists'!$F$47:$G$51,2,FALSE))</f>
        <v/>
      </c>
      <c r="Y18" s="113"/>
      <c r="Z18" s="113"/>
      <c r="AA18" s="113"/>
      <c r="AB18" s="224" t="str">
        <f>IF(F18="","",F18)</f>
        <v/>
      </c>
      <c r="AC18" s="60" t="str">
        <f>IF(AB18="","",VLOOKUP(AB18,'11. Lists'!$F$36:$H$38,2,FALSE))</f>
        <v/>
      </c>
      <c r="AD18" s="150" t="str">
        <f>IF(AB18="","",VLOOKUP(AB18,'11. Lists'!$F$36:$H$38,3,FALSE))</f>
        <v/>
      </c>
      <c r="AE18" s="311" t="str">
        <f>IF(D18="","",((J18/1000)*V18*X18)*AD18)</f>
        <v/>
      </c>
      <c r="AF18" s="312" t="str">
        <f>IF(D18="","",((K18/1000)*V18*X18)*AD18)</f>
        <v/>
      </c>
      <c r="AG18" s="151" t="str">
        <f>IF(D18="","",M18)</f>
        <v/>
      </c>
      <c r="AH18" s="61" t="str">
        <f>IF(T18="","",VLOOKUP(T18,'11. Lists'!$B$47:$D$49,3,FALSE))</f>
        <v/>
      </c>
      <c r="AI18" s="150" t="str">
        <f>IF(D18="","",VLOOKUP(D18,'10. Condition and Temporal'!$B$6:$L$103,4,FALSE))</f>
        <v/>
      </c>
    </row>
    <row r="19" spans="2:35" s="99" customFormat="1" ht="28.9" customHeight="1">
      <c r="B19" s="285">
        <v>9</v>
      </c>
      <c r="C19" s="535" t="s">
        <v>257</v>
      </c>
      <c r="D19" s="739"/>
      <c r="E19" s="740"/>
      <c r="F19" s="823"/>
      <c r="G19" s="824"/>
      <c r="H19" s="825"/>
      <c r="I19" s="318"/>
      <c r="J19" s="319"/>
      <c r="K19" s="320"/>
      <c r="L19" s="25" t="str">
        <f>IF(D19="","",IFERROR(IF(I19="","",((I19/1000)*V19*X19)*AD19),"This intervention is not permitted within the SSM ▲"))</f>
        <v/>
      </c>
      <c r="M19" s="314" t="str">
        <f>IF(I19="","",IF(J19+K19&gt;I19,"Length Error ▲",I19-J19-K19))</f>
        <v/>
      </c>
      <c r="N19" s="23" t="str">
        <f>IFERROR(IF(I19="","",IF(M19="Length Error ▲","Length Error ▲",((M19/1000)*V19*X19)*AD19)),"This intervention is not permitted within the SSM ▲")</f>
        <v/>
      </c>
      <c r="O19" s="132"/>
      <c r="P19" s="79"/>
      <c r="R19" s="655"/>
      <c r="T19" s="791" t="str">
        <f>IF(D19="","",VLOOKUP(D19,'9. All Habitats + Multipliers'!$C$4:$K$102,5,FALSE))</f>
        <v/>
      </c>
      <c r="U19" s="792"/>
      <c r="V19" s="350" t="str">
        <f>IF(T19="","",VLOOKUP(T19,'11. Lists'!$S$47:$U$50,2,FALSE))</f>
        <v/>
      </c>
      <c r="W19" s="61" t="str">
        <f>IF(D19="","",VLOOKUP(D19,'10. Condition and Temporal'!$B$6:$C$103,2,FALSE))</f>
        <v/>
      </c>
      <c r="X19" s="150" t="str">
        <f>IF(W19="","",VLOOKUP(W19,'11. Lists'!$F$47:$G$51,2,FALSE))</f>
        <v/>
      </c>
      <c r="Y19" s="113"/>
      <c r="Z19" s="113"/>
      <c r="AA19" s="113"/>
      <c r="AB19" s="224" t="str">
        <f>IF(F19="","",F19)</f>
        <v/>
      </c>
      <c r="AC19" s="60" t="str">
        <f>IF(AB19="","",VLOOKUP(AB19,'11. Lists'!$F$36:$H$38,2,FALSE))</f>
        <v/>
      </c>
      <c r="AD19" s="150" t="str">
        <f>IF(AB19="","",VLOOKUP(AB19,'11. Lists'!$F$36:$H$38,3,FALSE))</f>
        <v/>
      </c>
      <c r="AE19" s="311" t="str">
        <f>IF(D19="","",((J19/1000)*V19*X19)*AD19)</f>
        <v/>
      </c>
      <c r="AF19" s="312" t="str">
        <f>IF(D19="","",((K19/1000)*V19*X19)*AD19)</f>
        <v/>
      </c>
      <c r="AG19" s="151" t="str">
        <f>IF(D19="","",M19)</f>
        <v/>
      </c>
      <c r="AH19" s="61" t="str">
        <f>IF(T19="","",VLOOKUP(T19,'11. Lists'!$B$47:$D$49,3,FALSE))</f>
        <v/>
      </c>
      <c r="AI19" s="150" t="str">
        <f>IF(D19="","",VLOOKUP(D19,'10. Condition and Temporal'!$B$6:$L$103,4,FALSE))</f>
        <v/>
      </c>
    </row>
    <row r="20" spans="2:35" s="99" customFormat="1" ht="28.9" customHeight="1">
      <c r="B20" s="285">
        <v>10</v>
      </c>
      <c r="C20" s="536" t="s">
        <v>257</v>
      </c>
      <c r="D20" s="739"/>
      <c r="E20" s="740"/>
      <c r="F20" s="823"/>
      <c r="G20" s="824"/>
      <c r="H20" s="825"/>
      <c r="I20" s="318"/>
      <c r="J20" s="319"/>
      <c r="K20" s="320"/>
      <c r="L20" s="25" t="str">
        <f>IF(D20="","",IFERROR(IF(I20="","",((I20/1000)*V20*X20)*AD20),"This intervention is not permitted within the SSM ▲"))</f>
        <v/>
      </c>
      <c r="M20" s="314" t="str">
        <f>IF(I20="","",IF(J20+K20&gt;I20,"Length Error ▲",I20-J20-K20))</f>
        <v/>
      </c>
      <c r="N20" s="23" t="str">
        <f>IFERROR(IF(I20="","",IF(M20="Length Error ▲","Length Error ▲",((M20/1000)*V20*X20)*AD20)),"This intervention is not permitted within the SSM ▲")</f>
        <v/>
      </c>
      <c r="O20" s="133"/>
      <c r="P20" s="83"/>
      <c r="R20" s="655"/>
      <c r="T20" s="791" t="str">
        <f>IF(D20="","",VLOOKUP(D20,'9. All Habitats + Multipliers'!$C$4:$K$102,5,FALSE))</f>
        <v/>
      </c>
      <c r="U20" s="792"/>
      <c r="V20" s="350" t="str">
        <f>IF(T20="","",VLOOKUP(T20,'11. Lists'!$S$47:$U$50,2,FALSE))</f>
        <v/>
      </c>
      <c r="W20" s="61" t="str">
        <f>IF(D20="","",VLOOKUP(D20,'10. Condition and Temporal'!$B$6:$C$103,2,FALSE))</f>
        <v/>
      </c>
      <c r="X20" s="150" t="str">
        <f>IF(W20="","",VLOOKUP(W20,'11. Lists'!$F$47:$G$51,2,FALSE))</f>
        <v/>
      </c>
      <c r="Y20" s="113"/>
      <c r="Z20" s="113"/>
      <c r="AA20" s="113"/>
      <c r="AB20" s="224" t="str">
        <f>IF(F20="","",F20)</f>
        <v/>
      </c>
      <c r="AC20" s="60" t="str">
        <f>IF(AB20="","",VLOOKUP(AB20,'11. Lists'!$F$36:$H$38,2,FALSE))</f>
        <v/>
      </c>
      <c r="AD20" s="150" t="str">
        <f>IF(AB20="","",VLOOKUP(AB20,'11. Lists'!$F$36:$H$38,3,FALSE))</f>
        <v/>
      </c>
      <c r="AE20" s="311" t="str">
        <f>IF(D20="","",((J20/1000)*V20*X20)*AD20)</f>
        <v/>
      </c>
      <c r="AF20" s="312" t="str">
        <f>IF(D20="","",((K20/1000)*V20*X20)*AD20)</f>
        <v/>
      </c>
      <c r="AG20" s="151" t="str">
        <f>IF(D20="","",M20)</f>
        <v/>
      </c>
      <c r="AH20" s="61" t="str">
        <f>IF(T20="","",VLOOKUP(T20,'11. Lists'!$B$47:$D$49,3,FALSE))</f>
        <v/>
      </c>
      <c r="AI20" s="150" t="str">
        <f>IF(D20="","",VLOOKUP(D20,'10. Condition and Temporal'!$B$6:$L$103,4,FALSE))</f>
        <v/>
      </c>
    </row>
    <row r="21" spans="2:35" s="99" customFormat="1" ht="28.9" customHeight="1">
      <c r="B21" s="285">
        <v>11</v>
      </c>
      <c r="C21" s="535" t="s">
        <v>257</v>
      </c>
      <c r="D21" s="739"/>
      <c r="E21" s="740"/>
      <c r="F21" s="823"/>
      <c r="G21" s="824"/>
      <c r="H21" s="825"/>
      <c r="I21" s="318"/>
      <c r="J21" s="319"/>
      <c r="K21" s="320"/>
      <c r="L21" s="25" t="str">
        <f>IF(D21="","",IFERROR(IF(I21="","",((I21/1000)*V21*X21)*AD21),"This intervention is not permitted within the SSM ▲"))</f>
        <v/>
      </c>
      <c r="M21" s="314" t="str">
        <f>IF(I21="","",IF(J21+K21&gt;I21,"Length Error ▲",I21-J21-K21))</f>
        <v/>
      </c>
      <c r="N21" s="23" t="str">
        <f>IFERROR(IF(I21="","",IF(M21="Length Error ▲","Length Error ▲",((M21/1000)*V21*X21)*AD21)),"This intervention is not permitted within the SSM ▲")</f>
        <v/>
      </c>
      <c r="O21" s="133"/>
      <c r="P21" s="83"/>
      <c r="R21" s="655"/>
      <c r="T21" s="791" t="str">
        <f>IF(D21="","",VLOOKUP(D21,'9. All Habitats + Multipliers'!$C$4:$K$102,5,FALSE))</f>
        <v/>
      </c>
      <c r="U21" s="792"/>
      <c r="V21" s="350" t="str">
        <f>IF(T21="","",VLOOKUP(T21,'11. Lists'!$S$47:$U$50,2,FALSE))</f>
        <v/>
      </c>
      <c r="W21" s="61" t="str">
        <f>IF(D21="","",VLOOKUP(D21,'10. Condition and Temporal'!$B$6:$C$103,2,FALSE))</f>
        <v/>
      </c>
      <c r="X21" s="150" t="str">
        <f>IF(W21="","",VLOOKUP(W21,'11. Lists'!$F$47:$G$51,2,FALSE))</f>
        <v/>
      </c>
      <c r="Y21" s="113"/>
      <c r="Z21" s="113"/>
      <c r="AA21" s="113"/>
      <c r="AB21" s="224" t="str">
        <f>IF(F21="","",F21)</f>
        <v/>
      </c>
      <c r="AC21" s="60" t="str">
        <f>IF(AB21="","",VLOOKUP(AB21,'11. Lists'!$F$36:$H$38,2,FALSE))</f>
        <v/>
      </c>
      <c r="AD21" s="150" t="str">
        <f>IF(AB21="","",VLOOKUP(AB21,'11. Lists'!$F$36:$H$38,3,FALSE))</f>
        <v/>
      </c>
      <c r="AE21" s="311" t="str">
        <f>IF(D21="","",((J21/1000)*V21*X21)*AD21)</f>
        <v/>
      </c>
      <c r="AF21" s="312" t="str">
        <f>IF(D21="","",((K21/1000)*V21*X21)*AD21)</f>
        <v/>
      </c>
      <c r="AG21" s="151" t="str">
        <f>IF(D21="","",M21)</f>
        <v/>
      </c>
      <c r="AH21" s="61" t="str">
        <f>IF(T21="","",VLOOKUP(T21,'11. Lists'!$B$47:$D$49,3,FALSE))</f>
        <v/>
      </c>
      <c r="AI21" s="150" t="str">
        <f>IF(D21="","",VLOOKUP(D21,'10. Condition and Temporal'!$B$6:$L$103,4,FALSE))</f>
        <v/>
      </c>
    </row>
    <row r="22" spans="2:35" s="99" customFormat="1" ht="28.9" customHeight="1">
      <c r="B22" s="285">
        <v>12</v>
      </c>
      <c r="C22" s="535" t="s">
        <v>257</v>
      </c>
      <c r="D22" s="739"/>
      <c r="E22" s="740"/>
      <c r="F22" s="823"/>
      <c r="G22" s="824"/>
      <c r="H22" s="825"/>
      <c r="I22" s="318"/>
      <c r="J22" s="319"/>
      <c r="K22" s="320"/>
      <c r="L22" s="25" t="str">
        <f>IF(D22="","",IFERROR(IF(I22="","",((I22/1000)*V22*X22)*AD22),"This intervention is not permitted within the SSM ▲"))</f>
        <v/>
      </c>
      <c r="M22" s="314" t="str">
        <f>IF(I22="","",IF(J22+K22&gt;I22,"Length Error ▲",I22-J22-K22))</f>
        <v/>
      </c>
      <c r="N22" s="23" t="str">
        <f>IFERROR(IF(I22="","",IF(M22="Length Error ▲","Length Error ▲",((M22/1000)*V22*X22)*AD22)),"This intervention is not permitted within the SSM ▲")</f>
        <v/>
      </c>
      <c r="O22" s="133"/>
      <c r="P22" s="83"/>
      <c r="R22" s="655"/>
      <c r="T22" s="791" t="str">
        <f>IF(D22="","",VLOOKUP(D22,'9. All Habitats + Multipliers'!$C$4:$K$102,5,FALSE))</f>
        <v/>
      </c>
      <c r="U22" s="792"/>
      <c r="V22" s="350" t="str">
        <f>IF(T22="","",VLOOKUP(T22,'11. Lists'!$S$47:$U$50,2,FALSE))</f>
        <v/>
      </c>
      <c r="W22" s="61" t="str">
        <f>IF(D22="","",VLOOKUP(D22,'10. Condition and Temporal'!$B$6:$C$103,2,FALSE))</f>
        <v/>
      </c>
      <c r="X22" s="150" t="str">
        <f>IF(W22="","",VLOOKUP(W22,'11. Lists'!$F$47:$G$51,2,FALSE))</f>
        <v/>
      </c>
      <c r="Y22" s="113"/>
      <c r="Z22" s="113"/>
      <c r="AA22" s="113"/>
      <c r="AB22" s="224" t="str">
        <f>IF(F22="","",F22)</f>
        <v/>
      </c>
      <c r="AC22" s="60" t="str">
        <f>IF(AB22="","",VLOOKUP(AB22,'11. Lists'!$F$36:$H$38,2,FALSE))</f>
        <v/>
      </c>
      <c r="AD22" s="150" t="str">
        <f>IF(AB22="","",VLOOKUP(AB22,'11. Lists'!$F$36:$H$38,3,FALSE))</f>
        <v/>
      </c>
      <c r="AE22" s="311" t="str">
        <f>IF(D22="","",((J22/1000)*V22*X22)*AD22)</f>
        <v/>
      </c>
      <c r="AF22" s="312" t="str">
        <f>IF(D22="","",((K22/1000)*V22*X22)*AD22)</f>
        <v/>
      </c>
      <c r="AG22" s="151" t="str">
        <f>IF(D22="","",M22)</f>
        <v/>
      </c>
      <c r="AH22" s="61" t="str">
        <f>IF(T22="","",VLOOKUP(T22,'11. Lists'!$B$47:$D$49,3,FALSE))</f>
        <v/>
      </c>
      <c r="AI22" s="150" t="str">
        <f>IF(D22="","",VLOOKUP(D22,'10. Condition and Temporal'!$B$6:$L$103,4,FALSE))</f>
        <v/>
      </c>
    </row>
    <row r="23" spans="2:35" s="99" customFormat="1" ht="28.9" customHeight="1">
      <c r="B23" s="285">
        <v>13</v>
      </c>
      <c r="C23" s="535" t="s">
        <v>257</v>
      </c>
      <c r="D23" s="739"/>
      <c r="E23" s="740"/>
      <c r="F23" s="823"/>
      <c r="G23" s="824"/>
      <c r="H23" s="825"/>
      <c r="I23" s="318"/>
      <c r="J23" s="319"/>
      <c r="K23" s="320"/>
      <c r="L23" s="25" t="str">
        <f>IF(D23="","",IFERROR(IF(I23="","",((I23/1000)*V23*X23)*AD23),"This intervention is not permitted within the SSM ▲"))</f>
        <v/>
      </c>
      <c r="M23" s="314" t="str">
        <f>IF(I23="","",IF(J23+K23&gt;I23,"Length Error ▲",I23-J23-K23))</f>
        <v/>
      </c>
      <c r="N23" s="23" t="str">
        <f>IFERROR(IF(I23="","",IF(M23="Length Error ▲","Length Error ▲",((M23/1000)*V23*X23)*AD23)),"This intervention is not permitted within the SSM ▲")</f>
        <v/>
      </c>
      <c r="O23" s="133"/>
      <c r="P23" s="83"/>
      <c r="R23" s="655"/>
      <c r="T23" s="791" t="str">
        <f>IF(D23="","",VLOOKUP(D23,'9. All Habitats + Multipliers'!$C$4:$K$102,5,FALSE))</f>
        <v/>
      </c>
      <c r="U23" s="792"/>
      <c r="V23" s="350" t="str">
        <f>IF(T23="","",VLOOKUP(T23,'11. Lists'!$S$47:$U$50,2,FALSE))</f>
        <v/>
      </c>
      <c r="W23" s="61" t="str">
        <f>IF(D23="","",VLOOKUP(D23,'10. Condition and Temporal'!$B$6:$C$103,2,FALSE))</f>
        <v/>
      </c>
      <c r="X23" s="150" t="str">
        <f>IF(W23="","",VLOOKUP(W23,'11. Lists'!$F$47:$G$51,2,FALSE))</f>
        <v/>
      </c>
      <c r="Y23" s="113"/>
      <c r="Z23" s="113"/>
      <c r="AA23" s="113"/>
      <c r="AB23" s="224" t="str">
        <f>IF(F23="","",F23)</f>
        <v/>
      </c>
      <c r="AC23" s="60" t="str">
        <f>IF(AB23="","",VLOOKUP(AB23,'11. Lists'!$F$36:$H$38,2,FALSE))</f>
        <v/>
      </c>
      <c r="AD23" s="150" t="str">
        <f>IF(AB23="","",VLOOKUP(AB23,'11. Lists'!$F$36:$H$38,3,FALSE))</f>
        <v/>
      </c>
      <c r="AE23" s="311" t="str">
        <f>IF(D23="","",((J23/1000)*V23*X23)*AD23)</f>
        <v/>
      </c>
      <c r="AF23" s="312" t="str">
        <f>IF(D23="","",((K23/1000)*V23*X23)*AD23)</f>
        <v/>
      </c>
      <c r="AG23" s="151" t="str">
        <f>IF(D23="","",M23)</f>
        <v/>
      </c>
      <c r="AH23" s="61" t="str">
        <f>IF(T23="","",VLOOKUP(T23,'11. Lists'!$B$47:$D$49,3,FALSE))</f>
        <v/>
      </c>
      <c r="AI23" s="150" t="str">
        <f>IF(D23="","",VLOOKUP(D23,'10. Condition and Temporal'!$B$6:$L$103,4,FALSE))</f>
        <v/>
      </c>
    </row>
    <row r="24" spans="2:35" s="99" customFormat="1" ht="28.9" customHeight="1">
      <c r="B24" s="285">
        <v>14</v>
      </c>
      <c r="C24" s="535" t="s">
        <v>257</v>
      </c>
      <c r="D24" s="739"/>
      <c r="E24" s="740"/>
      <c r="F24" s="823"/>
      <c r="G24" s="824"/>
      <c r="H24" s="825"/>
      <c r="I24" s="318"/>
      <c r="J24" s="319"/>
      <c r="K24" s="320"/>
      <c r="L24" s="25" t="str">
        <f>IF(D24="","",IFERROR(IF(I24="","",((I24/1000)*V24*X24)*AD24),"This intervention is not permitted within the SSM ▲"))</f>
        <v/>
      </c>
      <c r="M24" s="314" t="str">
        <f>IF(I24="","",IF(J24+K24&gt;I24,"Length Error ▲",I24-J24-K24))</f>
        <v/>
      </c>
      <c r="N24" s="23" t="str">
        <f>IFERROR(IF(I24="","",IF(M24="Length Error ▲","Length Error ▲",((M24/1000)*V24*X24)*AD24)),"This intervention is not permitted within the SSM ▲")</f>
        <v/>
      </c>
      <c r="O24" s="133"/>
      <c r="P24" s="83"/>
      <c r="R24" s="655"/>
      <c r="T24" s="791" t="str">
        <f>IF(D24="","",VLOOKUP(D24,'9. All Habitats + Multipliers'!$C$4:$K$102,5,FALSE))</f>
        <v/>
      </c>
      <c r="U24" s="792"/>
      <c r="V24" s="350" t="str">
        <f>IF(T24="","",VLOOKUP(T24,'11. Lists'!$S$47:$U$50,2,FALSE))</f>
        <v/>
      </c>
      <c r="W24" s="61" t="str">
        <f>IF(D24="","",VLOOKUP(D24,'10. Condition and Temporal'!$B$6:$C$103,2,FALSE))</f>
        <v/>
      </c>
      <c r="X24" s="150" t="str">
        <f>IF(W24="","",VLOOKUP(W24,'11. Lists'!$F$47:$G$51,2,FALSE))</f>
        <v/>
      </c>
      <c r="Y24" s="113"/>
      <c r="Z24" s="113"/>
      <c r="AA24" s="113"/>
      <c r="AB24" s="224" t="str">
        <f>IF(F24="","",F24)</f>
        <v/>
      </c>
      <c r="AC24" s="60" t="str">
        <f>IF(AB24="","",VLOOKUP(AB24,'11. Lists'!$F$36:$H$38,2,FALSE))</f>
        <v/>
      </c>
      <c r="AD24" s="150" t="str">
        <f>IF(AB24="","",VLOOKUP(AB24,'11. Lists'!$F$36:$H$38,3,FALSE))</f>
        <v/>
      </c>
      <c r="AE24" s="311" t="str">
        <f>IF(D24="","",((J24/1000)*V24*X24)*AD24)</f>
        <v/>
      </c>
      <c r="AF24" s="312" t="str">
        <f>IF(D24="","",((K24/1000)*V24*X24)*AD24)</f>
        <v/>
      </c>
      <c r="AG24" s="151" t="str">
        <f>IF(D24="","",M24)</f>
        <v/>
      </c>
      <c r="AH24" s="61" t="str">
        <f>IF(T24="","",VLOOKUP(T24,'11. Lists'!$B$47:$D$49,3,FALSE))</f>
        <v/>
      </c>
      <c r="AI24" s="150" t="str">
        <f>IF(D24="","",VLOOKUP(D24,'10. Condition and Temporal'!$B$6:$L$103,4,FALSE))</f>
        <v/>
      </c>
    </row>
    <row r="25" spans="2:35" s="99" customFormat="1" ht="28.9" customHeight="1">
      <c r="B25" s="285">
        <v>15</v>
      </c>
      <c r="C25" s="535" t="s">
        <v>257</v>
      </c>
      <c r="D25" s="739"/>
      <c r="E25" s="740"/>
      <c r="F25" s="823"/>
      <c r="G25" s="824"/>
      <c r="H25" s="825"/>
      <c r="I25" s="318"/>
      <c r="J25" s="319"/>
      <c r="K25" s="320"/>
      <c r="L25" s="25" t="str">
        <f>IF(D25="","",IFERROR(IF(I25="","",((I25/1000)*V25*X25)*AD25),"This intervention is not permitted within the SSM ▲"))</f>
        <v/>
      </c>
      <c r="M25" s="314" t="str">
        <f>IF(I25="","",IF(J25+K25&gt;I25,"Length Error ▲",I25-J25-K25))</f>
        <v/>
      </c>
      <c r="N25" s="23" t="str">
        <f>IFERROR(IF(I25="","",IF(M25="Length Error ▲","Length Error ▲",((M25/1000)*V25*X25)*AD25)),"This intervention is not permitted within the SSM ▲")</f>
        <v/>
      </c>
      <c r="O25" s="133"/>
      <c r="P25" s="83"/>
      <c r="R25" s="655"/>
      <c r="T25" s="791" t="str">
        <f>IF(D25="","",VLOOKUP(D25,'9. All Habitats + Multipliers'!$C$4:$K$102,5,FALSE))</f>
        <v/>
      </c>
      <c r="U25" s="792"/>
      <c r="V25" s="350" t="str">
        <f>IF(T25="","",VLOOKUP(T25,'11. Lists'!$S$47:$U$50,2,FALSE))</f>
        <v/>
      </c>
      <c r="W25" s="61" t="str">
        <f>IF(D25="","",VLOOKUP(D25,'10. Condition and Temporal'!$B$6:$C$103,2,FALSE))</f>
        <v/>
      </c>
      <c r="X25" s="150" t="str">
        <f>IF(W25="","",VLOOKUP(W25,'11. Lists'!$F$47:$G$51,2,FALSE))</f>
        <v/>
      </c>
      <c r="Y25" s="113"/>
      <c r="Z25" s="113"/>
      <c r="AA25" s="113"/>
      <c r="AB25" s="224" t="str">
        <f>IF(F25="","",F25)</f>
        <v/>
      </c>
      <c r="AC25" s="60" t="str">
        <f>IF(AB25="","",VLOOKUP(AB25,'11. Lists'!$F$36:$H$38,2,FALSE))</f>
        <v/>
      </c>
      <c r="AD25" s="150" t="str">
        <f>IF(AB25="","",VLOOKUP(AB25,'11. Lists'!$F$36:$H$38,3,FALSE))</f>
        <v/>
      </c>
      <c r="AE25" s="311" t="str">
        <f>IF(D25="","",((J25/1000)*V25*X25)*AD25)</f>
        <v/>
      </c>
      <c r="AF25" s="312" t="str">
        <f>IF(D25="","",((K25/1000)*V25*X25)*AD25)</f>
        <v/>
      </c>
      <c r="AG25" s="151" t="str">
        <f>IF(D25="","",M25)</f>
        <v/>
      </c>
      <c r="AH25" s="61" t="str">
        <f>IF(T25="","",VLOOKUP(T25,'11. Lists'!$B$47:$D$49,3,FALSE))</f>
        <v/>
      </c>
      <c r="AI25" s="150" t="str">
        <f>IF(D25="","",VLOOKUP(D25,'10. Condition and Temporal'!$B$6:$L$103,4,FALSE))</f>
        <v/>
      </c>
    </row>
    <row r="26" spans="2:35" s="99" customFormat="1" ht="28.9" customHeight="1">
      <c r="B26" s="285">
        <v>16</v>
      </c>
      <c r="C26" s="535" t="s">
        <v>257</v>
      </c>
      <c r="D26" s="739"/>
      <c r="E26" s="740"/>
      <c r="F26" s="823"/>
      <c r="G26" s="824"/>
      <c r="H26" s="825"/>
      <c r="I26" s="318"/>
      <c r="J26" s="319"/>
      <c r="K26" s="320"/>
      <c r="L26" s="25" t="str">
        <f>IF(D26="","",IFERROR(IF(I26="","",((I26/1000)*V26*X26)*AD26),"This intervention is not permitted within the SSM ▲"))</f>
        <v/>
      </c>
      <c r="M26" s="314" t="str">
        <f>IF(I26="","",IF(J26+K26&gt;I26,"Length Error ▲",I26-J26-K26))</f>
        <v/>
      </c>
      <c r="N26" s="23" t="str">
        <f>IFERROR(IF(I26="","",IF(M26="Length Error ▲","Length Error ▲",((M26/1000)*V26*X26)*AD26)),"This intervention is not permitted within the SSM ▲")</f>
        <v/>
      </c>
      <c r="O26" s="133"/>
      <c r="P26" s="83"/>
      <c r="R26" s="655"/>
      <c r="T26" s="791" t="str">
        <f>IF(D26="","",VLOOKUP(D26,'9. All Habitats + Multipliers'!$C$4:$K$102,5,FALSE))</f>
        <v/>
      </c>
      <c r="U26" s="792"/>
      <c r="V26" s="350" t="str">
        <f>IF(T26="","",VLOOKUP(T26,'11. Lists'!$S$47:$U$50,2,FALSE))</f>
        <v/>
      </c>
      <c r="W26" s="61" t="str">
        <f>IF(D26="","",VLOOKUP(D26,'10. Condition and Temporal'!$B$6:$C$103,2,FALSE))</f>
        <v/>
      </c>
      <c r="X26" s="150" t="str">
        <f>IF(W26="","",VLOOKUP(W26,'11. Lists'!$F$47:$G$51,2,FALSE))</f>
        <v/>
      </c>
      <c r="Y26" s="113"/>
      <c r="Z26" s="113"/>
      <c r="AA26" s="113"/>
      <c r="AB26" s="224" t="str">
        <f>IF(F26="","",F26)</f>
        <v/>
      </c>
      <c r="AC26" s="60" t="str">
        <f>IF(AB26="","",VLOOKUP(AB26,'11. Lists'!$F$36:$H$38,2,FALSE))</f>
        <v/>
      </c>
      <c r="AD26" s="150" t="str">
        <f>IF(AB26="","",VLOOKUP(AB26,'11. Lists'!$F$36:$H$38,3,FALSE))</f>
        <v/>
      </c>
      <c r="AE26" s="311" t="str">
        <f>IF(D26="","",((J26/1000)*V26*X26)*AD26)</f>
        <v/>
      </c>
      <c r="AF26" s="312" t="str">
        <f>IF(D26="","",((K26/1000)*V26*X26)*AD26)</f>
        <v/>
      </c>
      <c r="AG26" s="151" t="str">
        <f>IF(D26="","",M26)</f>
        <v/>
      </c>
      <c r="AH26" s="61" t="str">
        <f>IF(T26="","",VLOOKUP(T26,'11. Lists'!$B$47:$D$49,3,FALSE))</f>
        <v/>
      </c>
      <c r="AI26" s="150" t="str">
        <f>IF(D26="","",VLOOKUP(D26,'10. Condition and Temporal'!$B$6:$L$103,4,FALSE))</f>
        <v/>
      </c>
    </row>
    <row r="27" spans="2:35" s="99" customFormat="1" ht="28.9" customHeight="1">
      <c r="B27" s="285">
        <v>17</v>
      </c>
      <c r="C27" s="535" t="s">
        <v>257</v>
      </c>
      <c r="D27" s="739"/>
      <c r="E27" s="740"/>
      <c r="F27" s="823"/>
      <c r="G27" s="824"/>
      <c r="H27" s="825"/>
      <c r="I27" s="318"/>
      <c r="J27" s="319"/>
      <c r="K27" s="320"/>
      <c r="L27" s="25" t="str">
        <f>IF(D27="","",IFERROR(IF(I27="","",((I27/1000)*V27*X27)*AD27),"This intervention is not permitted within the SSM ▲"))</f>
        <v/>
      </c>
      <c r="M27" s="314" t="str">
        <f>IF(I27="","",IF(J27+K27&gt;I27,"Length Error ▲",I27-J27-K27))</f>
        <v/>
      </c>
      <c r="N27" s="23" t="str">
        <f>IFERROR(IF(I27="","",IF(M27="Length Error ▲","Length Error ▲",((M27/1000)*V27*X27)*AD27)),"This intervention is not permitted within the SSM ▲")</f>
        <v/>
      </c>
      <c r="O27" s="133"/>
      <c r="P27" s="83"/>
      <c r="R27" s="655"/>
      <c r="T27" s="791" t="str">
        <f>IF(D27="","",VLOOKUP(D27,'9. All Habitats + Multipliers'!$C$4:$K$102,5,FALSE))</f>
        <v/>
      </c>
      <c r="U27" s="792"/>
      <c r="V27" s="350" t="str">
        <f>IF(T27="","",VLOOKUP(T27,'11. Lists'!$S$47:$U$50,2,FALSE))</f>
        <v/>
      </c>
      <c r="W27" s="61" t="str">
        <f>IF(D27="","",VLOOKUP(D27,'10. Condition and Temporal'!$B$6:$C$103,2,FALSE))</f>
        <v/>
      </c>
      <c r="X27" s="150" t="str">
        <f>IF(W27="","",VLOOKUP(W27,'11. Lists'!$F$47:$G$51,2,FALSE))</f>
        <v/>
      </c>
      <c r="Y27" s="113"/>
      <c r="Z27" s="113"/>
      <c r="AA27" s="113"/>
      <c r="AB27" s="224" t="str">
        <f>IF(F27="","",F27)</f>
        <v/>
      </c>
      <c r="AC27" s="60" t="str">
        <f>IF(AB27="","",VLOOKUP(AB27,'11. Lists'!$F$36:$H$38,2,FALSE))</f>
        <v/>
      </c>
      <c r="AD27" s="150" t="str">
        <f>IF(AB27="","",VLOOKUP(AB27,'11. Lists'!$F$36:$H$38,3,FALSE))</f>
        <v/>
      </c>
      <c r="AE27" s="311" t="str">
        <f>IF(D27="","",((J27/1000)*V27*X27)*AD27)</f>
        <v/>
      </c>
      <c r="AF27" s="312" t="str">
        <f>IF(D27="","",((K27/1000)*V27*X27)*AD27)</f>
        <v/>
      </c>
      <c r="AG27" s="151" t="str">
        <f>IF(D27="","",M27)</f>
        <v/>
      </c>
      <c r="AH27" s="61" t="str">
        <f>IF(T27="","",VLOOKUP(T27,'11. Lists'!$B$47:$D$49,3,FALSE))</f>
        <v/>
      </c>
      <c r="AI27" s="150" t="str">
        <f>IF(D27="","",VLOOKUP(D27,'10. Condition and Temporal'!$B$6:$L$103,4,FALSE))</f>
        <v/>
      </c>
    </row>
    <row r="28" spans="2:35" s="99" customFormat="1" ht="28.9" customHeight="1">
      <c r="B28" s="285">
        <v>18</v>
      </c>
      <c r="C28" s="535" t="s">
        <v>257</v>
      </c>
      <c r="D28" s="739"/>
      <c r="E28" s="740"/>
      <c r="F28" s="823"/>
      <c r="G28" s="824"/>
      <c r="H28" s="825"/>
      <c r="I28" s="318"/>
      <c r="J28" s="319"/>
      <c r="K28" s="320"/>
      <c r="L28" s="25" t="str">
        <f>IF(D28="","",IFERROR(IF(I28="","",((I28/1000)*V28*X28)*AD28),"This intervention is not permitted within the SSM ▲"))</f>
        <v/>
      </c>
      <c r="M28" s="314" t="str">
        <f>IF(I28="","",IF(J28+K28&gt;I28,"Length Error ▲",I28-J28-K28))</f>
        <v/>
      </c>
      <c r="N28" s="23" t="str">
        <f>IFERROR(IF(I28="","",IF(M28="Length Error ▲","Length Error ▲",((M28/1000)*V28*X28)*AD28)),"This intervention is not permitted within the SSM ▲")</f>
        <v/>
      </c>
      <c r="O28" s="133"/>
      <c r="P28" s="83"/>
      <c r="R28" s="655"/>
      <c r="T28" s="791" t="str">
        <f>IF(D28="","",VLOOKUP(D28,'9. All Habitats + Multipliers'!$C$4:$K$102,5,FALSE))</f>
        <v/>
      </c>
      <c r="U28" s="792"/>
      <c r="V28" s="350" t="str">
        <f>IF(T28="","",VLOOKUP(T28,'11. Lists'!$S$47:$U$50,2,FALSE))</f>
        <v/>
      </c>
      <c r="W28" s="61" t="str">
        <f>IF(D28="","",VLOOKUP(D28,'10. Condition and Temporal'!$B$6:$C$103,2,FALSE))</f>
        <v/>
      </c>
      <c r="X28" s="150" t="str">
        <f>IF(W28="","",VLOOKUP(W28,'11. Lists'!$F$47:$G$51,2,FALSE))</f>
        <v/>
      </c>
      <c r="Y28" s="113"/>
      <c r="Z28" s="113"/>
      <c r="AA28" s="113"/>
      <c r="AB28" s="224" t="str">
        <f>IF(F28="","",F28)</f>
        <v/>
      </c>
      <c r="AC28" s="60" t="str">
        <f>IF(AB28="","",VLOOKUP(AB28,'11. Lists'!$F$36:$H$38,2,FALSE))</f>
        <v/>
      </c>
      <c r="AD28" s="150" t="str">
        <f>IF(AB28="","",VLOOKUP(AB28,'11. Lists'!$F$36:$H$38,3,FALSE))</f>
        <v/>
      </c>
      <c r="AE28" s="311" t="str">
        <f>IF(D28="","",((J28/1000)*V28*X28)*AD28)</f>
        <v/>
      </c>
      <c r="AF28" s="312" t="str">
        <f>IF(D28="","",((K28/1000)*V28*X28)*AD28)</f>
        <v/>
      </c>
      <c r="AG28" s="151" t="str">
        <f>IF(D28="","",M28)</f>
        <v/>
      </c>
      <c r="AH28" s="61" t="str">
        <f>IF(T28="","",VLOOKUP(T28,'11. Lists'!$B$47:$D$49,3,FALSE))</f>
        <v/>
      </c>
      <c r="AI28" s="150" t="str">
        <f>IF(D28="","",VLOOKUP(D28,'10. Condition and Temporal'!$B$6:$L$103,4,FALSE))</f>
        <v/>
      </c>
    </row>
    <row r="29" spans="2:35" s="99" customFormat="1" ht="28.9" customHeight="1">
      <c r="B29" s="285">
        <v>19</v>
      </c>
      <c r="C29" s="537" t="s">
        <v>257</v>
      </c>
      <c r="D29" s="739"/>
      <c r="E29" s="740"/>
      <c r="F29" s="823"/>
      <c r="G29" s="824"/>
      <c r="H29" s="825"/>
      <c r="I29" s="318"/>
      <c r="J29" s="319"/>
      <c r="K29" s="320"/>
      <c r="L29" s="25" t="str">
        <f>IF(D29="","",IFERROR(IF(I29="","",((I29/1000)*V29*X29)*AD29),"This intervention is not permitted within the SSM ▲"))</f>
        <v/>
      </c>
      <c r="M29" s="314" t="str">
        <f>IF(I29="","",IF(J29+K29&gt;I29,"Length Error ▲",I29-J29-K29))</f>
        <v/>
      </c>
      <c r="N29" s="23" t="str">
        <f>IFERROR(IF(I29="","",IF(M29="Length Error ▲","Length Error ▲",((M29/1000)*V29*X29)*AD29)),"This intervention is not permitted within the SSM ▲")</f>
        <v/>
      </c>
      <c r="O29" s="133"/>
      <c r="P29" s="83"/>
      <c r="R29" s="655"/>
      <c r="T29" s="791" t="str">
        <f>IF(D29="","",VLOOKUP(D29,'9. All Habitats + Multipliers'!$C$4:$K$102,5,FALSE))</f>
        <v/>
      </c>
      <c r="U29" s="792"/>
      <c r="V29" s="350" t="str">
        <f>IF(T29="","",VLOOKUP(T29,'11. Lists'!$S$47:$U$50,2,FALSE))</f>
        <v/>
      </c>
      <c r="W29" s="61" t="str">
        <f>IF(D29="","",VLOOKUP(D29,'10. Condition and Temporal'!$B$6:$C$103,2,FALSE))</f>
        <v/>
      </c>
      <c r="X29" s="150" t="str">
        <f>IF(W29="","",VLOOKUP(W29,'11. Lists'!$F$47:$G$51,2,FALSE))</f>
        <v/>
      </c>
      <c r="Y29" s="113"/>
      <c r="Z29" s="113"/>
      <c r="AA29" s="113"/>
      <c r="AB29" s="224" t="str">
        <f>IF(F29="","",F29)</f>
        <v/>
      </c>
      <c r="AC29" s="60" t="str">
        <f>IF(AB29="","",VLOOKUP(AB29,'11. Lists'!$F$36:$H$38,2,FALSE))</f>
        <v/>
      </c>
      <c r="AD29" s="150" t="str">
        <f>IF(AB29="","",VLOOKUP(AB29,'11. Lists'!$F$36:$H$38,3,FALSE))</f>
        <v/>
      </c>
      <c r="AE29" s="311" t="str">
        <f>IF(D29="","",((J29/1000)*V29*X29)*AD29)</f>
        <v/>
      </c>
      <c r="AF29" s="312" t="str">
        <f>IF(D29="","",((K29/1000)*V29*X29)*AD29)</f>
        <v/>
      </c>
      <c r="AG29" s="151" t="str">
        <f>IF(D29="","",M29)</f>
        <v/>
      </c>
      <c r="AH29" s="61" t="str">
        <f>IF(T29="","",VLOOKUP(T29,'11. Lists'!$B$47:$D$49,3,FALSE))</f>
        <v/>
      </c>
      <c r="AI29" s="150" t="str">
        <f>IF(D29="","",VLOOKUP(D29,'10. Condition and Temporal'!$B$6:$L$103,4,FALSE))</f>
        <v/>
      </c>
    </row>
    <row r="30" spans="2:35" s="99" customFormat="1" ht="29.45" customHeight="1">
      <c r="B30" s="286">
        <v>20</v>
      </c>
      <c r="C30" s="538" t="s">
        <v>257</v>
      </c>
      <c r="D30" s="745"/>
      <c r="E30" s="746"/>
      <c r="F30" s="916"/>
      <c r="G30" s="917"/>
      <c r="H30" s="918"/>
      <c r="I30" s="321"/>
      <c r="J30" s="322"/>
      <c r="K30" s="323"/>
      <c r="L30" s="20" t="str">
        <f>IF(D30="","",IFERROR(IF(I30="","",((I30/1000)*V30*X30)*AD30),"This intervention is not permitted within the SSM ▲"))</f>
        <v/>
      </c>
      <c r="M30" s="328" t="str">
        <f>IF(I30="","",IF(J30+K30&gt;I30,"Length Error ▲",I30-J30-K30))</f>
        <v/>
      </c>
      <c r="N30" s="18" t="str">
        <f>IFERROR(IF(I30="","",IF(M30="Length Error ▲","Length Error ▲",((M30/1000)*V30*X30)*AD30)),"This intervention is not permitted within the SSM ▲")</f>
        <v/>
      </c>
      <c r="O30" s="134"/>
      <c r="P30" s="80"/>
      <c r="R30" s="655"/>
      <c r="T30" s="791" t="str">
        <f>IF(D30="","",VLOOKUP(D30,'9. All Habitats + Multipliers'!$C$4:$K$102,5,FALSE))</f>
        <v/>
      </c>
      <c r="U30" s="792"/>
      <c r="V30" s="350" t="str">
        <f>IF(T30="","",VLOOKUP(T30,'11. Lists'!$S$47:$U$50,2,FALSE))</f>
        <v/>
      </c>
      <c r="W30" s="57" t="str">
        <f>IF(D30="","",VLOOKUP(D30,'10. Condition and Temporal'!$B$6:$C$103,2,FALSE))</f>
        <v/>
      </c>
      <c r="X30" s="153" t="str">
        <f>IF(W30="","",VLOOKUP(W30,'11. Lists'!$F$47:$G$51,2,FALSE))</f>
        <v/>
      </c>
      <c r="Y30" s="113"/>
      <c r="Z30" s="113"/>
      <c r="AA30" s="113"/>
      <c r="AB30" s="224" t="str">
        <f>IF(F30="","",F30)</f>
        <v/>
      </c>
      <c r="AC30" s="60" t="str">
        <f>IF(AB30="","",VLOOKUP(AB30,'11. Lists'!$F$36:$H$38,2,FALSE))</f>
        <v/>
      </c>
      <c r="AD30" s="150" t="str">
        <f>IF(AB30="","",VLOOKUP(AB30,'11. Lists'!$F$36:$H$38,3,FALSE))</f>
        <v/>
      </c>
      <c r="AE30" s="311" t="str">
        <f>IF(D30="","",((J30/1000)*V30*X30)*AD30)</f>
        <v/>
      </c>
      <c r="AF30" s="312" t="str">
        <f>IF(D30="","",((K30/1000)*V30*X30)*AD30)</f>
        <v/>
      </c>
      <c r="AG30" s="151" t="str">
        <f>IF(D30="","",M30)</f>
        <v/>
      </c>
      <c r="AH30" s="61" t="str">
        <f>IF(T30="","",VLOOKUP(T30,'11. Lists'!$B$47:$D$49,3,FALSE))</f>
        <v/>
      </c>
      <c r="AI30" s="150" t="str">
        <f>IF(D30="","",VLOOKUP(D30,'10. Condition and Temporal'!$B$6:$L$103,4,FALSE))</f>
        <v/>
      </c>
    </row>
    <row r="31" spans="2:35" s="99" customFormat="1">
      <c r="D31" s="149"/>
      <c r="E31" s="32"/>
      <c r="F31" s="32"/>
      <c r="G31" s="32"/>
      <c r="H31" s="292" t="s">
        <v>258</v>
      </c>
      <c r="I31" s="324">
        <f>SUM(I11:I30)</f>
        <v>0</v>
      </c>
      <c r="J31" s="325">
        <f>SUM(J11:J30)</f>
        <v>0</v>
      </c>
      <c r="K31" s="326">
        <f>SUM(K11:K30)</f>
        <v>0</v>
      </c>
      <c r="L31" s="300">
        <f>SUM(L11:L30)</f>
        <v>0</v>
      </c>
      <c r="M31" s="332">
        <f>SUM(M11:M30)</f>
        <v>0</v>
      </c>
      <c r="N31" s="301">
        <f>SUM(N11:N30)</f>
        <v>0</v>
      </c>
      <c r="R31" s="655"/>
    </row>
    <row r="32" spans="2:35" s="99" customFormat="1">
      <c r="D32" s="149"/>
      <c r="E32" s="32"/>
      <c r="F32" s="32"/>
      <c r="G32" s="32"/>
      <c r="H32" s="309" t="s">
        <v>128</v>
      </c>
      <c r="I32" s="911" t="str">
        <f>IF(I31&lt;J31+K31,"Error - Lengths Retained and Enhanced Exceed Total Length ▲","Lengths Acceptable ✓")</f>
        <v>Lengths Acceptable ✓</v>
      </c>
      <c r="J32" s="911"/>
      <c r="K32" s="911"/>
      <c r="L32" s="911"/>
      <c r="M32" s="911"/>
      <c r="N32" s="912"/>
      <c r="O32" s="199">
        <f>IFERROR(FIND("Error",I32),0)</f>
        <v>0</v>
      </c>
      <c r="R32" s="72"/>
    </row>
    <row r="33" spans="2:34" s="99" customFormat="1" ht="15" customHeight="1">
      <c r="D33" s="149"/>
      <c r="E33" s="32"/>
      <c r="F33" s="32"/>
      <c r="G33" s="32"/>
      <c r="H33" s="293" t="s">
        <v>129</v>
      </c>
      <c r="I33" s="896" t="str">
        <f>IF(I31&lt;5000,"Lengths Acceptable ✓",IF(I31&gt;=5000,"Length Exceeds Length Appropriate for Small Sites Metric ▲"))</f>
        <v>Lengths Acceptable ✓</v>
      </c>
      <c r="J33" s="896"/>
      <c r="K33" s="896"/>
      <c r="L33" s="896"/>
      <c r="M33" s="896"/>
      <c r="N33" s="897"/>
      <c r="O33" s="199">
        <f>COUNTIF(L11:N30,"*"&amp;"error"&amp;"*")</f>
        <v>0</v>
      </c>
      <c r="R33" s="72"/>
    </row>
    <row r="34" spans="2:34" s="99" customFormat="1">
      <c r="D34" s="149"/>
      <c r="E34" s="32"/>
      <c r="F34" s="32"/>
      <c r="G34" s="32"/>
      <c r="H34" s="32"/>
      <c r="I34" s="32"/>
      <c r="J34" s="32"/>
      <c r="K34" s="32"/>
      <c r="L34" s="32"/>
      <c r="M34" s="32"/>
      <c r="N34" s="32"/>
      <c r="O34" s="32"/>
      <c r="R34" s="655" t="s">
        <v>82</v>
      </c>
    </row>
    <row r="35" spans="2:34" s="99" customFormat="1" ht="21" customHeight="1">
      <c r="B35" s="121" t="s">
        <v>131</v>
      </c>
      <c r="D35" s="148"/>
      <c r="E35" s="32"/>
      <c r="F35" s="32"/>
      <c r="G35" s="32"/>
      <c r="I35" s="100"/>
      <c r="R35" s="655"/>
    </row>
    <row r="36" spans="2:34" s="99" customFormat="1" ht="15.75" customHeight="1">
      <c r="R36" s="655"/>
    </row>
    <row r="37" spans="2:34" s="99" customFormat="1" ht="16.149999999999999" customHeight="1">
      <c r="B37" s="814" t="s">
        <v>76</v>
      </c>
      <c r="C37" s="772"/>
      <c r="D37" s="815"/>
      <c r="E37" s="771" t="s">
        <v>132</v>
      </c>
      <c r="F37" s="816"/>
      <c r="G37" s="773"/>
      <c r="H37" s="816" t="s">
        <v>133</v>
      </c>
      <c r="I37" s="721" t="s">
        <v>259</v>
      </c>
      <c r="J37" s="817"/>
      <c r="K37" s="722"/>
      <c r="L37" s="771" t="s">
        <v>260</v>
      </c>
      <c r="M37" s="772"/>
      <c r="N37" s="773"/>
      <c r="O37" s="819" t="s">
        <v>95</v>
      </c>
      <c r="P37" s="773"/>
      <c r="R37" s="655"/>
      <c r="T37" s="769" t="s">
        <v>96</v>
      </c>
      <c r="U37" s="779"/>
      <c r="V37" s="905"/>
      <c r="W37" s="769" t="s">
        <v>97</v>
      </c>
      <c r="X37" s="770"/>
      <c r="Y37" s="803"/>
      <c r="Z37" s="803"/>
      <c r="AA37" s="803"/>
      <c r="AB37" s="802" t="s">
        <v>98</v>
      </c>
      <c r="AC37" s="779"/>
      <c r="AD37" s="770"/>
      <c r="AE37" s="769" t="s">
        <v>136</v>
      </c>
      <c r="AF37" s="770"/>
      <c r="AG37" s="769" t="s">
        <v>137</v>
      </c>
      <c r="AH37" s="770"/>
    </row>
    <row r="38" spans="2:34" s="99" customFormat="1" ht="31.9" customHeight="1">
      <c r="B38" s="734"/>
      <c r="C38" s="54" t="s">
        <v>102</v>
      </c>
      <c r="D38" s="53" t="s">
        <v>138</v>
      </c>
      <c r="E38" s="146" t="s">
        <v>139</v>
      </c>
      <c r="F38" s="737" t="s">
        <v>140</v>
      </c>
      <c r="G38" s="738"/>
      <c r="H38" s="735"/>
      <c r="I38" s="723"/>
      <c r="J38" s="818"/>
      <c r="K38" s="724"/>
      <c r="L38" s="913"/>
      <c r="M38" s="914"/>
      <c r="N38" s="915"/>
      <c r="O38" s="55" t="s">
        <v>110</v>
      </c>
      <c r="P38" s="42" t="s">
        <v>111</v>
      </c>
      <c r="R38" s="655"/>
      <c r="T38" s="804" t="s">
        <v>112</v>
      </c>
      <c r="U38" s="805"/>
      <c r="V38" s="28" t="s">
        <v>113</v>
      </c>
      <c r="W38" s="65" t="s">
        <v>114</v>
      </c>
      <c r="X38" s="43" t="s">
        <v>113</v>
      </c>
      <c r="Y38" s="66"/>
      <c r="Z38" s="66"/>
      <c r="AA38" s="66"/>
      <c r="AB38" s="8" t="s">
        <v>98</v>
      </c>
      <c r="AC38" s="64" t="s">
        <v>98</v>
      </c>
      <c r="AD38" s="43" t="s">
        <v>115</v>
      </c>
      <c r="AE38" s="65" t="s">
        <v>141</v>
      </c>
      <c r="AF38" s="43" t="s">
        <v>142</v>
      </c>
      <c r="AG38" s="65" t="s">
        <v>143</v>
      </c>
      <c r="AH38" s="43" t="s">
        <v>144</v>
      </c>
    </row>
    <row r="39" spans="2:34" s="99" customFormat="1" ht="28.9" customHeight="1">
      <c r="B39" s="284">
        <v>1</v>
      </c>
      <c r="C39" s="535" t="s">
        <v>257</v>
      </c>
      <c r="D39" s="63"/>
      <c r="E39" s="156" t="str">
        <f>IF(D39="","",VLOOKUP(D39,'10. Condition and Temporal'!$B$6:$D$103,3,FALSE))</f>
        <v/>
      </c>
      <c r="F39" s="906"/>
      <c r="G39" s="907"/>
      <c r="H39" s="62"/>
      <c r="I39" s="786"/>
      <c r="J39" s="787"/>
      <c r="K39" s="787"/>
      <c r="L39" s="908" t="str">
        <f>IF(D39="","",IFERROR(IF(I39="","",((I39/1000)*(V39*X39))*(AH39*AF39)*AD39),"This intervention is not permitted within the SSM ▲"))</f>
        <v/>
      </c>
      <c r="M39" s="909"/>
      <c r="N39" s="910"/>
      <c r="O39" s="239"/>
      <c r="P39" s="77"/>
      <c r="Q39" s="157"/>
      <c r="R39" s="655"/>
      <c r="T39" s="791" t="str">
        <f>IF(D39="","",VLOOKUP(D39,'9. All Habitats + Multipliers'!$C$4:$K$102,5,FALSE))</f>
        <v/>
      </c>
      <c r="U39" s="792"/>
      <c r="V39" s="350" t="str">
        <f>IF(T39="","",VLOOKUP(T39,'11. Lists'!$S$47:$U$50,2,FALSE))</f>
        <v/>
      </c>
      <c r="W39" s="61" t="str">
        <f>IF(F39="","",F39)</f>
        <v/>
      </c>
      <c r="X39" s="150" t="str">
        <f>IF(W39="","",VLOOKUP(W39,'11. Lists'!$F$47:$G$51,2,FALSE))</f>
        <v/>
      </c>
      <c r="Y39" s="113"/>
      <c r="Z39" s="113"/>
      <c r="AA39" s="113"/>
      <c r="AB39" s="224" t="str">
        <f>IF(H39="","",H39)</f>
        <v/>
      </c>
      <c r="AC39" s="60" t="str">
        <f>IF(AB39="","",VLOOKUP(AB39,'11. Lists'!$F$36:$H$38,2,FALSE))</f>
        <v/>
      </c>
      <c r="AD39" s="150" t="str">
        <f>IF(AB39="","",VLOOKUP(AB39,'11. Lists'!$F$36:$H$38,3,FALSE))</f>
        <v/>
      </c>
      <c r="AE39" s="61"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158" t="str">
        <f>IF(AE39="","",VLOOKUP(AE39,'11. Lists'!$I$47:$K$80,3,FALSE))</f>
        <v/>
      </c>
      <c r="AG39" s="61" t="str">
        <f>IF(D39="","",VLOOKUP(D39,'9. All Habitats + Multipliers'!$C$4:$K$102,7,FALSE))</f>
        <v/>
      </c>
      <c r="AH39" s="150" t="str">
        <f>IF(AG39="","",VLOOKUP(AG39,'11. Lists'!$J$35:$K$38,2,FALSE))</f>
        <v/>
      </c>
    </row>
    <row r="40" spans="2:34" s="99" customFormat="1" ht="28.9" customHeight="1">
      <c r="B40" s="285">
        <v>2</v>
      </c>
      <c r="C40" s="535" t="s">
        <v>257</v>
      </c>
      <c r="D40" s="63"/>
      <c r="E40" s="156" t="str">
        <f>IF(D40="","",VLOOKUP(D40,'10. Condition and Temporal'!$B$6:$D$103,3,FALSE))</f>
        <v/>
      </c>
      <c r="F40" s="900"/>
      <c r="G40" s="901"/>
      <c r="H40" s="39"/>
      <c r="I40" s="786"/>
      <c r="J40" s="787"/>
      <c r="K40" s="787"/>
      <c r="L40" s="902" t="str">
        <f>IF(D40="","",IFERROR(IF(I40="","",((I40/1000)*(V40*X40))*(AH40*AF40)*AD40),"This intervention is not permitted within the SSM ▲"))</f>
        <v/>
      </c>
      <c r="M40" s="903"/>
      <c r="N40" s="904"/>
      <c r="O40" s="135"/>
      <c r="P40" s="87"/>
      <c r="Q40" s="157"/>
      <c r="R40" s="655"/>
      <c r="T40" s="791" t="str">
        <f>IF(D40="","",VLOOKUP(D40,'9. All Habitats + Multipliers'!$C$4:$K$102,5,FALSE))</f>
        <v/>
      </c>
      <c r="U40" s="792"/>
      <c r="V40" s="350" t="str">
        <f>IF(T40="","",VLOOKUP(T40,'11. Lists'!$S$47:$U$50,2,FALSE))</f>
        <v/>
      </c>
      <c r="W40" s="61" t="str">
        <f>IF(F40="","",F40)</f>
        <v/>
      </c>
      <c r="X40" s="150" t="str">
        <f>IF(W40="","",VLOOKUP(W40,'11. Lists'!$F$47:$G$51,2,FALSE))</f>
        <v/>
      </c>
      <c r="Y40" s="113"/>
      <c r="Z40" s="113"/>
      <c r="AA40" s="113"/>
      <c r="AB40" s="224" t="str">
        <f>IF(H40="","",H40)</f>
        <v/>
      </c>
      <c r="AC40" s="60" t="str">
        <f>IF(AB40="","",VLOOKUP(AB40,'11. Lists'!$F$36:$H$38,2,FALSE))</f>
        <v/>
      </c>
      <c r="AD40" s="150" t="str">
        <f>IF(AB40="","",VLOOKUP(AB40,'11. Lists'!$F$36:$H$38,3,FALSE))</f>
        <v/>
      </c>
      <c r="AE40" s="61"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58" t="str">
        <f>IF(AE40="","",VLOOKUP(AE40,'11. Lists'!$I$47:$K$80,3,FALSE))</f>
        <v/>
      </c>
      <c r="AG40" s="61" t="str">
        <f>IF(D40="","",VLOOKUP(D40,'9. All Habitats + Multipliers'!$C$4:$K$102,7,FALSE))</f>
        <v/>
      </c>
      <c r="AH40" s="150" t="str">
        <f>IF(AG40="","",VLOOKUP(AG40,'11. Lists'!$J$35:$K$38,2,FALSE))</f>
        <v/>
      </c>
    </row>
    <row r="41" spans="2:34" s="99" customFormat="1" ht="28.9" customHeight="1">
      <c r="B41" s="285">
        <v>3</v>
      </c>
      <c r="C41" s="535" t="s">
        <v>257</v>
      </c>
      <c r="D41" s="63"/>
      <c r="E41" s="156" t="str">
        <f>IF(D41="","",VLOOKUP(D41,'10. Condition and Temporal'!$B$6:$D$103,3,FALSE))</f>
        <v/>
      </c>
      <c r="F41" s="900"/>
      <c r="G41" s="901"/>
      <c r="H41" s="39"/>
      <c r="I41" s="786"/>
      <c r="J41" s="787"/>
      <c r="K41" s="787"/>
      <c r="L41" s="902" t="str">
        <f>IF(D41="","",IFERROR(IF(I41="","",((I41/1000)*(V41*X41))*(AH41*AF41)*AD41),"This intervention is not permitted within the SSM ▲"))</f>
        <v/>
      </c>
      <c r="M41" s="903"/>
      <c r="N41" s="904"/>
      <c r="O41" s="135"/>
      <c r="P41" s="87"/>
      <c r="Q41" s="157"/>
      <c r="R41" s="655"/>
      <c r="T41" s="791" t="str">
        <f>IF(D41="","",VLOOKUP(D41,'9. All Habitats + Multipliers'!$C$4:$K$102,5,FALSE))</f>
        <v/>
      </c>
      <c r="U41" s="792"/>
      <c r="V41" s="350" t="str">
        <f>IF(T41="","",VLOOKUP(T41,'11. Lists'!$S$47:$U$50,2,FALSE))</f>
        <v/>
      </c>
      <c r="W41" s="61" t="str">
        <f>IF(F41="","",F41)</f>
        <v/>
      </c>
      <c r="X41" s="150" t="str">
        <f>IF(W41="","",VLOOKUP(W41,'11. Lists'!$F$47:$G$51,2,FALSE))</f>
        <v/>
      </c>
      <c r="Y41" s="113"/>
      <c r="Z41" s="113"/>
      <c r="AA41" s="113"/>
      <c r="AB41" s="224" t="str">
        <f>IF(H41="","",H41)</f>
        <v/>
      </c>
      <c r="AC41" s="60" t="str">
        <f>IF(AB41="","",VLOOKUP(AB41,'11. Lists'!$F$36:$H$38,2,FALSE))</f>
        <v/>
      </c>
      <c r="AD41" s="150" t="str">
        <f>IF(AB41="","",VLOOKUP(AB41,'11. Lists'!$F$36:$H$38,3,FALSE))</f>
        <v/>
      </c>
      <c r="AE41" s="61"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58" t="str">
        <f>IF(AE41="","",VLOOKUP(AE41,'11. Lists'!$I$47:$K$80,3,FALSE))</f>
        <v/>
      </c>
      <c r="AG41" s="61" t="str">
        <f>IF(D41="","",VLOOKUP(D41,'9. All Habitats + Multipliers'!$C$4:$K$102,7,FALSE))</f>
        <v/>
      </c>
      <c r="AH41" s="150" t="str">
        <f>IF(AG41="","",VLOOKUP(AG41,'11. Lists'!$J$35:$K$38,2,FALSE))</f>
        <v/>
      </c>
    </row>
    <row r="42" spans="2:34" s="99" customFormat="1" ht="28.9" customHeight="1">
      <c r="B42" s="285">
        <v>4</v>
      </c>
      <c r="C42" s="535" t="s">
        <v>257</v>
      </c>
      <c r="D42" s="63"/>
      <c r="E42" s="156" t="str">
        <f>IF(D42="","",VLOOKUP(D42,'10. Condition and Temporal'!$B$6:$D$103,3,FALSE))</f>
        <v/>
      </c>
      <c r="F42" s="900"/>
      <c r="G42" s="901"/>
      <c r="H42" s="39"/>
      <c r="I42" s="786"/>
      <c r="J42" s="787"/>
      <c r="K42" s="787"/>
      <c r="L42" s="902" t="str">
        <f>IF(D42="","",IFERROR(IF(I42="","",((I42/1000)*(V42*X42))*(AH42*AF42)*AD42),"This intervention is not permitted within the SSM ▲"))</f>
        <v/>
      </c>
      <c r="M42" s="903"/>
      <c r="N42" s="904"/>
      <c r="O42" s="135"/>
      <c r="P42" s="87"/>
      <c r="Q42" s="157"/>
      <c r="R42" s="655"/>
      <c r="T42" s="791" t="str">
        <f>IF(D42="","",VLOOKUP(D42,'9. All Habitats + Multipliers'!$C$4:$K$102,5,FALSE))</f>
        <v/>
      </c>
      <c r="U42" s="792"/>
      <c r="V42" s="350" t="str">
        <f>IF(T42="","",VLOOKUP(T42,'11. Lists'!$S$47:$U$50,2,FALSE))</f>
        <v/>
      </c>
      <c r="W42" s="61" t="str">
        <f>IF(F42="","",F42)</f>
        <v/>
      </c>
      <c r="X42" s="150" t="str">
        <f>IF(W42="","",VLOOKUP(W42,'11. Lists'!$F$47:$G$51,2,FALSE))</f>
        <v/>
      </c>
      <c r="Y42" s="113"/>
      <c r="Z42" s="113"/>
      <c r="AA42" s="113"/>
      <c r="AB42" s="224" t="str">
        <f>IF(H42="","",H42)</f>
        <v/>
      </c>
      <c r="AC42" s="60" t="str">
        <f>IF(AB42="","",VLOOKUP(AB42,'11. Lists'!$F$36:$H$38,2,FALSE))</f>
        <v/>
      </c>
      <c r="AD42" s="150" t="str">
        <f>IF(AB42="","",VLOOKUP(AB42,'11. Lists'!$F$36:$H$38,3,FALSE))</f>
        <v/>
      </c>
      <c r="AE42" s="61"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58" t="str">
        <f>IF(AE42="","",VLOOKUP(AE42,'11. Lists'!$I$47:$K$80,3,FALSE))</f>
        <v/>
      </c>
      <c r="AG42" s="61" t="str">
        <f>IF(D42="","",VLOOKUP(D42,'9. All Habitats + Multipliers'!$C$4:$K$102,7,FALSE))</f>
        <v/>
      </c>
      <c r="AH42" s="150" t="str">
        <f>IF(AG42="","",VLOOKUP(AG42,'11. Lists'!$J$35:$K$38,2,FALSE))</f>
        <v/>
      </c>
    </row>
    <row r="43" spans="2:34" s="99" customFormat="1" ht="28.9" customHeight="1">
      <c r="B43" s="285">
        <v>5</v>
      </c>
      <c r="C43" s="535" t="s">
        <v>257</v>
      </c>
      <c r="D43" s="63"/>
      <c r="E43" s="156" t="str">
        <f>IF(D43="","",VLOOKUP(D43,'10. Condition and Temporal'!$B$6:$D$103,3,FALSE))</f>
        <v/>
      </c>
      <c r="F43" s="900"/>
      <c r="G43" s="901"/>
      <c r="H43" s="39"/>
      <c r="I43" s="786"/>
      <c r="J43" s="787"/>
      <c r="K43" s="787"/>
      <c r="L43" s="902" t="str">
        <f>IF(D43="","",IFERROR(IF(I43="","",((I43/1000)*(V43*X43))*(AH43*AF43)*AD43),"This intervention is not permitted within the SSM ▲"))</f>
        <v/>
      </c>
      <c r="M43" s="903"/>
      <c r="N43" s="904"/>
      <c r="O43" s="135"/>
      <c r="P43" s="87"/>
      <c r="R43" s="655"/>
      <c r="T43" s="791" t="str">
        <f>IF(D43="","",VLOOKUP(D43,'9. All Habitats + Multipliers'!$C$4:$K$102,5,FALSE))</f>
        <v/>
      </c>
      <c r="U43" s="792"/>
      <c r="V43" s="350" t="str">
        <f>IF(T43="","",VLOOKUP(T43,'11. Lists'!$S$47:$U$50,2,FALSE))</f>
        <v/>
      </c>
      <c r="W43" s="61" t="str">
        <f>IF(F43="","",F43)</f>
        <v/>
      </c>
      <c r="X43" s="150" t="str">
        <f>IF(W43="","",VLOOKUP(W43,'11. Lists'!$F$47:$G$51,2,FALSE))</f>
        <v/>
      </c>
      <c r="Y43" s="113"/>
      <c r="Z43" s="113"/>
      <c r="AA43" s="113"/>
      <c r="AB43" s="224" t="str">
        <f>IF(H43="","",H43)</f>
        <v/>
      </c>
      <c r="AC43" s="60" t="str">
        <f>IF(AB43="","",VLOOKUP(AB43,'11. Lists'!$F$36:$H$38,2,FALSE))</f>
        <v/>
      </c>
      <c r="AD43" s="150" t="str">
        <f>IF(AB43="","",VLOOKUP(AB43,'11. Lists'!$F$36:$H$38,3,FALSE))</f>
        <v/>
      </c>
      <c r="AE43" s="61"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58" t="str">
        <f>IF(AE43="","",VLOOKUP(AE43,'11. Lists'!$I$47:$K$80,3,FALSE))</f>
        <v/>
      </c>
      <c r="AG43" s="61" t="str">
        <f>IF(D43="","",VLOOKUP(D43,'9. All Habitats + Multipliers'!$C$4:$K$102,7,FALSE))</f>
        <v/>
      </c>
      <c r="AH43" s="150" t="str">
        <f>IF(AG43="","",VLOOKUP(AG43,'11. Lists'!$J$35:$K$38,2,FALSE))</f>
        <v/>
      </c>
    </row>
    <row r="44" spans="2:34" s="99" customFormat="1" ht="28.9" customHeight="1">
      <c r="B44" s="285">
        <v>6</v>
      </c>
      <c r="C44" s="535" t="s">
        <v>257</v>
      </c>
      <c r="D44" s="63"/>
      <c r="E44" s="156" t="str">
        <f>IF(D44="","",VLOOKUP(D44,'10. Condition and Temporal'!$B$6:$D$103,3,FALSE))</f>
        <v/>
      </c>
      <c r="F44" s="900"/>
      <c r="G44" s="901"/>
      <c r="H44" s="39"/>
      <c r="I44" s="786"/>
      <c r="J44" s="787"/>
      <c r="K44" s="787"/>
      <c r="L44" s="902" t="str">
        <f>IF(D44="","",IFERROR(IF(I44="","",((I44/1000)*(V44*X44))*(AH44*AF44)*AD44),"This intervention is not permitted within the SSM ▲"))</f>
        <v/>
      </c>
      <c r="M44" s="903"/>
      <c r="N44" s="904"/>
      <c r="O44" s="135"/>
      <c r="P44" s="87"/>
      <c r="R44" s="655"/>
      <c r="T44" s="791" t="str">
        <f>IF(D44="","",VLOOKUP(D44,'9. All Habitats + Multipliers'!$C$4:$K$102,5,FALSE))</f>
        <v/>
      </c>
      <c r="U44" s="792"/>
      <c r="V44" s="350" t="str">
        <f>IF(T44="","",VLOOKUP(T44,'11. Lists'!$S$47:$U$50,2,FALSE))</f>
        <v/>
      </c>
      <c r="W44" s="61" t="str">
        <f>IF(F44="","",F44)</f>
        <v/>
      </c>
      <c r="X44" s="150" t="str">
        <f>IF(W44="","",VLOOKUP(W44,'11. Lists'!$F$47:$G$51,2,FALSE))</f>
        <v/>
      </c>
      <c r="Y44" s="113"/>
      <c r="Z44" s="113"/>
      <c r="AA44" s="113"/>
      <c r="AB44" s="224" t="str">
        <f>IF(H44="","",H44)</f>
        <v/>
      </c>
      <c r="AC44" s="60" t="str">
        <f>IF(AB44="","",VLOOKUP(AB44,'11. Lists'!$F$36:$H$38,2,FALSE))</f>
        <v/>
      </c>
      <c r="AD44" s="150" t="str">
        <f>IF(AB44="","",VLOOKUP(AB44,'11. Lists'!$F$36:$H$38,3,FALSE))</f>
        <v/>
      </c>
      <c r="AE44" s="61"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58" t="str">
        <f>IF(AE44="","",VLOOKUP(AE44,'11. Lists'!$I$47:$K$80,3,FALSE))</f>
        <v/>
      </c>
      <c r="AG44" s="61" t="str">
        <f>IF(D44="","",VLOOKUP(D44,'9. All Habitats + Multipliers'!$C$4:$K$102,7,FALSE))</f>
        <v/>
      </c>
      <c r="AH44" s="150" t="str">
        <f>IF(AG44="","",VLOOKUP(AG44,'11. Lists'!$J$35:$K$38,2,FALSE))</f>
        <v/>
      </c>
    </row>
    <row r="45" spans="2:34" s="99" customFormat="1" ht="28.9" customHeight="1">
      <c r="B45" s="285">
        <v>7</v>
      </c>
      <c r="C45" s="535" t="s">
        <v>257</v>
      </c>
      <c r="D45" s="63"/>
      <c r="E45" s="156" t="str">
        <f>IF(D45="","",VLOOKUP(D45,'10. Condition and Temporal'!$B$6:$D$103,3,FALSE))</f>
        <v/>
      </c>
      <c r="F45" s="900"/>
      <c r="G45" s="901"/>
      <c r="H45" s="39"/>
      <c r="I45" s="786"/>
      <c r="J45" s="787"/>
      <c r="K45" s="787"/>
      <c r="L45" s="902" t="str">
        <f>IF(D45="","",IFERROR(IF(I45="","",((I45/1000)*(V45*X45))*(AH45*AF45)*AD45),"This intervention is not permitted within the SSM ▲"))</f>
        <v/>
      </c>
      <c r="M45" s="903"/>
      <c r="N45" s="904"/>
      <c r="O45" s="135"/>
      <c r="P45" s="87"/>
      <c r="R45" s="655"/>
      <c r="T45" s="791" t="str">
        <f>IF(D45="","",VLOOKUP(D45,'9. All Habitats + Multipliers'!$C$4:$K$102,5,FALSE))</f>
        <v/>
      </c>
      <c r="U45" s="792"/>
      <c r="V45" s="350" t="str">
        <f>IF(T45="","",VLOOKUP(T45,'11. Lists'!$S$47:$U$50,2,FALSE))</f>
        <v/>
      </c>
      <c r="W45" s="61" t="str">
        <f>IF(F45="","",F45)</f>
        <v/>
      </c>
      <c r="X45" s="150" t="str">
        <f>IF(W45="","",VLOOKUP(W45,'11. Lists'!$F$47:$G$51,2,FALSE))</f>
        <v/>
      </c>
      <c r="Y45" s="113"/>
      <c r="Z45" s="113"/>
      <c r="AA45" s="113"/>
      <c r="AB45" s="224" t="str">
        <f>IF(H45="","",H45)</f>
        <v/>
      </c>
      <c r="AC45" s="60" t="str">
        <f>IF(AB45="","",VLOOKUP(AB45,'11. Lists'!$F$36:$H$38,2,FALSE))</f>
        <v/>
      </c>
      <c r="AD45" s="150" t="str">
        <f>IF(AB45="","",VLOOKUP(AB45,'11. Lists'!$F$36:$H$38,3,FALSE))</f>
        <v/>
      </c>
      <c r="AE45" s="61"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58" t="str">
        <f>IF(AE45="","",VLOOKUP(AE45,'11. Lists'!$I$47:$K$80,3,FALSE))</f>
        <v/>
      </c>
      <c r="AG45" s="61" t="str">
        <f>IF(D45="","",VLOOKUP(D45,'9. All Habitats + Multipliers'!$C$4:$K$102,7,FALSE))</f>
        <v/>
      </c>
      <c r="AH45" s="150" t="str">
        <f>IF(AG45="","",VLOOKUP(AG45,'11. Lists'!$J$35:$K$38,2,FALSE))</f>
        <v/>
      </c>
    </row>
    <row r="46" spans="2:34" s="99" customFormat="1" ht="28.9" customHeight="1">
      <c r="B46" s="285">
        <v>8</v>
      </c>
      <c r="C46" s="535" t="s">
        <v>257</v>
      </c>
      <c r="D46" s="63"/>
      <c r="E46" s="156" t="str">
        <f>IF(D46="","",VLOOKUP(D46,'10. Condition and Temporal'!$B$6:$D$103,3,FALSE))</f>
        <v/>
      </c>
      <c r="F46" s="900"/>
      <c r="G46" s="901"/>
      <c r="H46" s="39"/>
      <c r="I46" s="786"/>
      <c r="J46" s="787"/>
      <c r="K46" s="787"/>
      <c r="L46" s="902" t="str">
        <f>IF(D46="","",IFERROR(IF(I46="","",((I46/1000)*(V46*X46))*(AH46*AF46)*AD46),"This intervention is not permitted within the SSM ▲"))</f>
        <v/>
      </c>
      <c r="M46" s="903"/>
      <c r="N46" s="904"/>
      <c r="O46" s="135"/>
      <c r="P46" s="87"/>
      <c r="R46" s="655"/>
      <c r="T46" s="791" t="str">
        <f>IF(D46="","",VLOOKUP(D46,'9. All Habitats + Multipliers'!$C$4:$K$102,5,FALSE))</f>
        <v/>
      </c>
      <c r="U46" s="792"/>
      <c r="V46" s="350" t="str">
        <f>IF(T46="","",VLOOKUP(T46,'11. Lists'!$S$47:$U$50,2,FALSE))</f>
        <v/>
      </c>
      <c r="W46" s="61" t="str">
        <f>IF(F46="","",F46)</f>
        <v/>
      </c>
      <c r="X46" s="150" t="str">
        <f>IF(W46="","",VLOOKUP(W46,'11. Lists'!$F$47:$G$51,2,FALSE))</f>
        <v/>
      </c>
      <c r="Y46" s="113"/>
      <c r="Z46" s="113"/>
      <c r="AA46" s="113"/>
      <c r="AB46" s="224" t="str">
        <f>IF(H46="","",H46)</f>
        <v/>
      </c>
      <c r="AC46" s="60" t="str">
        <f>IF(AB46="","",VLOOKUP(AB46,'11. Lists'!$F$36:$H$38,2,FALSE))</f>
        <v/>
      </c>
      <c r="AD46" s="150" t="str">
        <f>IF(AB46="","",VLOOKUP(AB46,'11. Lists'!$F$36:$H$38,3,FALSE))</f>
        <v/>
      </c>
      <c r="AE46" s="61"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58" t="str">
        <f>IF(AE46="","",VLOOKUP(AE46,'11. Lists'!$I$47:$K$80,3,FALSE))</f>
        <v/>
      </c>
      <c r="AG46" s="61" t="str">
        <f>IF(D46="","",VLOOKUP(D46,'9. All Habitats + Multipliers'!$C$4:$K$102,7,FALSE))</f>
        <v/>
      </c>
      <c r="AH46" s="150" t="str">
        <f>IF(AG46="","",VLOOKUP(AG46,'11. Lists'!$J$35:$K$38,2,FALSE))</f>
        <v/>
      </c>
    </row>
    <row r="47" spans="2:34" s="99" customFormat="1" ht="28.9" customHeight="1">
      <c r="B47" s="285">
        <v>9</v>
      </c>
      <c r="C47" s="535" t="s">
        <v>257</v>
      </c>
      <c r="D47" s="63"/>
      <c r="E47" s="156" t="str">
        <f>IF(D47="","",VLOOKUP(D47,'10. Condition and Temporal'!$B$6:$D$103,3,FALSE))</f>
        <v/>
      </c>
      <c r="F47" s="900"/>
      <c r="G47" s="901"/>
      <c r="H47" s="39"/>
      <c r="I47" s="786"/>
      <c r="J47" s="787"/>
      <c r="K47" s="787"/>
      <c r="L47" s="902" t="str">
        <f>IF(D47="","",IFERROR(IF(I47="","",((I47/1000)*(V47*X47))*(AH47*AF47)*AD47),"This intervention is not permitted within the SSM ▲"))</f>
        <v/>
      </c>
      <c r="M47" s="903"/>
      <c r="N47" s="904"/>
      <c r="O47" s="135"/>
      <c r="P47" s="87"/>
      <c r="R47" s="655"/>
      <c r="T47" s="791" t="str">
        <f>IF(D47="","",VLOOKUP(D47,'9. All Habitats + Multipliers'!$C$4:$K$102,5,FALSE))</f>
        <v/>
      </c>
      <c r="U47" s="792"/>
      <c r="V47" s="350" t="str">
        <f>IF(T47="","",VLOOKUP(T47,'11. Lists'!$S$47:$U$50,2,FALSE))</f>
        <v/>
      </c>
      <c r="W47" s="61" t="str">
        <f>IF(F47="","",F47)</f>
        <v/>
      </c>
      <c r="X47" s="150" t="str">
        <f>IF(W47="","",VLOOKUP(W47,'11. Lists'!$F$47:$G$51,2,FALSE))</f>
        <v/>
      </c>
      <c r="Y47" s="113"/>
      <c r="Z47" s="113"/>
      <c r="AA47" s="113"/>
      <c r="AB47" s="224" t="str">
        <f>IF(H47="","",H47)</f>
        <v/>
      </c>
      <c r="AC47" s="60" t="str">
        <f>IF(AB47="","",VLOOKUP(AB47,'11. Lists'!$F$36:$H$38,2,FALSE))</f>
        <v/>
      </c>
      <c r="AD47" s="150" t="str">
        <f>IF(AB47="","",VLOOKUP(AB47,'11. Lists'!$F$36:$H$38,3,FALSE))</f>
        <v/>
      </c>
      <c r="AE47" s="61"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58" t="str">
        <f>IF(AE47="","",VLOOKUP(AE47,'11. Lists'!$I$47:$K$80,3,FALSE))</f>
        <v/>
      </c>
      <c r="AG47" s="61" t="str">
        <f>IF(D47="","",VLOOKUP(D47,'9. All Habitats + Multipliers'!$C$4:$K$102,7,FALSE))</f>
        <v/>
      </c>
      <c r="AH47" s="150" t="str">
        <f>IF(AG47="","",VLOOKUP(AG47,'11. Lists'!$J$35:$K$38,2,FALSE))</f>
        <v/>
      </c>
    </row>
    <row r="48" spans="2:34" s="99" customFormat="1" ht="28.9" customHeight="1">
      <c r="B48" s="285">
        <v>10</v>
      </c>
      <c r="C48" s="536" t="s">
        <v>257</v>
      </c>
      <c r="D48" s="63"/>
      <c r="E48" s="156" t="str">
        <f>IF(D48="","",VLOOKUP(D48,'10. Condition and Temporal'!$B$6:$D$103,3,FALSE))</f>
        <v/>
      </c>
      <c r="F48" s="900"/>
      <c r="G48" s="901"/>
      <c r="H48" s="39"/>
      <c r="I48" s="786"/>
      <c r="J48" s="787"/>
      <c r="K48" s="787"/>
      <c r="L48" s="902" t="str">
        <f>IF(D48="","",IFERROR(IF(I48="","",((I48/1000)*(V48*X48))*(AH48*AF48)*AD48),"This intervention is not permitted within the SSM ▲"))</f>
        <v/>
      </c>
      <c r="M48" s="903"/>
      <c r="N48" s="904"/>
      <c r="O48" s="135"/>
      <c r="P48" s="87"/>
      <c r="R48" s="655"/>
      <c r="T48" s="791" t="str">
        <f>IF(D48="","",VLOOKUP(D48,'9. All Habitats + Multipliers'!$C$4:$K$102,5,FALSE))</f>
        <v/>
      </c>
      <c r="U48" s="792"/>
      <c r="V48" s="350" t="str">
        <f>IF(T48="","",VLOOKUP(T48,'11. Lists'!$S$47:$U$50,2,FALSE))</f>
        <v/>
      </c>
      <c r="W48" s="61" t="str">
        <f>IF(F48="","",F48)</f>
        <v/>
      </c>
      <c r="X48" s="150" t="str">
        <f>IF(W48="","",VLOOKUP(W48,'11. Lists'!$F$47:$G$51,2,FALSE))</f>
        <v/>
      </c>
      <c r="Y48" s="113"/>
      <c r="Z48" s="113"/>
      <c r="AA48" s="113"/>
      <c r="AB48" s="224" t="str">
        <f>IF(H48="","",H48)</f>
        <v/>
      </c>
      <c r="AC48" s="60" t="str">
        <f>IF(AB48="","",VLOOKUP(AB48,'11. Lists'!$F$36:$H$38,2,FALSE))</f>
        <v/>
      </c>
      <c r="AD48" s="150" t="str">
        <f>IF(AB48="","",VLOOKUP(AB48,'11. Lists'!$F$36:$H$38,3,FALSE))</f>
        <v/>
      </c>
      <c r="AE48" s="61"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58" t="str">
        <f>IF(AE48="","",VLOOKUP(AE48,'11. Lists'!$I$47:$K$80,3,FALSE))</f>
        <v/>
      </c>
      <c r="AG48" s="61" t="str">
        <f>IF(D48="","",VLOOKUP(D48,'9. All Habitats + Multipliers'!$C$4:$K$102,7,FALSE))</f>
        <v/>
      </c>
      <c r="AH48" s="150" t="str">
        <f>IF(AG48="","",VLOOKUP(AG48,'11. Lists'!$J$35:$K$38,2,FALSE))</f>
        <v/>
      </c>
    </row>
    <row r="49" spans="1:73" s="99" customFormat="1" ht="28.9" customHeight="1">
      <c r="B49" s="285">
        <v>11</v>
      </c>
      <c r="C49" s="535" t="s">
        <v>257</v>
      </c>
      <c r="D49" s="63"/>
      <c r="E49" s="156" t="str">
        <f>IF(D49="","",VLOOKUP(D49,'10. Condition and Temporal'!$B$6:$D$103,3,FALSE))</f>
        <v/>
      </c>
      <c r="F49" s="900"/>
      <c r="G49" s="901"/>
      <c r="H49" s="39"/>
      <c r="I49" s="786"/>
      <c r="J49" s="787"/>
      <c r="K49" s="787"/>
      <c r="L49" s="902" t="str">
        <f>IF(D49="","",IFERROR(IF(I49="","",((I49/1000)*(V49*X49))*(AH49*AF49)*AD49),"This intervention is not permitted within the SSM ▲"))</f>
        <v/>
      </c>
      <c r="M49" s="903"/>
      <c r="N49" s="904"/>
      <c r="O49" s="135"/>
      <c r="P49" s="87"/>
      <c r="R49" s="655"/>
      <c r="T49" s="791" t="str">
        <f>IF(D49="","",VLOOKUP(D49,'9. All Habitats + Multipliers'!$C$4:$K$102,5,FALSE))</f>
        <v/>
      </c>
      <c r="U49" s="792"/>
      <c r="V49" s="350" t="str">
        <f>IF(T49="","",VLOOKUP(T49,'11. Lists'!$S$47:$U$50,2,FALSE))</f>
        <v/>
      </c>
      <c r="W49" s="61" t="str">
        <f>IF(F49="","",F49)</f>
        <v/>
      </c>
      <c r="X49" s="150" t="str">
        <f>IF(W49="","",VLOOKUP(W49,'11. Lists'!$F$47:$G$51,2,FALSE))</f>
        <v/>
      </c>
      <c r="Y49" s="113"/>
      <c r="Z49" s="113"/>
      <c r="AA49" s="113"/>
      <c r="AB49" s="224" t="str">
        <f>IF(H49="","",H49)</f>
        <v/>
      </c>
      <c r="AC49" s="60" t="str">
        <f>IF(AB49="","",VLOOKUP(AB49,'11. Lists'!$F$36:$H$38,2,FALSE))</f>
        <v/>
      </c>
      <c r="AD49" s="150" t="str">
        <f>IF(AB49="","",VLOOKUP(AB49,'11. Lists'!$F$36:$H$38,3,FALSE))</f>
        <v/>
      </c>
      <c r="AE49" s="61"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58" t="str">
        <f>IF(AE49="","",VLOOKUP(AE49,'11. Lists'!$I$47:$K$80,3,FALSE))</f>
        <v/>
      </c>
      <c r="AG49" s="61" t="str">
        <f>IF(D49="","",VLOOKUP(D49,'9. All Habitats + Multipliers'!$C$4:$K$102,7,FALSE))</f>
        <v/>
      </c>
      <c r="AH49" s="150" t="str">
        <f>IF(AG49="","",VLOOKUP(AG49,'11. Lists'!$J$35:$K$38,2,FALSE))</f>
        <v/>
      </c>
    </row>
    <row r="50" spans="1:73" s="99" customFormat="1" ht="28.9" customHeight="1">
      <c r="B50" s="285">
        <v>12</v>
      </c>
      <c r="C50" s="535" t="s">
        <v>257</v>
      </c>
      <c r="D50" s="63"/>
      <c r="E50" s="156" t="str">
        <f>IF(D50="","",VLOOKUP(D50,'10. Condition and Temporal'!$B$6:$D$103,3,FALSE))</f>
        <v/>
      </c>
      <c r="F50" s="900"/>
      <c r="G50" s="901"/>
      <c r="H50" s="39"/>
      <c r="I50" s="786"/>
      <c r="J50" s="787"/>
      <c r="K50" s="787"/>
      <c r="L50" s="902" t="str">
        <f>IF(D50="","",IFERROR(IF(I50="","",((I50/1000)*(V50*X50))*(AH50*AF50)*AD50),"This intervention is not permitted within the SSM ▲"))</f>
        <v/>
      </c>
      <c r="M50" s="903"/>
      <c r="N50" s="904"/>
      <c r="O50" s="135"/>
      <c r="P50" s="87"/>
      <c r="R50" s="655"/>
      <c r="T50" s="791" t="str">
        <f>IF(D50="","",VLOOKUP(D50,'9. All Habitats + Multipliers'!$C$4:$K$102,5,FALSE))</f>
        <v/>
      </c>
      <c r="U50" s="792"/>
      <c r="V50" s="350" t="str">
        <f>IF(T50="","",VLOOKUP(T50,'11. Lists'!$S$47:$U$50,2,FALSE))</f>
        <v/>
      </c>
      <c r="W50" s="61" t="str">
        <f>IF(F50="","",F50)</f>
        <v/>
      </c>
      <c r="X50" s="150" t="str">
        <f>IF(W50="","",VLOOKUP(W50,'11. Lists'!$F$47:$G$51,2,FALSE))</f>
        <v/>
      </c>
      <c r="Y50" s="113"/>
      <c r="Z50" s="113"/>
      <c r="AA50" s="113"/>
      <c r="AB50" s="224" t="str">
        <f>IF(H50="","",H50)</f>
        <v/>
      </c>
      <c r="AC50" s="60" t="str">
        <f>IF(AB50="","",VLOOKUP(AB50,'11. Lists'!$F$36:$H$38,2,FALSE))</f>
        <v/>
      </c>
      <c r="AD50" s="150" t="str">
        <f>IF(AB50="","",VLOOKUP(AB50,'11. Lists'!$F$36:$H$38,3,FALSE))</f>
        <v/>
      </c>
      <c r="AE50" s="61"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58" t="str">
        <f>IF(AE50="","",VLOOKUP(AE50,'11. Lists'!$I$47:$K$80,3,FALSE))</f>
        <v/>
      </c>
      <c r="AG50" s="61" t="str">
        <f>IF(D50="","",VLOOKUP(D50,'9. All Habitats + Multipliers'!$C$4:$K$102,7,FALSE))</f>
        <v/>
      </c>
      <c r="AH50" s="150" t="str">
        <f>IF(AG50="","",VLOOKUP(AG50,'11. Lists'!$J$35:$K$38,2,FALSE))</f>
        <v/>
      </c>
    </row>
    <row r="51" spans="1:73" s="99" customFormat="1" ht="28.9" customHeight="1">
      <c r="B51" s="285">
        <v>13</v>
      </c>
      <c r="C51" s="535" t="s">
        <v>257</v>
      </c>
      <c r="D51" s="63"/>
      <c r="E51" s="156" t="str">
        <f>IF(D51="","",VLOOKUP(D51,'10. Condition and Temporal'!$B$6:$D$103,3,FALSE))</f>
        <v/>
      </c>
      <c r="F51" s="900"/>
      <c r="G51" s="901"/>
      <c r="H51" s="39"/>
      <c r="I51" s="786"/>
      <c r="J51" s="787"/>
      <c r="K51" s="787"/>
      <c r="L51" s="902" t="str">
        <f>IF(D51="","",IFERROR(IF(I51="","",((I51/1000)*(V51*X51))*(AH51*AF51)*AD51),"This intervention is not permitted within the SSM ▲"))</f>
        <v/>
      </c>
      <c r="M51" s="903"/>
      <c r="N51" s="904"/>
      <c r="O51" s="135"/>
      <c r="P51" s="87"/>
      <c r="R51" s="655"/>
      <c r="T51" s="791" t="str">
        <f>IF(D51="","",VLOOKUP(D51,'9. All Habitats + Multipliers'!$C$4:$K$102,5,FALSE))</f>
        <v/>
      </c>
      <c r="U51" s="792"/>
      <c r="V51" s="350" t="str">
        <f>IF(T51="","",VLOOKUP(T51,'11. Lists'!$S$47:$U$50,2,FALSE))</f>
        <v/>
      </c>
      <c r="W51" s="61" t="str">
        <f>IF(F51="","",F51)</f>
        <v/>
      </c>
      <c r="X51" s="150" t="str">
        <f>IF(W51="","",VLOOKUP(W51,'11. Lists'!$F$47:$G$51,2,FALSE))</f>
        <v/>
      </c>
      <c r="Y51" s="113"/>
      <c r="Z51" s="113"/>
      <c r="AA51" s="113"/>
      <c r="AB51" s="224" t="str">
        <f>IF(H51="","",H51)</f>
        <v/>
      </c>
      <c r="AC51" s="60" t="str">
        <f>IF(AB51="","",VLOOKUP(AB51,'11. Lists'!$F$36:$H$38,2,FALSE))</f>
        <v/>
      </c>
      <c r="AD51" s="150" t="str">
        <f>IF(AB51="","",VLOOKUP(AB51,'11. Lists'!$F$36:$H$38,3,FALSE))</f>
        <v/>
      </c>
      <c r="AE51" s="61"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58" t="str">
        <f>IF(AE51="","",VLOOKUP(AE51,'11. Lists'!$I$47:$K$80,3,FALSE))</f>
        <v/>
      </c>
      <c r="AG51" s="61" t="str">
        <f>IF(D51="","",VLOOKUP(D51,'9. All Habitats + Multipliers'!$C$4:$K$102,7,FALSE))</f>
        <v/>
      </c>
      <c r="AH51" s="150" t="str">
        <f>IF(AG51="","",VLOOKUP(AG51,'11. Lists'!$J$35:$K$38,2,FALSE))</f>
        <v/>
      </c>
    </row>
    <row r="52" spans="1:73" s="99" customFormat="1" ht="28.9" customHeight="1">
      <c r="B52" s="285">
        <v>14</v>
      </c>
      <c r="C52" s="535" t="s">
        <v>257</v>
      </c>
      <c r="D52" s="63"/>
      <c r="E52" s="156" t="str">
        <f>IF(D52="","",VLOOKUP(D52,'10. Condition and Temporal'!$B$6:$D$103,3,FALSE))</f>
        <v/>
      </c>
      <c r="F52" s="900"/>
      <c r="G52" s="901"/>
      <c r="H52" s="39"/>
      <c r="I52" s="786"/>
      <c r="J52" s="787"/>
      <c r="K52" s="787"/>
      <c r="L52" s="902" t="str">
        <f>IF(D52="","",IFERROR(IF(I52="","",((I52/1000)*(V52*X52))*(AH52*AF52)*AD52),"This intervention is not permitted within the SSM ▲"))</f>
        <v/>
      </c>
      <c r="M52" s="903"/>
      <c r="N52" s="904"/>
      <c r="O52" s="135"/>
      <c r="P52" s="87"/>
      <c r="R52" s="655"/>
      <c r="T52" s="791" t="str">
        <f>IF(D52="","",VLOOKUP(D52,'9. All Habitats + Multipliers'!$C$4:$K$102,5,FALSE))</f>
        <v/>
      </c>
      <c r="U52" s="792"/>
      <c r="V52" s="350" t="str">
        <f>IF(T52="","",VLOOKUP(T52,'11. Lists'!$S$47:$U$50,2,FALSE))</f>
        <v/>
      </c>
      <c r="W52" s="61" t="str">
        <f>IF(F52="","",F52)</f>
        <v/>
      </c>
      <c r="X52" s="150" t="str">
        <f>IF(W52="","",VLOOKUP(W52,'11. Lists'!$F$47:$G$51,2,FALSE))</f>
        <v/>
      </c>
      <c r="Y52" s="113"/>
      <c r="Z52" s="113"/>
      <c r="AA52" s="113"/>
      <c r="AB52" s="224" t="str">
        <f>IF(H52="","",H52)</f>
        <v/>
      </c>
      <c r="AC52" s="60" t="str">
        <f>IF(AB52="","",VLOOKUP(AB52,'11. Lists'!$F$36:$H$38,2,FALSE))</f>
        <v/>
      </c>
      <c r="AD52" s="150" t="str">
        <f>IF(AB52="","",VLOOKUP(AB52,'11. Lists'!$F$36:$H$38,3,FALSE))</f>
        <v/>
      </c>
      <c r="AE52" s="61"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58" t="str">
        <f>IF(AE52="","",VLOOKUP(AE52,'11. Lists'!$I$47:$K$80,3,FALSE))</f>
        <v/>
      </c>
      <c r="AG52" s="61" t="str">
        <f>IF(D52="","",VLOOKUP(D52,'9. All Habitats + Multipliers'!$C$4:$K$102,7,FALSE))</f>
        <v/>
      </c>
      <c r="AH52" s="150" t="str">
        <f>IF(AG52="","",VLOOKUP(AG52,'11. Lists'!$J$35:$K$38,2,FALSE))</f>
        <v/>
      </c>
    </row>
    <row r="53" spans="1:73" s="99" customFormat="1" ht="28.9" customHeight="1">
      <c r="B53" s="285">
        <v>15</v>
      </c>
      <c r="C53" s="535" t="s">
        <v>257</v>
      </c>
      <c r="D53" s="63"/>
      <c r="E53" s="156" t="str">
        <f>IF(D53="","",VLOOKUP(D53,'10. Condition and Temporal'!$B$6:$D$103,3,FALSE))</f>
        <v/>
      </c>
      <c r="F53" s="900"/>
      <c r="G53" s="901"/>
      <c r="H53" s="39"/>
      <c r="I53" s="786"/>
      <c r="J53" s="787"/>
      <c r="K53" s="787"/>
      <c r="L53" s="902" t="str">
        <f>IF(D53="","",IFERROR(IF(I53="","",((I53/1000)*(V53*X53))*(AH53*AF53)*AD53),"This intervention is not permitted within the SSM ▲"))</f>
        <v/>
      </c>
      <c r="M53" s="903"/>
      <c r="N53" s="904"/>
      <c r="O53" s="135"/>
      <c r="P53" s="87"/>
      <c r="R53" s="655"/>
      <c r="T53" s="791" t="str">
        <f>IF(D53="","",VLOOKUP(D53,'9. All Habitats + Multipliers'!$C$4:$K$102,5,FALSE))</f>
        <v/>
      </c>
      <c r="U53" s="792"/>
      <c r="V53" s="350" t="str">
        <f>IF(T53="","",VLOOKUP(T53,'11. Lists'!$S$47:$U$50,2,FALSE))</f>
        <v/>
      </c>
      <c r="W53" s="61" t="str">
        <f>IF(F53="","",F53)</f>
        <v/>
      </c>
      <c r="X53" s="150" t="str">
        <f>IF(W53="","",VLOOKUP(W53,'11. Lists'!$F$47:$G$51,2,FALSE))</f>
        <v/>
      </c>
      <c r="Y53" s="113"/>
      <c r="Z53" s="113"/>
      <c r="AA53" s="113"/>
      <c r="AB53" s="224" t="str">
        <f>IF(H53="","",H53)</f>
        <v/>
      </c>
      <c r="AC53" s="60" t="str">
        <f>IF(AB53="","",VLOOKUP(AB53,'11. Lists'!$F$36:$H$38,2,FALSE))</f>
        <v/>
      </c>
      <c r="AD53" s="150" t="str">
        <f>IF(AB53="","",VLOOKUP(AB53,'11. Lists'!$F$36:$H$38,3,FALSE))</f>
        <v/>
      </c>
      <c r="AE53" s="61"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58" t="str">
        <f>IF(AE53="","",VLOOKUP(AE53,'11. Lists'!$I$47:$K$80,3,FALSE))</f>
        <v/>
      </c>
      <c r="AG53" s="61" t="str">
        <f>IF(D53="","",VLOOKUP(D53,'9. All Habitats + Multipliers'!$C$4:$K$102,7,FALSE))</f>
        <v/>
      </c>
      <c r="AH53" s="150" t="str">
        <f>IF(AG53="","",VLOOKUP(AG53,'11. Lists'!$J$35:$K$38,2,FALSE))</f>
        <v/>
      </c>
    </row>
    <row r="54" spans="1:73" s="99" customFormat="1" ht="28.9" customHeight="1">
      <c r="B54" s="285">
        <v>16</v>
      </c>
      <c r="C54" s="535" t="s">
        <v>257</v>
      </c>
      <c r="D54" s="63"/>
      <c r="E54" s="156" t="str">
        <f>IF(D54="","",VLOOKUP(D54,'10. Condition and Temporal'!$B$6:$D$103,3,FALSE))</f>
        <v/>
      </c>
      <c r="F54" s="900"/>
      <c r="G54" s="901"/>
      <c r="H54" s="39"/>
      <c r="I54" s="786"/>
      <c r="J54" s="787"/>
      <c r="K54" s="787"/>
      <c r="L54" s="902" t="str">
        <f>IF(D54="","",IFERROR(IF(I54="","",((I54/1000)*(V54*X54))*(AH54*AF54)*AD54),"This intervention is not permitted within the SSM ▲"))</f>
        <v/>
      </c>
      <c r="M54" s="903"/>
      <c r="N54" s="904"/>
      <c r="O54" s="135"/>
      <c r="P54" s="87"/>
      <c r="R54" s="655"/>
      <c r="T54" s="791" t="str">
        <f>IF(D54="","",VLOOKUP(D54,'9. All Habitats + Multipliers'!$C$4:$K$102,5,FALSE))</f>
        <v/>
      </c>
      <c r="U54" s="792"/>
      <c r="V54" s="350" t="str">
        <f>IF(T54="","",VLOOKUP(T54,'11. Lists'!$S$47:$U$50,2,FALSE))</f>
        <v/>
      </c>
      <c r="W54" s="61" t="str">
        <f>IF(F54="","",F54)</f>
        <v/>
      </c>
      <c r="X54" s="150" t="str">
        <f>IF(W54="","",VLOOKUP(W54,'11. Lists'!$F$47:$G$51,2,FALSE))</f>
        <v/>
      </c>
      <c r="Y54" s="113"/>
      <c r="Z54" s="113"/>
      <c r="AA54" s="113"/>
      <c r="AB54" s="224" t="str">
        <f>IF(H54="","",H54)</f>
        <v/>
      </c>
      <c r="AC54" s="60" t="str">
        <f>IF(AB54="","",VLOOKUP(AB54,'11. Lists'!$F$36:$H$38,2,FALSE))</f>
        <v/>
      </c>
      <c r="AD54" s="150" t="str">
        <f>IF(AB54="","",VLOOKUP(AB54,'11. Lists'!$F$36:$H$38,3,FALSE))</f>
        <v/>
      </c>
      <c r="AE54" s="61"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58" t="str">
        <f>IF(AE54="","",VLOOKUP(AE54,'11. Lists'!$I$47:$K$80,3,FALSE))</f>
        <v/>
      </c>
      <c r="AG54" s="61" t="str">
        <f>IF(D54="","",VLOOKUP(D54,'9. All Habitats + Multipliers'!$C$4:$K$102,7,FALSE))</f>
        <v/>
      </c>
      <c r="AH54" s="150" t="str">
        <f>IF(AG54="","",VLOOKUP(AG54,'11. Lists'!$J$35:$K$38,2,FALSE))</f>
        <v/>
      </c>
    </row>
    <row r="55" spans="1:73" s="99" customFormat="1" ht="28.9" customHeight="1">
      <c r="B55" s="285">
        <v>17</v>
      </c>
      <c r="C55" s="535" t="s">
        <v>257</v>
      </c>
      <c r="D55" s="63"/>
      <c r="E55" s="156" t="str">
        <f>IF(D55="","",VLOOKUP(D55,'10. Condition and Temporal'!$B$6:$D$103,3,FALSE))</f>
        <v/>
      </c>
      <c r="F55" s="900"/>
      <c r="G55" s="901"/>
      <c r="H55" s="39"/>
      <c r="I55" s="786"/>
      <c r="J55" s="787"/>
      <c r="K55" s="787"/>
      <c r="L55" s="902" t="str">
        <f>IF(D55="","",IFERROR(IF(I55="","",((I55/1000)*(V55*X55))*(AH55*AF55)*AD55),"This intervention is not permitted within the SSM ▲"))</f>
        <v/>
      </c>
      <c r="M55" s="903"/>
      <c r="N55" s="904"/>
      <c r="O55" s="135"/>
      <c r="P55" s="87"/>
      <c r="R55" s="655"/>
      <c r="T55" s="791" t="str">
        <f>IF(D55="","",VLOOKUP(D55,'9. All Habitats + Multipliers'!$C$4:$K$102,5,FALSE))</f>
        <v/>
      </c>
      <c r="U55" s="792"/>
      <c r="V55" s="350" t="str">
        <f>IF(T55="","",VLOOKUP(T55,'11. Lists'!$S$47:$U$50,2,FALSE))</f>
        <v/>
      </c>
      <c r="W55" s="61" t="str">
        <f>IF(F55="","",F55)</f>
        <v/>
      </c>
      <c r="X55" s="150" t="str">
        <f>IF(W55="","",VLOOKUP(W55,'11. Lists'!$F$47:$G$51,2,FALSE))</f>
        <v/>
      </c>
      <c r="Y55" s="113"/>
      <c r="Z55" s="113"/>
      <c r="AA55" s="113"/>
      <c r="AB55" s="224" t="str">
        <f>IF(H55="","",H55)</f>
        <v/>
      </c>
      <c r="AC55" s="60" t="str">
        <f>IF(AB55="","",VLOOKUP(AB55,'11. Lists'!$F$36:$H$38,2,FALSE))</f>
        <v/>
      </c>
      <c r="AD55" s="150" t="str">
        <f>IF(AB55="","",VLOOKUP(AB55,'11. Lists'!$F$36:$H$38,3,FALSE))</f>
        <v/>
      </c>
      <c r="AE55" s="61"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58" t="str">
        <f>IF(AE55="","",VLOOKUP(AE55,'11. Lists'!$I$47:$K$80,3,FALSE))</f>
        <v/>
      </c>
      <c r="AG55" s="61" t="str">
        <f>IF(D55="","",VLOOKUP(D55,'9. All Habitats + Multipliers'!$C$4:$K$102,7,FALSE))</f>
        <v/>
      </c>
      <c r="AH55" s="150" t="str">
        <f>IF(AG55="","",VLOOKUP(AG55,'11. Lists'!$J$35:$K$38,2,FALSE))</f>
        <v/>
      </c>
    </row>
    <row r="56" spans="1:73" s="99" customFormat="1" ht="28.9" customHeight="1">
      <c r="B56" s="285">
        <v>18</v>
      </c>
      <c r="C56" s="535" t="s">
        <v>257</v>
      </c>
      <c r="D56" s="63"/>
      <c r="E56" s="156" t="str">
        <f>IF(D56="","",VLOOKUP(D56,'10. Condition and Temporal'!$B$6:$D$103,3,FALSE))</f>
        <v/>
      </c>
      <c r="F56" s="900"/>
      <c r="G56" s="901"/>
      <c r="H56" s="39"/>
      <c r="I56" s="786"/>
      <c r="J56" s="787"/>
      <c r="K56" s="787"/>
      <c r="L56" s="902" t="str">
        <f>IF(D56="","",IFERROR(IF(I56="","",((I56/1000)*(V56*X56))*(AH56*AF56)*AD56),"This intervention is not permitted within the SSM ▲"))</f>
        <v/>
      </c>
      <c r="M56" s="903"/>
      <c r="N56" s="904"/>
      <c r="O56" s="135"/>
      <c r="P56" s="87"/>
      <c r="R56" s="655"/>
      <c r="T56" s="791" t="str">
        <f>IF(D56="","",VLOOKUP(D56,'9. All Habitats + Multipliers'!$C$4:$K$102,5,FALSE))</f>
        <v/>
      </c>
      <c r="U56" s="792"/>
      <c r="V56" s="350" t="str">
        <f>IF(T56="","",VLOOKUP(T56,'11. Lists'!$S$47:$U$50,2,FALSE))</f>
        <v/>
      </c>
      <c r="W56" s="61" t="str">
        <f>IF(F56="","",F56)</f>
        <v/>
      </c>
      <c r="X56" s="150" t="str">
        <f>IF(W56="","",VLOOKUP(W56,'11. Lists'!$F$47:$G$51,2,FALSE))</f>
        <v/>
      </c>
      <c r="Y56" s="113"/>
      <c r="Z56" s="113"/>
      <c r="AA56" s="113"/>
      <c r="AB56" s="224" t="str">
        <f>IF(H56="","",H56)</f>
        <v/>
      </c>
      <c r="AC56" s="60" t="str">
        <f>IF(AB56="","",VLOOKUP(AB56,'11. Lists'!$F$36:$H$38,2,FALSE))</f>
        <v/>
      </c>
      <c r="AD56" s="150" t="str">
        <f>IF(AB56="","",VLOOKUP(AB56,'11. Lists'!$F$36:$H$38,3,FALSE))</f>
        <v/>
      </c>
      <c r="AE56" s="61"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58" t="str">
        <f>IF(AE56="","",VLOOKUP(AE56,'11. Lists'!$I$47:$K$80,3,FALSE))</f>
        <v/>
      </c>
      <c r="AG56" s="61" t="str">
        <f>IF(D56="","",VLOOKUP(D56,'9. All Habitats + Multipliers'!$C$4:$K$102,7,FALSE))</f>
        <v/>
      </c>
      <c r="AH56" s="150" t="str">
        <f>IF(AG56="","",VLOOKUP(AG56,'11. Lists'!$J$35:$K$38,2,FALSE))</f>
        <v/>
      </c>
    </row>
    <row r="57" spans="1:73" s="99" customFormat="1" ht="28.9" customHeight="1">
      <c r="B57" s="285">
        <v>19</v>
      </c>
      <c r="C57" s="537" t="s">
        <v>257</v>
      </c>
      <c r="D57" s="63"/>
      <c r="E57" s="156" t="str">
        <f>IF(D57="","",VLOOKUP(D57,'10. Condition and Temporal'!$B$6:$D$103,3,FALSE))</f>
        <v/>
      </c>
      <c r="F57" s="900"/>
      <c r="G57" s="901"/>
      <c r="H57" s="39"/>
      <c r="I57" s="786"/>
      <c r="J57" s="787"/>
      <c r="K57" s="787"/>
      <c r="L57" s="902" t="str">
        <f>IF(D57="","",IFERROR(IF(I57="","",((I57/1000)*(V57*X57))*(AH57*AF57)*AD57),"This intervention is not permitted within the SSM ▲"))</f>
        <v/>
      </c>
      <c r="M57" s="903"/>
      <c r="N57" s="904"/>
      <c r="O57" s="135"/>
      <c r="P57" s="87"/>
      <c r="R57" s="655"/>
      <c r="T57" s="791" t="str">
        <f>IF(D57="","",VLOOKUP(D57,'9. All Habitats + Multipliers'!$C$4:$K$102,5,FALSE))</f>
        <v/>
      </c>
      <c r="U57" s="792"/>
      <c r="V57" s="350" t="str">
        <f>IF(T57="","",VLOOKUP(T57,'11. Lists'!$S$47:$U$50,2,FALSE))</f>
        <v/>
      </c>
      <c r="W57" s="61" t="str">
        <f>IF(F57="","",F57)</f>
        <v/>
      </c>
      <c r="X57" s="150" t="str">
        <f>IF(W57="","",VLOOKUP(W57,'11. Lists'!$F$47:$G$51,2,FALSE))</f>
        <v/>
      </c>
      <c r="Y57" s="113"/>
      <c r="Z57" s="113"/>
      <c r="AA57" s="113"/>
      <c r="AB57" s="224" t="str">
        <f>IF(H57="","",H57)</f>
        <v/>
      </c>
      <c r="AC57" s="60" t="str">
        <f>IF(AB57="","",VLOOKUP(AB57,'11. Lists'!$F$36:$H$38,2,FALSE))</f>
        <v/>
      </c>
      <c r="AD57" s="150" t="str">
        <f>IF(AB57="","",VLOOKUP(AB57,'11. Lists'!$F$36:$H$38,3,FALSE))</f>
        <v/>
      </c>
      <c r="AE57" s="61"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58" t="str">
        <f>IF(AE57="","",VLOOKUP(AE57,'11. Lists'!$I$47:$K$80,3,FALSE))</f>
        <v/>
      </c>
      <c r="AG57" s="61" t="str">
        <f>IF(D57="","",VLOOKUP(D57,'9. All Habitats + Multipliers'!$C$4:$K$102,7,FALSE))</f>
        <v/>
      </c>
      <c r="AH57" s="150" t="str">
        <f>IF(AG57="","",VLOOKUP(AG57,'11. Lists'!$J$35:$K$38,2,FALSE))</f>
        <v/>
      </c>
    </row>
    <row r="58" spans="1:73" s="99" customFormat="1" ht="29.45" customHeight="1">
      <c r="B58" s="286">
        <v>20</v>
      </c>
      <c r="C58" s="538" t="s">
        <v>257</v>
      </c>
      <c r="D58" s="181"/>
      <c r="E58" s="182" t="str">
        <f>IF(D58="","",VLOOKUP(D58,'10. Condition and Temporal'!$B$6:$D$103,3,FALSE))</f>
        <v/>
      </c>
      <c r="F58" s="888"/>
      <c r="G58" s="889"/>
      <c r="H58" s="140"/>
      <c r="I58" s="890"/>
      <c r="J58" s="891"/>
      <c r="K58" s="891"/>
      <c r="L58" s="892" t="str">
        <f>IF(D58="","",IFERROR(IF(I58="","",((I58/1000)*(V58*X58))*(AH58*AF58)*AD58),"This intervention is not permitted within the SSM ▲"))</f>
        <v/>
      </c>
      <c r="M58" s="893"/>
      <c r="N58" s="894"/>
      <c r="O58" s="136"/>
      <c r="P58" s="89"/>
      <c r="R58" s="655"/>
      <c r="T58" s="791" t="str">
        <f>IF(D58="","",VLOOKUP(D58,'9. All Habitats + Multipliers'!$C$4:$K$102,5,FALSE))</f>
        <v/>
      </c>
      <c r="U58" s="792"/>
      <c r="V58" s="350" t="str">
        <f>IF(T58="","",VLOOKUP(T58,'11. Lists'!$S$47:$U$50,2,FALSE))</f>
        <v/>
      </c>
      <c r="W58" s="57" t="str">
        <f>IF(F58="","",F58)</f>
        <v/>
      </c>
      <c r="X58" s="153" t="str">
        <f>IF(W58="","",VLOOKUP(W58,'11. Lists'!$F$47:$G$51,2,FALSE))</f>
        <v/>
      </c>
      <c r="Y58" s="113"/>
      <c r="Z58" s="113"/>
      <c r="AA58" s="113"/>
      <c r="AB58" s="224" t="str">
        <f>IF(H58="","",H58)</f>
        <v/>
      </c>
      <c r="AC58" s="60" t="str">
        <f>IF(AB58="","",VLOOKUP(AB58,'11. Lists'!$F$36:$H$38,2,FALSE))</f>
        <v/>
      </c>
      <c r="AD58" s="150" t="str">
        <f>IF(AB58="","",VLOOKUP(AB58,'11. Lists'!$F$36:$H$38,3,FALSE))</f>
        <v/>
      </c>
      <c r="AE58" s="61"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58" t="str">
        <f>IF(AE58="","",VLOOKUP(AE58,'11. Lists'!$I$47:$K$80,3,FALSE))</f>
        <v/>
      </c>
      <c r="AG58" s="61" t="str">
        <f>IF(D58="","",VLOOKUP(D58,'9. All Habitats + Multipliers'!$C$4:$K$102,7,FALSE))</f>
        <v/>
      </c>
      <c r="AH58" s="150" t="str">
        <f>IF(AG58="","",VLOOKUP(AG58,'11. Lists'!$J$35:$K$38,2,FALSE))</f>
        <v/>
      </c>
    </row>
    <row r="59" spans="1:73" s="99" customFormat="1" ht="15" customHeight="1">
      <c r="H59" s="290" t="s">
        <v>258</v>
      </c>
      <c r="I59" s="760">
        <f>SUM(I39:K58)</f>
        <v>0</v>
      </c>
      <c r="J59" s="761"/>
      <c r="K59" s="762"/>
      <c r="L59" s="871">
        <f>SUM(L39:N58)</f>
        <v>0</v>
      </c>
      <c r="M59" s="895"/>
      <c r="N59" s="870"/>
      <c r="R59" s="655"/>
    </row>
    <row r="60" spans="1:73" s="99" customFormat="1" ht="15" customHeight="1">
      <c r="H60" s="293" t="s">
        <v>128</v>
      </c>
      <c r="I60" s="896" t="str">
        <f>IF(I59&lt;5000,"Lengths Acceptable ✓",IF(I59&gt;=5000,"Length Exceeds Length Appropriate for Small Sites Metric ▲"))</f>
        <v>Lengths Acceptable ✓</v>
      </c>
      <c r="J60" s="896"/>
      <c r="K60" s="896"/>
      <c r="L60" s="896"/>
      <c r="M60" s="896"/>
      <c r="N60" s="897"/>
      <c r="R60" s="655"/>
    </row>
    <row r="61" spans="1:73" s="99" customFormat="1">
      <c r="R61" s="655"/>
      <c r="BA61" s="114" t="s">
        <v>149</v>
      </c>
    </row>
    <row r="62" spans="1:73" s="99" customFormat="1" ht="21" customHeight="1">
      <c r="B62" s="121" t="s">
        <v>150</v>
      </c>
      <c r="D62" s="148"/>
      <c r="H62" s="100"/>
      <c r="R62" s="655"/>
      <c r="BA62" s="114" t="s">
        <v>151</v>
      </c>
    </row>
    <row r="63" spans="1:73" s="99" customFormat="1" ht="15" customHeight="1">
      <c r="A63" s="898"/>
      <c r="R63" s="655"/>
    </row>
    <row r="64" spans="1:73" s="99" customFormat="1" ht="16.149999999999999" customHeight="1">
      <c r="A64" s="898"/>
      <c r="B64" s="767" t="s">
        <v>152</v>
      </c>
      <c r="C64" s="769" t="s">
        <v>153</v>
      </c>
      <c r="D64" s="770"/>
      <c r="E64" s="771" t="s">
        <v>154</v>
      </c>
      <c r="F64" s="772"/>
      <c r="G64" s="773"/>
      <c r="H64" s="754" t="s">
        <v>155</v>
      </c>
      <c r="I64" s="754" t="s">
        <v>261</v>
      </c>
      <c r="J64" s="774" t="s">
        <v>157</v>
      </c>
      <c r="K64" s="775"/>
      <c r="L64" s="802" t="s">
        <v>158</v>
      </c>
      <c r="M64" s="779" t="s">
        <v>159</v>
      </c>
      <c r="N64" s="770"/>
      <c r="O64" s="782" t="s">
        <v>95</v>
      </c>
      <c r="P64" s="783"/>
      <c r="R64" s="655"/>
      <c r="T64" s="751" t="s">
        <v>160</v>
      </c>
      <c r="U64" s="752"/>
      <c r="V64" s="752"/>
      <c r="W64" s="752"/>
      <c r="X64" s="752"/>
      <c r="Y64" s="752"/>
      <c r="Z64" s="752"/>
      <c r="AA64" s="752"/>
      <c r="AB64" s="752"/>
      <c r="AC64" s="752"/>
      <c r="AD64" s="753"/>
      <c r="AE64" s="754" t="s">
        <v>161</v>
      </c>
      <c r="AF64" s="751" t="s">
        <v>162</v>
      </c>
      <c r="AG64" s="752"/>
      <c r="AH64" s="752"/>
      <c r="AI64" s="752"/>
      <c r="AJ64" s="880"/>
      <c r="AK64" s="880"/>
      <c r="AL64" s="880"/>
      <c r="AM64" s="880"/>
      <c r="AN64" s="880"/>
      <c r="AO64" s="752"/>
      <c r="AP64" s="753"/>
      <c r="AQ64" s="756" t="s">
        <v>163</v>
      </c>
      <c r="AR64" s="751" t="s">
        <v>162</v>
      </c>
      <c r="AS64" s="752"/>
      <c r="AT64" s="752"/>
      <c r="AU64" s="752"/>
      <c r="AV64" s="752"/>
      <c r="AW64" s="752"/>
      <c r="AX64" s="753"/>
      <c r="BA64" s="69" t="s">
        <v>164</v>
      </c>
      <c r="BB64" s="225">
        <f>COUNTIF(BB66:BB85,"?*")</f>
        <v>0</v>
      </c>
      <c r="BC64" s="225">
        <f>COUNTIF(BC66:BC85,"?*")</f>
        <v>0</v>
      </c>
      <c r="BD64" s="225">
        <f>COUNTIF(BD66:BD85,"?*")</f>
        <v>0</v>
      </c>
      <c r="BE64" s="225">
        <f>COUNTIF(BE66:BE85,"?*")</f>
        <v>0</v>
      </c>
      <c r="BF64" s="225">
        <f>COUNTIF(BF66:BF85,"?*")</f>
        <v>0</v>
      </c>
      <c r="BG64" s="225">
        <f>COUNTIF(BG66:BG85,"?*")</f>
        <v>0</v>
      </c>
      <c r="BH64" s="225">
        <f>COUNTIF(BH66:BH85,"?*")</f>
        <v>0</v>
      </c>
      <c r="BI64" s="225">
        <f>COUNTIF(BI66:BI85,"?*")</f>
        <v>0</v>
      </c>
      <c r="BJ64" s="225">
        <f>COUNTIF(BJ66:BJ85,"?*")</f>
        <v>0</v>
      </c>
      <c r="BK64" s="225">
        <f>COUNTIF(BK66:BK85,"?*")</f>
        <v>0</v>
      </c>
      <c r="BL64" s="225">
        <f>COUNTIF(BL66:BL85,"?*")</f>
        <v>0</v>
      </c>
      <c r="BM64" s="225">
        <f>COUNTIF(BM66:BM85,"?*")</f>
        <v>0</v>
      </c>
      <c r="BN64" s="225">
        <f>COUNTIF(BN66:BN85,"?*")</f>
        <v>0</v>
      </c>
      <c r="BO64" s="225">
        <f>COUNTIF(BO66:BO85,"?*")</f>
        <v>0</v>
      </c>
      <c r="BP64" s="225">
        <f>COUNTIF(BP66:BP85,"?*")</f>
        <v>0</v>
      </c>
      <c r="BQ64" s="225">
        <f>COUNTIF(BQ66:BQ85,"?*")</f>
        <v>0</v>
      </c>
      <c r="BR64" s="225">
        <f>COUNTIF(BR66:BR85,"?*")</f>
        <v>0</v>
      </c>
      <c r="BS64" s="225">
        <f>COUNTIF(BS66:BS85,"?*")</f>
        <v>0</v>
      </c>
      <c r="BT64" s="225">
        <f>COUNTIF(BT66:BT85,"?*")</f>
        <v>0</v>
      </c>
      <c r="BU64" s="225">
        <f>COUNTIF(BU66:BU85,"?*")</f>
        <v>0</v>
      </c>
    </row>
    <row r="65" spans="1:76" s="99" customFormat="1" ht="41.65" customHeight="1">
      <c r="A65" s="898"/>
      <c r="B65" s="768"/>
      <c r="C65" s="240" t="s">
        <v>165</v>
      </c>
      <c r="D65" s="42" t="s">
        <v>166</v>
      </c>
      <c r="E65" s="146" t="s">
        <v>167</v>
      </c>
      <c r="F65" s="737" t="s">
        <v>168</v>
      </c>
      <c r="G65" s="738"/>
      <c r="H65" s="755"/>
      <c r="I65" s="755"/>
      <c r="J65" s="776"/>
      <c r="K65" s="777"/>
      <c r="L65" s="899"/>
      <c r="M65" s="780"/>
      <c r="N65" s="781"/>
      <c r="O65" s="55" t="s">
        <v>110</v>
      </c>
      <c r="P65" s="42" t="s">
        <v>111</v>
      </c>
      <c r="R65" s="655"/>
      <c r="T65" s="49" t="s">
        <v>169</v>
      </c>
      <c r="U65" s="16" t="s">
        <v>170</v>
      </c>
      <c r="V65" s="355" t="s">
        <v>171</v>
      </c>
      <c r="W65" s="16" t="s">
        <v>172</v>
      </c>
      <c r="X65" s="357" t="s">
        <v>173</v>
      </c>
      <c r="Y65" s="358"/>
      <c r="Z65" s="358"/>
      <c r="AA65" s="358"/>
      <c r="AB65" s="357" t="s">
        <v>174</v>
      </c>
      <c r="AC65" s="356" t="s">
        <v>175</v>
      </c>
      <c r="AD65" s="355" t="s">
        <v>176</v>
      </c>
      <c r="AE65" s="755"/>
      <c r="AF65" s="48" t="s">
        <v>169</v>
      </c>
      <c r="AG65" s="16" t="s">
        <v>112</v>
      </c>
      <c r="AH65" s="355" t="s">
        <v>113</v>
      </c>
      <c r="AI65" s="48" t="s">
        <v>114</v>
      </c>
      <c r="AJ65" s="68" t="s">
        <v>113</v>
      </c>
      <c r="AK65" s="366"/>
      <c r="AL65" s="366"/>
      <c r="AM65" s="366"/>
      <c r="AN65" s="67" t="s">
        <v>98</v>
      </c>
      <c r="AO65" s="47" t="s">
        <v>98</v>
      </c>
      <c r="AP65" s="355" t="s">
        <v>115</v>
      </c>
      <c r="AQ65" s="881"/>
      <c r="AR65" s="355" t="s">
        <v>177</v>
      </c>
      <c r="AS65" s="16" t="s">
        <v>178</v>
      </c>
      <c r="AT65" s="355" t="s">
        <v>179</v>
      </c>
      <c r="AU65" s="47" t="s">
        <v>180</v>
      </c>
      <c r="AV65" s="355" t="s">
        <v>181</v>
      </c>
      <c r="AW65" s="221" t="s">
        <v>182</v>
      </c>
      <c r="AX65" s="222" t="s">
        <v>183</v>
      </c>
      <c r="BA65" s="144" t="s">
        <v>262</v>
      </c>
      <c r="BB65" s="209">
        <v>1</v>
      </c>
      <c r="BC65" s="209">
        <v>2</v>
      </c>
      <c r="BD65" s="209">
        <v>3</v>
      </c>
      <c r="BE65" s="209">
        <v>4</v>
      </c>
      <c r="BF65" s="209">
        <v>5</v>
      </c>
      <c r="BG65" s="209">
        <v>6</v>
      </c>
      <c r="BH65" s="209">
        <v>7</v>
      </c>
      <c r="BI65" s="209">
        <v>8</v>
      </c>
      <c r="BJ65" s="209">
        <v>9</v>
      </c>
      <c r="BK65" s="209">
        <v>10</v>
      </c>
      <c r="BL65" s="209">
        <v>11</v>
      </c>
      <c r="BM65" s="209">
        <v>12</v>
      </c>
      <c r="BN65" s="209">
        <v>13</v>
      </c>
      <c r="BO65" s="209">
        <v>14</v>
      </c>
      <c r="BP65" s="209">
        <v>15</v>
      </c>
      <c r="BQ65" s="209">
        <v>16</v>
      </c>
      <c r="BR65" s="209">
        <v>17</v>
      </c>
      <c r="BS65" s="209">
        <v>18</v>
      </c>
      <c r="BT65" s="209">
        <v>19</v>
      </c>
      <c r="BU65" s="209">
        <v>20</v>
      </c>
      <c r="BV65" s="223" t="s">
        <v>186</v>
      </c>
      <c r="BW65" s="209" t="s">
        <v>187</v>
      </c>
      <c r="BX65" s="209" t="s">
        <v>188</v>
      </c>
    </row>
    <row r="66" spans="1:76" s="99" customFormat="1" ht="15.6" customHeight="1">
      <c r="B66" s="291">
        <v>1</v>
      </c>
      <c r="C66" s="408" t="str">
        <f>IF(D66="","",C11)</f>
        <v/>
      </c>
      <c r="D66" s="409" t="str">
        <f>IF(OR(K11="", K11=0),"",D11)</f>
        <v/>
      </c>
      <c r="E66" s="410" t="str">
        <f>IF(AX66="","",AX66)</f>
        <v/>
      </c>
      <c r="F66" s="882"/>
      <c r="G66" s="883"/>
      <c r="H66" s="411" t="str">
        <f>IF(D66="","",AB66)</f>
        <v/>
      </c>
      <c r="I66" s="412" t="str">
        <f>IF(OR(K11="", K11=0),"",K11)</f>
        <v/>
      </c>
      <c r="J66" s="884" t="str">
        <f>IFERROR(IF(F66="","",VLOOKUP(F66,'10. Condition and Temporal'!$B$6:$F$103,5,FALSE)), "Error ▲")</f>
        <v/>
      </c>
      <c r="K66" s="885"/>
      <c r="L66" s="35" t="str">
        <f>IFERROR(IF(D66="","",IF(AX66="Distinctiveness",(((((I66*AH66*AJ66)-(I66*V66*X66))*(AV66*AT66))+(I66*V66*X66))*AP66/1000),((((I66*AH66*AJ66)-(I66*V66*X66))*(AV66*AR66))+(I66*V66*X66))*AP66/1000)),"This intervention is not permitted within the SSM ▲")</f>
        <v/>
      </c>
      <c r="M66" s="886" t="str">
        <f>IFERROR(IF(F66="","",L66-AD66), "Error ▲")</f>
        <v/>
      </c>
      <c r="N66" s="887"/>
      <c r="O66" s="246"/>
      <c r="P66" s="186"/>
      <c r="R66" s="655"/>
      <c r="T66" s="217" t="str">
        <f>IF(D66="","",K11)</f>
        <v/>
      </c>
      <c r="U66" s="161" t="str">
        <f>IF($D66="","",T11)</f>
        <v/>
      </c>
      <c r="V66" s="162" t="str">
        <f>IF($D66="","",V11)</f>
        <v/>
      </c>
      <c r="W66" s="161" t="str">
        <f>IF($D66="","",W11)</f>
        <v/>
      </c>
      <c r="X66" s="60" t="str">
        <f>IF($D66="","",X11)</f>
        <v/>
      </c>
      <c r="Y66" s="349"/>
      <c r="Z66" s="349"/>
      <c r="AA66" s="349"/>
      <c r="AB66" s="60" t="str">
        <f>IF($D66="","",AB11)</f>
        <v/>
      </c>
      <c r="AC66" s="163" t="str">
        <f>IF($D66="","",AD11)</f>
        <v/>
      </c>
      <c r="AD66" s="162" t="str">
        <f>IF(AC66="","",(T66*V66*X66)*AC66/1000)</f>
        <v/>
      </c>
      <c r="AE66" s="219" t="str">
        <f>IF(AD66="","",IF(AH66&lt;V66,"Not Acceptable","Acceptable"))</f>
        <v/>
      </c>
      <c r="AF66" s="160" t="str">
        <f>IF(D66="","",I66)</f>
        <v/>
      </c>
      <c r="AG66" s="161" t="str">
        <f>IF(D66="","",VLOOKUP(F66,'9. All Habitats + Multipliers'!$C$4:$K$102,5,FALSE))</f>
        <v/>
      </c>
      <c r="AH66" s="162" t="str">
        <f>IF(AG66="","",VLOOKUP(AG66,'11. Lists'!$S$47:$U$50,2,FALSE))</f>
        <v/>
      </c>
      <c r="AI66" s="160" t="str">
        <f>IF(D66="","",J66)</f>
        <v/>
      </c>
      <c r="AJ66" s="61" t="str">
        <f>IF(AI66="","",VLOOKUP(AI66,'11. Lists'!$F$47:$G$51,2,FALSE))</f>
        <v/>
      </c>
      <c r="AK66" s="349"/>
      <c r="AL66" s="349"/>
      <c r="AM66" s="349"/>
      <c r="AN66" s="150" t="str">
        <f>IF(H66="","",H66)</f>
        <v/>
      </c>
      <c r="AO66" s="164" t="str">
        <f>IF(AN66="","",VLOOKUP(AN66,'11. Lists'!$F$36:$H$38,2,FALSE))</f>
        <v/>
      </c>
      <c r="AP66" s="162" t="str">
        <f>IF(AN66="","",VLOOKUP(AN66,'11. Lists'!$F$36:$H$38,3,FALSE))</f>
        <v/>
      </c>
      <c r="AQ66" s="161" t="str">
        <f>IF(D66="","",IF(AX66="Distinctiveness","N/A",VLOOKUP(F66,'10. Condition and Temporal'!$B$6:$L$103,11,FALSE)))</f>
        <v/>
      </c>
      <c r="AR66" s="165" t="str">
        <f>IF(AQ66="","",IF(AQ66="N/A","1",VLOOKUP(AQ66,'11. Lists'!$I$47:$K$80,3,FALSE)))</f>
        <v/>
      </c>
      <c r="AS66" s="180" t="str">
        <f>IF(D66="","",IF(AX66="Condition","N/A",VLOOKUP(F66,'10. Condition and Temporal'!$B$6:$M$106,12,FALSE)))</f>
        <v/>
      </c>
      <c r="AT66" s="165" t="str">
        <f>IF(AS66="","",IF(AS66="N/A","1",VLOOKUP(AS66,'11. Lists'!$I$47:$K$80,3,FALSE)))</f>
        <v/>
      </c>
      <c r="AU66" s="164" t="str">
        <f>IF(D66="","",VLOOKUP(F66,'9. All Habitats + Multipliers'!$C$4:$K$102,8,FALSE))</f>
        <v/>
      </c>
      <c r="AV66" s="162" t="str">
        <f>IF(AU66="","",VLOOKUP(AU66,'11. Lists'!$J$35:$K$38,2,FALSE))</f>
        <v/>
      </c>
      <c r="AW66" s="161" t="str">
        <f>IF(D66="","",VLOOKUP(D66,'10. Condition and Temporal'!$B$6:$M$103,4,FALSE))</f>
        <v/>
      </c>
      <c r="AX66" s="162" t="str">
        <f>IF(F66="","",IF(D66=F66,"Condition","Distinctiveness"))</f>
        <v/>
      </c>
      <c r="AZ66" s="235"/>
      <c r="BA66" s="61">
        <v>1</v>
      </c>
      <c r="BB66" s="60" t="str">
        <f>TRIM(MID(SUBSTITUTE($AW$66,$BA$62,REPT(" ",LEN($AW$66))),($BA66-1)*LEN($AW$66)+1,LEN($AW$66)))</f>
        <v/>
      </c>
      <c r="BC66" s="60" t="str">
        <f>TRIM(MID(SUBSTITUTE($AW$67,$BA$62,REPT(" ",LEN($AW$67))),($BA66-1)*LEN($AW$67)+1,LEN($AW$67)))</f>
        <v/>
      </c>
      <c r="BD66" s="60" t="str">
        <f>TRIM(MID(SUBSTITUTE($AW$68,$BA$62,REPT(" ",LEN($AW$68))),($BA66-1)*LEN($AW$68)+1,LEN($AW$68)))</f>
        <v/>
      </c>
      <c r="BE66" s="60" t="str">
        <f>TRIM(MID(SUBSTITUTE($AW$69,$BA$62,REPT(" ",LEN($AW$69))),($BA66-1)*LEN($AW$69)+1,LEN($AW$69)))</f>
        <v/>
      </c>
      <c r="BF66" s="60" t="str">
        <f>TRIM(MID(SUBSTITUTE($AW$70,$BA$62,REPT(" ",LEN($AW$70))),($BA66-1)*LEN($AW$70)+1,LEN($AW$70)))</f>
        <v/>
      </c>
      <c r="BG66" s="60" t="str">
        <f>TRIM(MID(SUBSTITUTE($AW$71,$BA$62,REPT(" ",LEN($AW$71))),($BA66-1)*LEN($AW$71)+1,LEN($AW$71)))</f>
        <v/>
      </c>
      <c r="BH66" s="60" t="str">
        <f>TRIM(MID(SUBSTITUTE($AW$72,$BA$62,REPT(" ",LEN($AW$72))),($BA66-1)*LEN($AW$72)+1,LEN($AW$72)))</f>
        <v/>
      </c>
      <c r="BI66" s="60" t="str">
        <f>TRIM(MID(SUBSTITUTE($AW$73,$BA$62,REPT(" ",LEN($AW$73))),($BA66-1)*LEN($AW$73)+1,LEN($AW$73)))</f>
        <v/>
      </c>
      <c r="BJ66" s="60" t="str">
        <f>TRIM(MID(SUBSTITUTE($AW$74,$BA$62,REPT(" ",LEN($AW$74))),($BA66-1)*LEN($AW$74)+1,LEN($AW$74)))</f>
        <v/>
      </c>
      <c r="BK66" s="60" t="str">
        <f>TRIM(MID(SUBSTITUTE($AW$75,$BA$62,REPT(" ",LEN($AW$75))),($BA66-1)*LEN($AW$75)+1,LEN($AW$75)))</f>
        <v/>
      </c>
      <c r="BL66" s="60" t="str">
        <f>TRIM(MID(SUBSTITUTE($AW$76,$BA$62,REPT(" ",LEN($AW$76))),($BA66-1)*LEN($AW$76)+1,LEN($AW$76)))</f>
        <v/>
      </c>
      <c r="BM66" s="60" t="str">
        <f>TRIM(MID(SUBSTITUTE($AW$77,$BA$62,REPT(" ",LEN($AW$77))),($BA66-1)*LEN($AW$77)+1,LEN($AW$77)))</f>
        <v/>
      </c>
      <c r="BN66" s="60" t="str">
        <f>TRIM(MID(SUBSTITUTE($AW$78,$BA$62,REPT(" ",LEN($AW$78))),($BA66-1)*LEN($AW$78)+1,LEN($AW$78)))</f>
        <v/>
      </c>
      <c r="BO66" s="60" t="str">
        <f>TRIM(MID(SUBSTITUTE($AW$79,$BA$62,REPT(" ",LEN($AW$79))),($BA66-1)*LEN($AW$79)+1,LEN($AW$79)))</f>
        <v/>
      </c>
      <c r="BP66" s="60" t="str">
        <f>TRIM(MID(SUBSTITUTE($AW$80,$BA$62,REPT(" ",LEN($AW$80))),($BA66-1)*LEN($AW$80)+1,LEN($AW$80)))</f>
        <v/>
      </c>
      <c r="BQ66" s="60" t="str">
        <f>TRIM(MID(SUBSTITUTE($AW$81,$BA$62,REPT(" ",LEN($AW$81))),($BA66-1)*LEN($AW$81)+1,LEN($AW$81)))</f>
        <v/>
      </c>
      <c r="BR66" s="60" t="str">
        <f>TRIM(MID(SUBSTITUTE($AW$82,$BA$62,REPT(" ",LEN($AW$82))),($BA66-1)*LEN($AW$82)+1,LEN($AW$82)))</f>
        <v/>
      </c>
      <c r="BS66" s="60" t="str">
        <f>TRIM(MID(SUBSTITUTE($AW$83,$BA$62,REPT(" ",LEN($AW$83))),($BA66-1)*LEN($AW$83)+1,LEN($AW$83)))</f>
        <v/>
      </c>
      <c r="BT66" s="60" t="str">
        <f>TRIM(MID(SUBSTITUTE($AW$84,$BA$62,REPT(" ",LEN($AW$84))),($BA66-1)*LEN($AW$84)+1,LEN($AW$84)))</f>
        <v/>
      </c>
      <c r="BU66" s="150" t="str">
        <f>TRIM(MID(SUBSTITUTE($AW$85,$BA$62,REPT(" ",LEN($AW$85))),($BA66-1)*LEN($AW$85)+1,LEN($AW$85)))</f>
        <v/>
      </c>
      <c r="BV66" s="224" t="str">
        <f>IF(BX66=0,"",CONCATENATE(BW66,"66:",BW66,BX66+65))</f>
        <v/>
      </c>
      <c r="BW66" s="60" t="s">
        <v>189</v>
      </c>
      <c r="BX66" s="60">
        <f>BB64</f>
        <v>0</v>
      </c>
    </row>
    <row r="67" spans="1:76" s="99" customFormat="1" ht="15.6" customHeight="1">
      <c r="B67" s="285">
        <v>2</v>
      </c>
      <c r="C67" s="166" t="str">
        <f>IF(D67="","",C12)</f>
        <v/>
      </c>
      <c r="D67" s="237" t="str">
        <f>IF(OR(K12="", K12=0),"",D12)</f>
        <v/>
      </c>
      <c r="E67" s="207" t="str">
        <f>IF(AX67="","",AX67)</f>
        <v/>
      </c>
      <c r="F67" s="739"/>
      <c r="G67" s="740"/>
      <c r="H67" s="204" t="str">
        <f>IF(D67="","",AB67)</f>
        <v/>
      </c>
      <c r="I67" s="333" t="str">
        <f>IF(OR(K12="", K12=0),"",K12)</f>
        <v/>
      </c>
      <c r="J67" s="877" t="str">
        <f>IFERROR(IF(F67="","",VLOOKUP(F67,'10. Condition and Temporal'!$B$6:$F$103,5,FALSE)), "Error ▲")</f>
        <v/>
      </c>
      <c r="K67" s="878"/>
      <c r="L67" s="304" t="str">
        <f>IFERROR(IF(D67="","",IF(AX67="Distinctiveness",(((((I67*AH67*AJ67)-(I67*V67*X67))*(AV67*AT67))+(I67*V67*X67))*AP67/1000),((((I67*AH67*AJ67)-(I67*V67*X67))*(AV67*AR67))+(I67*V67*X67))*AP67/1000)),"This intervention is not permitted within the SSM ▲")</f>
        <v/>
      </c>
      <c r="M67" s="790" t="str">
        <f>IFERROR(IF(F67="","",L67-AD67), "Error ▲")</f>
        <v/>
      </c>
      <c r="N67" s="879"/>
      <c r="O67" s="135"/>
      <c r="P67" s="87"/>
      <c r="R67" s="655"/>
      <c r="T67" s="217" t="str">
        <f>IF(D67="","",K12)</f>
        <v/>
      </c>
      <c r="U67" s="161" t="str">
        <f>IF($D67="","",T12)</f>
        <v/>
      </c>
      <c r="V67" s="162" t="str">
        <f>IF($D67="","",V12)</f>
        <v/>
      </c>
      <c r="W67" s="161" t="str">
        <f>IF($D67="","",W12)</f>
        <v/>
      </c>
      <c r="X67" s="60" t="str">
        <f>IF($D67="","",X12)</f>
        <v/>
      </c>
      <c r="Y67" s="349"/>
      <c r="Z67" s="349"/>
      <c r="AA67" s="349"/>
      <c r="AB67" s="60" t="str">
        <f>IF($D67="","",AB12)</f>
        <v/>
      </c>
      <c r="AC67" s="163" t="str">
        <f>IF($D67="","",AD12)</f>
        <v/>
      </c>
      <c r="AD67" s="162" t="str">
        <f>IF(AC67="","",(T67*V67*X67)*AC67/1000)</f>
        <v/>
      </c>
      <c r="AE67" s="219" t="str">
        <f>IF(AD67="","",IF(AH67&lt;V67,"Not Acceptable","Acceptable"))</f>
        <v/>
      </c>
      <c r="AF67" s="160" t="str">
        <f>IF(D67="","",I67)</f>
        <v/>
      </c>
      <c r="AG67" s="161" t="str">
        <f>IF(D67="","",VLOOKUP(F67,'9. All Habitats + Multipliers'!$C$4:$K$102,5,FALSE))</f>
        <v/>
      </c>
      <c r="AH67" s="162" t="str">
        <f>IF(AG67="","",VLOOKUP(AG67,'11. Lists'!$S$47:$U$50,2,FALSE))</f>
        <v/>
      </c>
      <c r="AI67" s="160" t="str">
        <f>IF(D67="","",J67)</f>
        <v/>
      </c>
      <c r="AJ67" s="61" t="str">
        <f>IF(AI67="","",VLOOKUP(AI67,'11. Lists'!$F$47:$G$51,2,FALSE))</f>
        <v/>
      </c>
      <c r="AK67" s="349"/>
      <c r="AL67" s="349"/>
      <c r="AM67" s="349"/>
      <c r="AN67" s="150" t="str">
        <f>IF(H67="","",H67)</f>
        <v/>
      </c>
      <c r="AO67" s="164" t="str">
        <f>IF(AN67="","",VLOOKUP(AN67,'11. Lists'!$F$36:$H$38,2,FALSE))</f>
        <v/>
      </c>
      <c r="AP67" s="162" t="str">
        <f>IF(AN67="","",VLOOKUP(AN67,'11. Lists'!$F$36:$H$38,3,FALSE))</f>
        <v/>
      </c>
      <c r="AQ67" s="161" t="str">
        <f>IF(D67="","",IF(AX67="Distinctiveness","N/A",VLOOKUP(F67,'10. Condition and Temporal'!$B$6:$L$103,11,FALSE)))</f>
        <v/>
      </c>
      <c r="AR67" s="165" t="str">
        <f>IF(AQ67="","",IF(AQ67="N/A","1",VLOOKUP(AQ67,'11. Lists'!$I$47:$K$80,3,FALSE)))</f>
        <v/>
      </c>
      <c r="AS67" s="180" t="str">
        <f>IF(D67="","",IF(AX67="Condition","N/A",VLOOKUP(F67,'10. Condition and Temporal'!$B$6:$M$106,12,FALSE)))</f>
        <v/>
      </c>
      <c r="AT67" s="165" t="str">
        <f>IF(AS67="","",IF(AS67="N/A","1",VLOOKUP(AS67,'11. Lists'!$I$47:$K$80,3,FALSE)))</f>
        <v/>
      </c>
      <c r="AU67" s="164" t="str">
        <f>IF(D67="","",VLOOKUP(F67,'9. All Habitats + Multipliers'!$C$4:$K$102,8,FALSE))</f>
        <v/>
      </c>
      <c r="AV67" s="162" t="str">
        <f>IF(AU67="","",VLOOKUP(AU67,'11. Lists'!$J$35:$K$38,2,FALSE))</f>
        <v/>
      </c>
      <c r="AW67" s="161" t="str">
        <f>IF(D67="","",VLOOKUP(D67,'10. Condition and Temporal'!$B$6:$M$103,4,FALSE))</f>
        <v/>
      </c>
      <c r="AX67" s="162" t="str">
        <f>IF(F67="","",IF(D67=F67,"Condition","Distinctiveness"))</f>
        <v/>
      </c>
      <c r="AZ67" s="235"/>
      <c r="BA67" s="61">
        <v>2</v>
      </c>
      <c r="BB67" s="60" t="str">
        <f>TRIM(MID(SUBSTITUTE($AW$66,$BA$62,REPT(" ",LEN($AW$66))),($BA67-1)*LEN($AW$66)+1,LEN($AW$66)))</f>
        <v/>
      </c>
      <c r="BC67" s="60" t="str">
        <f>TRIM(MID(SUBSTITUTE($AW$67,$BA$62,REPT(" ",LEN($AW$67))),($BA67-1)*LEN($AW$67)+1,LEN($AW$67)))</f>
        <v/>
      </c>
      <c r="BD67" s="60" t="str">
        <f>TRIM(MID(SUBSTITUTE($AW$68,$BA$62,REPT(" ",LEN($AW$68))),($BA67-1)*LEN($AW$68)+1,LEN($AW$68)))</f>
        <v/>
      </c>
      <c r="BE67" s="60" t="str">
        <f>TRIM(MID(SUBSTITUTE($AW$69,$BA$62,REPT(" ",LEN($AW$69))),($BA67-1)*LEN($AW$69)+1,LEN($AW$69)))</f>
        <v/>
      </c>
      <c r="BF67" s="60" t="str">
        <f>TRIM(MID(SUBSTITUTE($AW$70,$BA$62,REPT(" ",LEN($AW$70))),($BA67-1)*LEN($AW$70)+1,LEN($AW$70)))</f>
        <v/>
      </c>
      <c r="BG67" s="60" t="str">
        <f>TRIM(MID(SUBSTITUTE($AW$71,$BA$62,REPT(" ",LEN($AW$71))),($BA67-1)*LEN($AW$71)+1,LEN($AW$71)))</f>
        <v/>
      </c>
      <c r="BH67" s="60" t="str">
        <f>TRIM(MID(SUBSTITUTE($AW$72,$BA$62,REPT(" ",LEN($AW$72))),($BA67-1)*LEN($AW$72)+1,LEN($AW$72)))</f>
        <v/>
      </c>
      <c r="BI67" s="60" t="str">
        <f>TRIM(MID(SUBSTITUTE($AW$73,$BA$62,REPT(" ",LEN($AW$73))),($BA67-1)*LEN($AW$73)+1,LEN($AW$73)))</f>
        <v/>
      </c>
      <c r="BJ67" s="60" t="str">
        <f>TRIM(MID(SUBSTITUTE($AW$74,$BA$62,REPT(" ",LEN($AW$74))),($BA67-1)*LEN($AW$74)+1,LEN($AW$74)))</f>
        <v/>
      </c>
      <c r="BK67" s="60" t="str">
        <f>TRIM(MID(SUBSTITUTE($AW$75,$BA$62,REPT(" ",LEN($AW$75))),($BA67-1)*LEN($AW$75)+1,LEN($AW$75)))</f>
        <v/>
      </c>
      <c r="BL67" s="60" t="str">
        <f>TRIM(MID(SUBSTITUTE($AW$76,$BA$62,REPT(" ",LEN($AW$76))),($BA67-1)*LEN($AW$76)+1,LEN($AW$76)))</f>
        <v/>
      </c>
      <c r="BM67" s="60" t="str">
        <f>TRIM(MID(SUBSTITUTE($AW$77,$BA$62,REPT(" ",LEN($AW$77))),($BA67-1)*LEN($AW$77)+1,LEN($AW$77)))</f>
        <v/>
      </c>
      <c r="BN67" s="60" t="str">
        <f>TRIM(MID(SUBSTITUTE($AW$78,$BA$62,REPT(" ",LEN($AW$78))),($BA67-1)*LEN($AW$78)+1,LEN($AW$78)))</f>
        <v/>
      </c>
      <c r="BO67" s="60" t="str">
        <f>TRIM(MID(SUBSTITUTE($AW$79,$BA$62,REPT(" ",LEN($AW$79))),($BA67-1)*LEN($AW$79)+1,LEN($AW$79)))</f>
        <v/>
      </c>
      <c r="BP67" s="60" t="str">
        <f>TRIM(MID(SUBSTITUTE($AW$80,$BA$62,REPT(" ",LEN($AW$80))),($BA67-1)*LEN($AW$80)+1,LEN($AW$80)))</f>
        <v/>
      </c>
      <c r="BQ67" s="60" t="str">
        <f>TRIM(MID(SUBSTITUTE($AW$81,$BA$62,REPT(" ",LEN($AW$81))),($BA67-1)*LEN($AW$81)+1,LEN($AW$81)))</f>
        <v/>
      </c>
      <c r="BR67" s="60" t="str">
        <f>TRIM(MID(SUBSTITUTE($AW$82,$BA$62,REPT(" ",LEN($AW$82))),($BA67-1)*LEN($AW$82)+1,LEN($AW$82)))</f>
        <v/>
      </c>
      <c r="BS67" s="60" t="str">
        <f>TRIM(MID(SUBSTITUTE($AW$83,$BA$62,REPT(" ",LEN($AW$83))),($BA67-1)*LEN($AW$83)+1,LEN($AW$83)))</f>
        <v/>
      </c>
      <c r="BT67" s="60" t="str">
        <f>TRIM(MID(SUBSTITUTE($AW$84,$BA$62,REPT(" ",LEN($AW$84))),($BA67-1)*LEN($AW$84)+1,LEN($AW$84)))</f>
        <v/>
      </c>
      <c r="BU67" s="150" t="str">
        <f>TRIM(MID(SUBSTITUTE($AW$85,$BA$62,REPT(" ",LEN($AW$85))),($BA67-1)*LEN($AW$85)+1,LEN($AW$85)))</f>
        <v/>
      </c>
      <c r="BV67" s="224" t="str">
        <f>IF(BX67=0,"",CONCATENATE(BW67,"66:",BW67,BX67+65))</f>
        <v/>
      </c>
      <c r="BW67" s="60" t="s">
        <v>190</v>
      </c>
      <c r="BX67" s="60">
        <f>BC64</f>
        <v>0</v>
      </c>
    </row>
    <row r="68" spans="1:76" s="99" customFormat="1" ht="15.6" customHeight="1">
      <c r="B68" s="285">
        <v>3</v>
      </c>
      <c r="C68" s="166" t="str">
        <f>IF(D68="","",C13)</f>
        <v/>
      </c>
      <c r="D68" s="237" t="str">
        <f>IF(OR(K13="", K13=0),"",D13)</f>
        <v/>
      </c>
      <c r="E68" s="207" t="str">
        <f>IF(AX68="","",AX68)</f>
        <v/>
      </c>
      <c r="F68" s="739"/>
      <c r="G68" s="740"/>
      <c r="H68" s="204" t="str">
        <f>IF(D68="","",AB68)</f>
        <v/>
      </c>
      <c r="I68" s="333" t="str">
        <f>IF(OR(K13="", K13=0),"",K13)</f>
        <v/>
      </c>
      <c r="J68" s="877" t="str">
        <f>IFERROR(IF(F68="","",VLOOKUP(F68,'10. Condition and Temporal'!$B$6:$F$103,5,FALSE)), "Error ▲")</f>
        <v/>
      </c>
      <c r="K68" s="878"/>
      <c r="L68" s="304" t="str">
        <f>IFERROR(IF(D68="","",IF(AX68="Distinctiveness",(((((I68*AH68*AJ68)-(I68*V68*X68))*(AV68*AT68))+(I68*V68*X68))*AP68/1000),((((I68*AH68*AJ68)-(I68*V68*X68))*(AV68*AR68))+(I68*V68*X68))*AP68/1000)),"This intervention is not permitted within the SSM ▲")</f>
        <v/>
      </c>
      <c r="M68" s="790" t="str">
        <f>IFERROR(IF(F68="","",L68-AD68), "Error ▲")</f>
        <v/>
      </c>
      <c r="N68" s="879"/>
      <c r="O68" s="135"/>
      <c r="P68" s="87"/>
      <c r="R68" s="655"/>
      <c r="T68" s="217" t="str">
        <f>IF(D68="","",K13)</f>
        <v/>
      </c>
      <c r="U68" s="161" t="str">
        <f>IF($D68="","",T13)</f>
        <v/>
      </c>
      <c r="V68" s="162" t="str">
        <f>IF($D68="","",V13)</f>
        <v/>
      </c>
      <c r="W68" s="161" t="str">
        <f>IF($D68="","",W13)</f>
        <v/>
      </c>
      <c r="X68" s="60" t="str">
        <f>IF($D68="","",X13)</f>
        <v/>
      </c>
      <c r="Y68" s="349"/>
      <c r="Z68" s="349"/>
      <c r="AA68" s="349"/>
      <c r="AB68" s="60" t="str">
        <f>IF($D68="","",AB13)</f>
        <v/>
      </c>
      <c r="AC68" s="163" t="str">
        <f>IF($D68="","",AD13)</f>
        <v/>
      </c>
      <c r="AD68" s="162" t="str">
        <f>IF(AC68="","",(T68*V68*X68)*AC68/1000)</f>
        <v/>
      </c>
      <c r="AE68" s="219" t="str">
        <f>IF(AD68="","",IF(AH68&lt;V68,"Not Acceptable","Acceptable"))</f>
        <v/>
      </c>
      <c r="AF68" s="160" t="str">
        <f>IF(D68="","",I68)</f>
        <v/>
      </c>
      <c r="AG68" s="161" t="str">
        <f>IF(D68="","",VLOOKUP(F68,'9. All Habitats + Multipliers'!$C$4:$K$102,5,FALSE))</f>
        <v/>
      </c>
      <c r="AH68" s="162" t="str">
        <f>IF(AG68="","",VLOOKUP(AG68,'11. Lists'!$S$47:$U$50,2,FALSE))</f>
        <v/>
      </c>
      <c r="AI68" s="160" t="str">
        <f>IF(D68="","",J68)</f>
        <v/>
      </c>
      <c r="AJ68" s="61" t="str">
        <f>IF(AI68="","",VLOOKUP(AI68,'11. Lists'!$F$47:$G$51,2,FALSE))</f>
        <v/>
      </c>
      <c r="AK68" s="349"/>
      <c r="AL68" s="349"/>
      <c r="AM68" s="349"/>
      <c r="AN68" s="150" t="str">
        <f>IF(H68="","",H68)</f>
        <v/>
      </c>
      <c r="AO68" s="164" t="str">
        <f>IF(AN68="","",VLOOKUP(AN68,'11. Lists'!$F$36:$H$38,2,FALSE))</f>
        <v/>
      </c>
      <c r="AP68" s="162" t="str">
        <f>IF(AN68="","",VLOOKUP(AN68,'11. Lists'!$F$36:$H$38,3,FALSE))</f>
        <v/>
      </c>
      <c r="AQ68" s="161" t="str">
        <f>IF(D68="","",IF(AX68="Distinctiveness","N/A",VLOOKUP(F68,'10. Condition and Temporal'!$B$6:$L$103,11,FALSE)))</f>
        <v/>
      </c>
      <c r="AR68" s="165" t="str">
        <f>IF(AQ68="","",IF(AQ68="N/A","1",VLOOKUP(AQ68,'11. Lists'!$I$47:$K$80,3,FALSE)))</f>
        <v/>
      </c>
      <c r="AS68" s="180" t="str">
        <f>IF(D68="","",IF(AX68="Condition","N/A",VLOOKUP(F68,'10. Condition and Temporal'!$B$6:$M$106,12,FALSE)))</f>
        <v/>
      </c>
      <c r="AT68" s="165" t="str">
        <f>IF(AS68="","",IF(AS68="N/A","1",VLOOKUP(AS68,'11. Lists'!$I$47:$K$80,3,FALSE)))</f>
        <v/>
      </c>
      <c r="AU68" s="164" t="str">
        <f>IF(D68="","",VLOOKUP(F68,'9. All Habitats + Multipliers'!$C$4:$K$102,8,FALSE))</f>
        <v/>
      </c>
      <c r="AV68" s="162" t="str">
        <f>IF(AU68="","",VLOOKUP(AU68,'11. Lists'!$J$35:$K$38,2,FALSE))</f>
        <v/>
      </c>
      <c r="AW68" s="161" t="str">
        <f>IF(D68="","",VLOOKUP(D68,'10. Condition and Temporal'!$B$6:$M$103,4,FALSE))</f>
        <v/>
      </c>
      <c r="AX68" s="162" t="str">
        <f>IF(F68="","",IF(D68=F68,"Condition","Distinctiveness"))</f>
        <v/>
      </c>
      <c r="AZ68" s="235"/>
      <c r="BA68" s="61">
        <v>3</v>
      </c>
      <c r="BB68" s="60" t="str">
        <f>TRIM(MID(SUBSTITUTE($AW$66,$BA$62,REPT(" ",LEN($AW$66))),($BA68-1)*LEN($AW$66)+1,LEN($AW$66)))</f>
        <v/>
      </c>
      <c r="BC68" s="60" t="str">
        <f>TRIM(MID(SUBSTITUTE($AW$67,$BA$62,REPT(" ",LEN($AW$67))),($BA68-1)*LEN($AW$67)+1,LEN($AW$67)))</f>
        <v/>
      </c>
      <c r="BD68" s="60" t="str">
        <f>TRIM(MID(SUBSTITUTE($AW$68,$BA$62,REPT(" ",LEN($AW$68))),($BA68-1)*LEN($AW$68)+1,LEN($AW$68)))</f>
        <v/>
      </c>
      <c r="BE68" s="60" t="str">
        <f>TRIM(MID(SUBSTITUTE($AW$69,$BA$62,REPT(" ",LEN($AW$69))),($BA68-1)*LEN($AW$69)+1,LEN($AW$69)))</f>
        <v/>
      </c>
      <c r="BF68" s="60" t="str">
        <f>TRIM(MID(SUBSTITUTE($AW$70,$BA$62,REPT(" ",LEN($AW$70))),($BA68-1)*LEN($AW$70)+1,LEN($AW$70)))</f>
        <v/>
      </c>
      <c r="BG68" s="60" t="str">
        <f>TRIM(MID(SUBSTITUTE($AW$71,$BA$62,REPT(" ",LEN($AW$71))),($BA68-1)*LEN($AW$71)+1,LEN($AW$71)))</f>
        <v/>
      </c>
      <c r="BH68" s="60" t="str">
        <f>TRIM(MID(SUBSTITUTE($AW$72,$BA$62,REPT(" ",LEN($AW$72))),($BA68-1)*LEN($AW$72)+1,LEN($AW$72)))</f>
        <v/>
      </c>
      <c r="BI68" s="60" t="str">
        <f>TRIM(MID(SUBSTITUTE($AW$73,$BA$62,REPT(" ",LEN($AW$73))),($BA68-1)*LEN($AW$73)+1,LEN($AW$73)))</f>
        <v/>
      </c>
      <c r="BJ68" s="60" t="str">
        <f>TRIM(MID(SUBSTITUTE($AW$74,$BA$62,REPT(" ",LEN($AW$74))),($BA68-1)*LEN($AW$74)+1,LEN($AW$74)))</f>
        <v/>
      </c>
      <c r="BK68" s="60" t="str">
        <f>TRIM(MID(SUBSTITUTE($AW$75,$BA$62,REPT(" ",LEN($AW$75))),($BA68-1)*LEN($AW$75)+1,LEN($AW$75)))</f>
        <v/>
      </c>
      <c r="BL68" s="60" t="str">
        <f>TRIM(MID(SUBSTITUTE($AW$76,$BA$62,REPT(" ",LEN($AW$76))),($BA68-1)*LEN($AW$76)+1,LEN($AW$76)))</f>
        <v/>
      </c>
      <c r="BM68" s="60" t="str">
        <f>TRIM(MID(SUBSTITUTE($AW$77,$BA$62,REPT(" ",LEN($AW$77))),($BA68-1)*LEN($AW$77)+1,LEN($AW$77)))</f>
        <v/>
      </c>
      <c r="BN68" s="60" t="str">
        <f>TRIM(MID(SUBSTITUTE($AW$78,$BA$62,REPT(" ",LEN($AW$78))),($BA68-1)*LEN($AW$78)+1,LEN($AW$78)))</f>
        <v/>
      </c>
      <c r="BO68" s="60" t="str">
        <f>TRIM(MID(SUBSTITUTE($AW$79,$BA$62,REPT(" ",LEN($AW$79))),($BA68-1)*LEN($AW$79)+1,LEN($AW$79)))</f>
        <v/>
      </c>
      <c r="BP68" s="60" t="str">
        <f>TRIM(MID(SUBSTITUTE($AW$80,$BA$62,REPT(" ",LEN($AW$80))),($BA68-1)*LEN($AW$80)+1,LEN($AW$80)))</f>
        <v/>
      </c>
      <c r="BQ68" s="60" t="str">
        <f>TRIM(MID(SUBSTITUTE($AW$81,$BA$62,REPT(" ",LEN($AW$81))),($BA68-1)*LEN($AW$81)+1,LEN($AW$81)))</f>
        <v/>
      </c>
      <c r="BR68" s="60" t="str">
        <f>TRIM(MID(SUBSTITUTE($AW$82,$BA$62,REPT(" ",LEN($AW$82))),($BA68-1)*LEN($AW$82)+1,LEN($AW$82)))</f>
        <v/>
      </c>
      <c r="BS68" s="60" t="str">
        <f>TRIM(MID(SUBSTITUTE($AW$83,$BA$62,REPT(" ",LEN($AW$83))),($BA68-1)*LEN($AW$83)+1,LEN($AW$83)))</f>
        <v/>
      </c>
      <c r="BT68" s="60" t="str">
        <f>TRIM(MID(SUBSTITUTE($AW$84,$BA$62,REPT(" ",LEN($AW$84))),($BA68-1)*LEN($AW$84)+1,LEN($AW$84)))</f>
        <v/>
      </c>
      <c r="BU68" s="150" t="str">
        <f>TRIM(MID(SUBSTITUTE($AW$85,$BA$62,REPT(" ",LEN($AW$85))),($BA68-1)*LEN($AW$85)+1,LEN($AW$85)))</f>
        <v/>
      </c>
      <c r="BV68" s="224" t="str">
        <f>IF(BX68=0,"",CONCATENATE(BW68,"66:",BW68,BX68+65))</f>
        <v/>
      </c>
      <c r="BW68" s="60" t="s">
        <v>191</v>
      </c>
      <c r="BX68" s="60">
        <f>BD64</f>
        <v>0</v>
      </c>
    </row>
    <row r="69" spans="1:76" s="99" customFormat="1" ht="15.6" customHeight="1">
      <c r="B69" s="285">
        <v>4</v>
      </c>
      <c r="C69" s="166" t="str">
        <f>IF(D69="","",C14)</f>
        <v/>
      </c>
      <c r="D69" s="237" t="str">
        <f>IF(OR(K14="", K14=0),"",D14)</f>
        <v/>
      </c>
      <c r="E69" s="207" t="str">
        <f>IF(AX69="","",AX69)</f>
        <v/>
      </c>
      <c r="F69" s="739"/>
      <c r="G69" s="740"/>
      <c r="H69" s="204" t="str">
        <f>IF(D69="","",AB69)</f>
        <v/>
      </c>
      <c r="I69" s="333" t="str">
        <f>IF(OR(K14="", K14=0),"",K14)</f>
        <v/>
      </c>
      <c r="J69" s="877" t="str">
        <f>IFERROR(IF(F69="","",VLOOKUP(F69,'10. Condition and Temporal'!$B$6:$F$103,5,FALSE)), "Error ▲")</f>
        <v/>
      </c>
      <c r="K69" s="878"/>
      <c r="L69" s="304" t="str">
        <f>IFERROR(IF(D69="","",IF(AX69="Distinctiveness",(((((I69*AH69*AJ69)-(I69*V69*X69))*(AV69*AT69))+(I69*V69*X69))*AP69/1000),((((I69*AH69*AJ69)-(I69*V69*X69))*(AV69*AR69))+(I69*V69*X69))*AP69/1000)),"This intervention is not permitted within the SSM ▲")</f>
        <v/>
      </c>
      <c r="M69" s="790" t="str">
        <f>IFERROR(IF(F69="","",L69-AD69), "Error ▲")</f>
        <v/>
      </c>
      <c r="N69" s="879"/>
      <c r="O69" s="135"/>
      <c r="P69" s="87"/>
      <c r="R69" s="655"/>
      <c r="T69" s="217" t="str">
        <f>IF(D69="","",K14)</f>
        <v/>
      </c>
      <c r="U69" s="161" t="str">
        <f>IF($D69="","",T14)</f>
        <v/>
      </c>
      <c r="V69" s="162" t="str">
        <f>IF($D69="","",V14)</f>
        <v/>
      </c>
      <c r="W69" s="161" t="str">
        <f>IF($D69="","",W14)</f>
        <v/>
      </c>
      <c r="X69" s="60" t="str">
        <f>IF($D69="","",X14)</f>
        <v/>
      </c>
      <c r="Y69" s="349"/>
      <c r="Z69" s="349"/>
      <c r="AA69" s="349"/>
      <c r="AB69" s="60" t="str">
        <f>IF($D69="","",AB14)</f>
        <v/>
      </c>
      <c r="AC69" s="163" t="str">
        <f>IF($D69="","",AD14)</f>
        <v/>
      </c>
      <c r="AD69" s="162" t="str">
        <f>IF(AC69="","",(T69*V69*X69)*AC69/1000)</f>
        <v/>
      </c>
      <c r="AE69" s="219" t="str">
        <f>IF(AD69="","",IF(AH69&lt;V69,"Not Acceptable","Acceptable"))</f>
        <v/>
      </c>
      <c r="AF69" s="160" t="str">
        <f>IF(D69="","",I69)</f>
        <v/>
      </c>
      <c r="AG69" s="161" t="str">
        <f>IF(D69="","",VLOOKUP(F69,'9. All Habitats + Multipliers'!$C$4:$K$102,5,FALSE))</f>
        <v/>
      </c>
      <c r="AH69" s="162" t="str">
        <f>IF(AG69="","",VLOOKUP(AG69,'11. Lists'!$S$47:$U$50,2,FALSE))</f>
        <v/>
      </c>
      <c r="AI69" s="160" t="str">
        <f>IF(D69="","",J69)</f>
        <v/>
      </c>
      <c r="AJ69" s="61" t="str">
        <f>IF(AI69="","",VLOOKUP(AI69,'11. Lists'!$F$47:$G$51,2,FALSE))</f>
        <v/>
      </c>
      <c r="AK69" s="349"/>
      <c r="AL69" s="349"/>
      <c r="AM69" s="349"/>
      <c r="AN69" s="150" t="str">
        <f>IF(H69="","",H69)</f>
        <v/>
      </c>
      <c r="AO69" s="164" t="str">
        <f>IF(AN69="","",VLOOKUP(AN69,'11. Lists'!$F$36:$H$38,2,FALSE))</f>
        <v/>
      </c>
      <c r="AP69" s="162" t="str">
        <f>IF(AN69="","",VLOOKUP(AN69,'11. Lists'!$F$36:$H$38,3,FALSE))</f>
        <v/>
      </c>
      <c r="AQ69" s="161" t="str">
        <f>IF(D69="","",IF(AX69="Distinctiveness","N/A",VLOOKUP(F69,'10. Condition and Temporal'!$B$6:$L$103,11,FALSE)))</f>
        <v/>
      </c>
      <c r="AR69" s="165" t="str">
        <f>IF(AQ69="","",IF(AQ69="N/A","1",VLOOKUP(AQ69,'11. Lists'!$I$47:$K$80,3,FALSE)))</f>
        <v/>
      </c>
      <c r="AS69" s="180" t="str">
        <f>IF(D69="","",IF(AX69="Condition","N/A",VLOOKUP(F69,'10. Condition and Temporal'!$B$6:$M$106,12,FALSE)))</f>
        <v/>
      </c>
      <c r="AT69" s="165" t="str">
        <f>IF(AS69="","",IF(AS69="N/A","1",VLOOKUP(AS69,'11. Lists'!$I$47:$K$80,3,FALSE)))</f>
        <v/>
      </c>
      <c r="AU69" s="164" t="str">
        <f>IF(D69="","",VLOOKUP(F69,'9. All Habitats + Multipliers'!$C$4:$K$102,8,FALSE))</f>
        <v/>
      </c>
      <c r="AV69" s="162" t="str">
        <f>IF(AU69="","",VLOOKUP(AU69,'11. Lists'!$J$35:$K$38,2,FALSE))</f>
        <v/>
      </c>
      <c r="AW69" s="161" t="str">
        <f>IF(D69="","",VLOOKUP(D69,'10. Condition and Temporal'!$B$6:$M$103,4,FALSE))</f>
        <v/>
      </c>
      <c r="AX69" s="162" t="str">
        <f>IF(F69="","",IF(D69=F69,"Condition","Distinctiveness"))</f>
        <v/>
      </c>
      <c r="AZ69" s="235"/>
      <c r="BA69" s="61">
        <v>4</v>
      </c>
      <c r="BB69" s="60" t="str">
        <f>TRIM(MID(SUBSTITUTE($AW$66,$BA$62,REPT(" ",LEN($AW$66))),($BA69-1)*LEN($AW$66)+1,LEN($AW$66)))</f>
        <v/>
      </c>
      <c r="BC69" s="60" t="str">
        <f>TRIM(MID(SUBSTITUTE($AW$67,$BA$62,REPT(" ",LEN($AW$67))),($BA69-1)*LEN($AW$67)+1,LEN($AW$67)))</f>
        <v/>
      </c>
      <c r="BD69" s="60" t="str">
        <f>TRIM(MID(SUBSTITUTE($AW$68,$BA$62,REPT(" ",LEN($AW$68))),($BA69-1)*LEN($AW$68)+1,LEN($AW$68)))</f>
        <v/>
      </c>
      <c r="BE69" s="60" t="str">
        <f>TRIM(MID(SUBSTITUTE($AW$69,$BA$62,REPT(" ",LEN($AW$69))),($BA69-1)*LEN($AW$69)+1,LEN($AW$69)))</f>
        <v/>
      </c>
      <c r="BF69" s="60" t="str">
        <f>TRIM(MID(SUBSTITUTE($AW$70,$BA$62,REPT(" ",LEN($AW$70))),($BA69-1)*LEN($AW$70)+1,LEN($AW$70)))</f>
        <v/>
      </c>
      <c r="BG69" s="60" t="str">
        <f>TRIM(MID(SUBSTITUTE($AW$71,$BA$62,REPT(" ",LEN($AW$71))),($BA69-1)*LEN($AW$71)+1,LEN($AW$71)))</f>
        <v/>
      </c>
      <c r="BH69" s="60" t="str">
        <f>TRIM(MID(SUBSTITUTE($AW$72,$BA$62,REPT(" ",LEN($AW$72))),($BA69-1)*LEN($AW$72)+1,LEN($AW$72)))</f>
        <v/>
      </c>
      <c r="BI69" s="60" t="str">
        <f>TRIM(MID(SUBSTITUTE($AW$73,$BA$62,REPT(" ",LEN($AW$73))),($BA69-1)*LEN($AW$73)+1,LEN($AW$73)))</f>
        <v/>
      </c>
      <c r="BJ69" s="60" t="str">
        <f>TRIM(MID(SUBSTITUTE($AW$74,$BA$62,REPT(" ",LEN($AW$74))),($BA69-1)*LEN($AW$74)+1,LEN($AW$74)))</f>
        <v/>
      </c>
      <c r="BK69" s="60" t="str">
        <f>TRIM(MID(SUBSTITUTE($AW$75,$BA$62,REPT(" ",LEN($AW$75))),($BA69-1)*LEN($AW$75)+1,LEN($AW$75)))</f>
        <v/>
      </c>
      <c r="BL69" s="60" t="str">
        <f>TRIM(MID(SUBSTITUTE($AW$76,$BA$62,REPT(" ",LEN($AW$76))),($BA69-1)*LEN($AW$76)+1,LEN($AW$76)))</f>
        <v/>
      </c>
      <c r="BM69" s="60" t="str">
        <f>TRIM(MID(SUBSTITUTE($AW$77,$BA$62,REPT(" ",LEN($AW$77))),($BA69-1)*LEN($AW$77)+1,LEN($AW$77)))</f>
        <v/>
      </c>
      <c r="BN69" s="60" t="str">
        <f>TRIM(MID(SUBSTITUTE($AW$78,$BA$62,REPT(" ",LEN($AW$78))),($BA69-1)*LEN($AW$78)+1,LEN($AW$78)))</f>
        <v/>
      </c>
      <c r="BO69" s="60" t="str">
        <f>TRIM(MID(SUBSTITUTE($AW$79,$BA$62,REPT(" ",LEN($AW$79))),($BA69-1)*LEN($AW$79)+1,LEN($AW$79)))</f>
        <v/>
      </c>
      <c r="BP69" s="60" t="str">
        <f>TRIM(MID(SUBSTITUTE($AW$80,$BA$62,REPT(" ",LEN($AW$80))),($BA69-1)*LEN($AW$80)+1,LEN($AW$80)))</f>
        <v/>
      </c>
      <c r="BQ69" s="60" t="str">
        <f>TRIM(MID(SUBSTITUTE($AW$81,$BA$62,REPT(" ",LEN($AW$81))),($BA69-1)*LEN($AW$81)+1,LEN($AW$81)))</f>
        <v/>
      </c>
      <c r="BR69" s="60" t="str">
        <f>TRIM(MID(SUBSTITUTE($AW$82,$BA$62,REPT(" ",LEN($AW$82))),($BA69-1)*LEN($AW$82)+1,LEN($AW$82)))</f>
        <v/>
      </c>
      <c r="BS69" s="60" t="str">
        <f>TRIM(MID(SUBSTITUTE($AW$83,$BA$62,REPT(" ",LEN($AW$83))),($BA69-1)*LEN($AW$83)+1,LEN($AW$83)))</f>
        <v/>
      </c>
      <c r="BT69" s="60" t="str">
        <f>TRIM(MID(SUBSTITUTE($AW$84,$BA$62,REPT(" ",LEN($AW$84))),($BA69-1)*LEN($AW$84)+1,LEN($AW$84)))</f>
        <v/>
      </c>
      <c r="BU69" s="150" t="str">
        <f>TRIM(MID(SUBSTITUTE($AW$85,$BA$62,REPT(" ",LEN($AW$85))),($BA69-1)*LEN($AW$85)+1,LEN($AW$85)))</f>
        <v/>
      </c>
      <c r="BV69" s="224" t="str">
        <f>IF(BX69=0,"",CONCATENATE(BW69,"66:",BW69,BX69+65))</f>
        <v/>
      </c>
      <c r="BW69" s="60" t="s">
        <v>192</v>
      </c>
      <c r="BX69" s="60">
        <f>BE64</f>
        <v>0</v>
      </c>
    </row>
    <row r="70" spans="1:76" s="99" customFormat="1" ht="15.6" customHeight="1">
      <c r="B70" s="285">
        <v>5</v>
      </c>
      <c r="C70" s="166" t="str">
        <f>IF(D70="","",C15)</f>
        <v/>
      </c>
      <c r="D70" s="237" t="str">
        <f>IF(OR(K15="", K15=0),"",D15)</f>
        <v/>
      </c>
      <c r="E70" s="207" t="str">
        <f>IF(AX70="","",AX70)</f>
        <v/>
      </c>
      <c r="F70" s="739"/>
      <c r="G70" s="740"/>
      <c r="H70" s="204" t="str">
        <f>IF(D70="","",AB70)</f>
        <v/>
      </c>
      <c r="I70" s="333" t="str">
        <f>IF(OR(K15="", K15=0),"",K15)</f>
        <v/>
      </c>
      <c r="J70" s="877" t="str">
        <f>IFERROR(IF(F70="","",VLOOKUP(F70,'10. Condition and Temporal'!$B$6:$F$103,5,FALSE)), "Error ▲")</f>
        <v/>
      </c>
      <c r="K70" s="878"/>
      <c r="L70" s="304" t="str">
        <f>IFERROR(IF(D70="","",IF(AX70="Distinctiveness",(((((I70*AH70*AJ70)-(I70*V70*X70))*(AV70*AT70))+(I70*V70*X70))*AP70/1000),((((I70*AH70*AJ70)-(I70*V70*X70))*(AV70*AR70))+(I70*V70*X70))*AP70/1000)),"This intervention is not permitted within the SSM ▲")</f>
        <v/>
      </c>
      <c r="M70" s="790" t="str">
        <f>IFERROR(IF(F70="","",L70-AD70), "Error ▲")</f>
        <v/>
      </c>
      <c r="N70" s="879"/>
      <c r="O70" s="135"/>
      <c r="P70" s="87"/>
      <c r="R70" s="655"/>
      <c r="T70" s="217" t="str">
        <f>IF(D70="","",K15)</f>
        <v/>
      </c>
      <c r="U70" s="161" t="str">
        <f>IF($D70="","",T15)</f>
        <v/>
      </c>
      <c r="V70" s="162" t="str">
        <f>IF($D70="","",V15)</f>
        <v/>
      </c>
      <c r="W70" s="161" t="str">
        <f>IF($D70="","",W15)</f>
        <v/>
      </c>
      <c r="X70" s="60" t="str">
        <f>IF($D70="","",X15)</f>
        <v/>
      </c>
      <c r="Y70" s="349"/>
      <c r="Z70" s="349"/>
      <c r="AA70" s="349"/>
      <c r="AB70" s="60" t="str">
        <f>IF($D70="","",AB15)</f>
        <v/>
      </c>
      <c r="AC70" s="163" t="str">
        <f>IF($D70="","",AD15)</f>
        <v/>
      </c>
      <c r="AD70" s="162" t="str">
        <f>IF(AC70="","",(T70*V70*X70)*AC70/1000)</f>
        <v/>
      </c>
      <c r="AE70" s="219" t="str">
        <f>IF(AD70="","",IF(AH70&lt;V70,"Not Acceptable","Acceptable"))</f>
        <v/>
      </c>
      <c r="AF70" s="160" t="str">
        <f>IF(D70="","",I70)</f>
        <v/>
      </c>
      <c r="AG70" s="161" t="str">
        <f>IF(D70="","",VLOOKUP(F70,'9. All Habitats + Multipliers'!$C$4:$K$102,5,FALSE))</f>
        <v/>
      </c>
      <c r="AH70" s="162" t="str">
        <f>IF(AG70="","",VLOOKUP(AG70,'11. Lists'!$S$47:$U$50,2,FALSE))</f>
        <v/>
      </c>
      <c r="AI70" s="160" t="str">
        <f>IF(D70="","",J70)</f>
        <v/>
      </c>
      <c r="AJ70" s="61" t="str">
        <f>IF(AI70="","",VLOOKUP(AI70,'11. Lists'!$F$47:$G$51,2,FALSE))</f>
        <v/>
      </c>
      <c r="AK70" s="349"/>
      <c r="AL70" s="349"/>
      <c r="AM70" s="349"/>
      <c r="AN70" s="150" t="str">
        <f>IF(H70="","",H70)</f>
        <v/>
      </c>
      <c r="AO70" s="164" t="str">
        <f>IF(AN70="","",VLOOKUP(AN70,'11. Lists'!$F$36:$H$38,2,FALSE))</f>
        <v/>
      </c>
      <c r="AP70" s="162" t="str">
        <f>IF(AN70="","",VLOOKUP(AN70,'11. Lists'!$F$36:$H$38,3,FALSE))</f>
        <v/>
      </c>
      <c r="AQ70" s="161" t="str">
        <f>IF(D70="","",IF(AX70="Distinctiveness","N/A",VLOOKUP(F70,'10. Condition and Temporal'!$B$6:$L$103,11,FALSE)))</f>
        <v/>
      </c>
      <c r="AR70" s="165" t="str">
        <f>IF(AQ70="","",IF(AQ70="N/A","1",VLOOKUP(AQ70,'11. Lists'!$I$47:$K$80,3,FALSE)))</f>
        <v/>
      </c>
      <c r="AS70" s="180" t="str">
        <f>IF(D70="","",IF(AX70="Condition","N/A",VLOOKUP(F70,'10. Condition and Temporal'!$B$6:$M$106,12,FALSE)))</f>
        <v/>
      </c>
      <c r="AT70" s="165" t="str">
        <f>IF(AS70="","",IF(AS70="N/A","1",VLOOKUP(AS70,'11. Lists'!$I$47:$K$80,3,FALSE)))</f>
        <v/>
      </c>
      <c r="AU70" s="164" t="str">
        <f>IF(D70="","",VLOOKUP(F70,'9. All Habitats + Multipliers'!$C$4:$K$102,8,FALSE))</f>
        <v/>
      </c>
      <c r="AV70" s="162" t="str">
        <f>IF(AU70="","",VLOOKUP(AU70,'11. Lists'!$J$35:$K$38,2,FALSE))</f>
        <v/>
      </c>
      <c r="AW70" s="161" t="str">
        <f>IF(D70="","",VLOOKUP(D70,'10. Condition and Temporal'!$B$6:$M$103,4,FALSE))</f>
        <v/>
      </c>
      <c r="AX70" s="162" t="str">
        <f>IF(F70="","",IF(D70=F70,"Condition","Distinctiveness"))</f>
        <v/>
      </c>
      <c r="AZ70" s="235"/>
      <c r="BA70" s="61">
        <v>5</v>
      </c>
      <c r="BB70" s="60" t="str">
        <f>TRIM(MID(SUBSTITUTE($AW$66,$BA$62,REPT(" ",LEN($AW$66))),($BA70-1)*LEN($AW$66)+1,LEN($AW$66)))</f>
        <v/>
      </c>
      <c r="BC70" s="60" t="str">
        <f>TRIM(MID(SUBSTITUTE($AW$67,$BA$62,REPT(" ",LEN($AW$67))),($BA70-1)*LEN($AW$67)+1,LEN($AW$67)))</f>
        <v/>
      </c>
      <c r="BD70" s="60" t="str">
        <f>TRIM(MID(SUBSTITUTE($AW$68,$BA$62,REPT(" ",LEN($AW$68))),($BA70-1)*LEN($AW$68)+1,LEN($AW$68)))</f>
        <v/>
      </c>
      <c r="BE70" s="60" t="str">
        <f>TRIM(MID(SUBSTITUTE($AW$69,$BA$62,REPT(" ",LEN($AW$69))),($BA70-1)*LEN($AW$69)+1,LEN($AW$69)))</f>
        <v/>
      </c>
      <c r="BF70" s="60" t="str">
        <f>TRIM(MID(SUBSTITUTE($AW$70,$BA$62,REPT(" ",LEN($AW$70))),($BA70-1)*LEN($AW$70)+1,LEN($AW$70)))</f>
        <v/>
      </c>
      <c r="BG70" s="60" t="str">
        <f>TRIM(MID(SUBSTITUTE($AW$71,$BA$62,REPT(" ",LEN($AW$71))),($BA70-1)*LEN($AW$71)+1,LEN($AW$71)))</f>
        <v/>
      </c>
      <c r="BH70" s="60" t="str">
        <f>TRIM(MID(SUBSTITUTE($AW$72,$BA$62,REPT(" ",LEN($AW$72))),($BA70-1)*LEN($AW$72)+1,LEN($AW$72)))</f>
        <v/>
      </c>
      <c r="BI70" s="60" t="str">
        <f>TRIM(MID(SUBSTITUTE($AW$73,$BA$62,REPT(" ",LEN($AW$73))),($BA70-1)*LEN($AW$73)+1,LEN($AW$73)))</f>
        <v/>
      </c>
      <c r="BJ70" s="60" t="str">
        <f>TRIM(MID(SUBSTITUTE($AW$74,$BA$62,REPT(" ",LEN($AW$74))),($BA70-1)*LEN($AW$74)+1,LEN($AW$74)))</f>
        <v/>
      </c>
      <c r="BK70" s="60" t="str">
        <f>TRIM(MID(SUBSTITUTE($AW$75,$BA$62,REPT(" ",LEN($AW$75))),($BA70-1)*LEN($AW$75)+1,LEN($AW$75)))</f>
        <v/>
      </c>
      <c r="BL70" s="60" t="str">
        <f>TRIM(MID(SUBSTITUTE($AW$76,$BA$62,REPT(" ",LEN($AW$76))),($BA70-1)*LEN($AW$76)+1,LEN($AW$76)))</f>
        <v/>
      </c>
      <c r="BM70" s="60" t="str">
        <f>TRIM(MID(SUBSTITUTE($AW$77,$BA$62,REPT(" ",LEN($AW$77))),($BA70-1)*LEN($AW$77)+1,LEN($AW$77)))</f>
        <v/>
      </c>
      <c r="BN70" s="60" t="str">
        <f>TRIM(MID(SUBSTITUTE($AW$78,$BA$62,REPT(" ",LEN($AW$78))),($BA70-1)*LEN($AW$78)+1,LEN($AW$78)))</f>
        <v/>
      </c>
      <c r="BO70" s="60" t="str">
        <f>TRIM(MID(SUBSTITUTE($AW$79,$BA$62,REPT(" ",LEN($AW$79))),($BA70-1)*LEN($AW$79)+1,LEN($AW$79)))</f>
        <v/>
      </c>
      <c r="BP70" s="60" t="str">
        <f>TRIM(MID(SUBSTITUTE($AW$80,$BA$62,REPT(" ",LEN($AW$80))),($BA70-1)*LEN($AW$80)+1,LEN($AW$80)))</f>
        <v/>
      </c>
      <c r="BQ70" s="60" t="str">
        <f>TRIM(MID(SUBSTITUTE($AW$81,$BA$62,REPT(" ",LEN($AW$81))),($BA70-1)*LEN($AW$81)+1,LEN($AW$81)))</f>
        <v/>
      </c>
      <c r="BR70" s="60" t="str">
        <f>TRIM(MID(SUBSTITUTE($AW$82,$BA$62,REPT(" ",LEN($AW$82))),($BA70-1)*LEN($AW$82)+1,LEN($AW$82)))</f>
        <v/>
      </c>
      <c r="BS70" s="60" t="str">
        <f>TRIM(MID(SUBSTITUTE($AW$83,$BA$62,REPT(" ",LEN($AW$83))),($BA70-1)*LEN($AW$83)+1,LEN($AW$83)))</f>
        <v/>
      </c>
      <c r="BT70" s="60" t="str">
        <f>TRIM(MID(SUBSTITUTE($AW$84,$BA$62,REPT(" ",LEN($AW$84))),($BA70-1)*LEN($AW$84)+1,LEN($AW$84)))</f>
        <v/>
      </c>
      <c r="BU70" s="150" t="str">
        <f>TRIM(MID(SUBSTITUTE($AW$85,$BA$62,REPT(" ",LEN($AW$85))),($BA70-1)*LEN($AW$85)+1,LEN($AW$85)))</f>
        <v/>
      </c>
      <c r="BV70" s="224" t="str">
        <f>IF(BX70=0,"",CONCATENATE(BW70,"66:",BW70,BX70+65))</f>
        <v/>
      </c>
      <c r="BW70" s="60" t="s">
        <v>193</v>
      </c>
      <c r="BX70" s="60">
        <f>BF64</f>
        <v>0</v>
      </c>
    </row>
    <row r="71" spans="1:76" s="99" customFormat="1" ht="15.6" customHeight="1">
      <c r="B71" s="285">
        <v>6</v>
      </c>
      <c r="C71" s="166" t="str">
        <f>IF(D71="","",C16)</f>
        <v/>
      </c>
      <c r="D71" s="237" t="str">
        <f>IF(OR(K16="", K16=0),"",D16)</f>
        <v/>
      </c>
      <c r="E71" s="207" t="str">
        <f>IF(AX71="","",AX71)</f>
        <v/>
      </c>
      <c r="F71" s="739"/>
      <c r="G71" s="740"/>
      <c r="H71" s="204" t="str">
        <f>IF(D71="","",AB71)</f>
        <v/>
      </c>
      <c r="I71" s="333" t="str">
        <f>IF(OR(K16="", K16=0),"",K16)</f>
        <v/>
      </c>
      <c r="J71" s="877" t="str">
        <f>IFERROR(IF(F71="","",VLOOKUP(F71,'10. Condition and Temporal'!$B$6:$F$103,5,FALSE)), "Error ▲")</f>
        <v/>
      </c>
      <c r="K71" s="878"/>
      <c r="L71" s="304" t="str">
        <f>IFERROR(IF(D71="","",IF(AX71="Distinctiveness",(((((I71*AH71*AJ71)-(I71*V71*X71))*(AV71*AT71))+(I71*V71*X71))*AP71/1000),((((I71*AH71*AJ71)-(I71*V71*X71))*(AV71*AR71))+(I71*V71*X71))*AP71/1000)),"This intervention is not permitted within the SSM ▲")</f>
        <v/>
      </c>
      <c r="M71" s="790" t="str">
        <f>IFERROR(IF(F71="","",L71-AD71), "Error ▲")</f>
        <v/>
      </c>
      <c r="N71" s="879"/>
      <c r="O71" s="135"/>
      <c r="P71" s="87"/>
      <c r="R71" s="655"/>
      <c r="T71" s="217" t="str">
        <f>IF(D71="","",K16)</f>
        <v/>
      </c>
      <c r="U71" s="161" t="str">
        <f>IF($D71="","",T16)</f>
        <v/>
      </c>
      <c r="V71" s="162" t="str">
        <f>IF($D71="","",V16)</f>
        <v/>
      </c>
      <c r="W71" s="161" t="str">
        <f>IF($D71="","",W16)</f>
        <v/>
      </c>
      <c r="X71" s="60" t="str">
        <f>IF($D71="","",X16)</f>
        <v/>
      </c>
      <c r="Y71" s="349"/>
      <c r="Z71" s="349"/>
      <c r="AA71" s="349"/>
      <c r="AB71" s="60" t="str">
        <f>IF($D71="","",AB16)</f>
        <v/>
      </c>
      <c r="AC71" s="163" t="str">
        <f>IF($D71="","",AD16)</f>
        <v/>
      </c>
      <c r="AD71" s="162" t="str">
        <f>IF(AC71="","",(T71*V71*X71)*AC71/1000)</f>
        <v/>
      </c>
      <c r="AE71" s="219" t="str">
        <f>IF(AD71="","",IF(AH71&lt;V71,"Not Acceptable","Acceptable"))</f>
        <v/>
      </c>
      <c r="AF71" s="160" t="str">
        <f>IF(D71="","",I71)</f>
        <v/>
      </c>
      <c r="AG71" s="161" t="str">
        <f>IF(D71="","",VLOOKUP(F71,'9. All Habitats + Multipliers'!$C$4:$K$102,5,FALSE))</f>
        <v/>
      </c>
      <c r="AH71" s="162" t="str">
        <f>IF(AG71="","",VLOOKUP(AG71,'11. Lists'!$S$47:$U$50,2,FALSE))</f>
        <v/>
      </c>
      <c r="AI71" s="160" t="str">
        <f>IF(D71="","",J71)</f>
        <v/>
      </c>
      <c r="AJ71" s="61" t="str">
        <f>IF(AI71="","",VLOOKUP(AI71,'11. Lists'!$F$47:$G$51,2,FALSE))</f>
        <v/>
      </c>
      <c r="AK71" s="349"/>
      <c r="AL71" s="349"/>
      <c r="AM71" s="349"/>
      <c r="AN71" s="150" t="str">
        <f>IF(H71="","",H71)</f>
        <v/>
      </c>
      <c r="AO71" s="164" t="str">
        <f>IF(AN71="","",VLOOKUP(AN71,'11. Lists'!$F$36:$H$38,2,FALSE))</f>
        <v/>
      </c>
      <c r="AP71" s="162" t="str">
        <f>IF(AN71="","",VLOOKUP(AN71,'11. Lists'!$F$36:$H$38,3,FALSE))</f>
        <v/>
      </c>
      <c r="AQ71" s="161" t="str">
        <f>IF(D71="","",IF(AX71="Distinctiveness","N/A",VLOOKUP(F71,'10. Condition and Temporal'!$B$6:$L$103,11,FALSE)))</f>
        <v/>
      </c>
      <c r="AR71" s="165" t="str">
        <f>IF(AQ71="","",IF(AQ71="N/A","1",VLOOKUP(AQ71,'11. Lists'!$I$47:$K$80,3,FALSE)))</f>
        <v/>
      </c>
      <c r="AS71" s="180" t="str">
        <f>IF(D71="","",IF(AX71="Condition","N/A",VLOOKUP(F71,'10. Condition and Temporal'!$B$6:$M$106,12,FALSE)))</f>
        <v/>
      </c>
      <c r="AT71" s="165" t="str">
        <f>IF(AS71="","",IF(AS71="N/A","1",VLOOKUP(AS71,'11. Lists'!$I$47:$K$80,3,FALSE)))</f>
        <v/>
      </c>
      <c r="AU71" s="164" t="str">
        <f>IF(D71="","",VLOOKUP(F71,'9. All Habitats + Multipliers'!$C$4:$K$102,8,FALSE))</f>
        <v/>
      </c>
      <c r="AV71" s="162" t="str">
        <f>IF(AU71="","",VLOOKUP(AU71,'11. Lists'!$J$35:$K$38,2,FALSE))</f>
        <v/>
      </c>
      <c r="AW71" s="161" t="str">
        <f>IF(D71="","",VLOOKUP(D71,'10. Condition and Temporal'!$B$6:$M$103,4,FALSE))</f>
        <v/>
      </c>
      <c r="AX71" s="162" t="str">
        <f>IF(F71="","",IF(D71=F71,"Condition","Distinctiveness"))</f>
        <v/>
      </c>
      <c r="AZ71" s="235"/>
      <c r="BA71" s="61">
        <v>6</v>
      </c>
      <c r="BB71" s="60" t="str">
        <f>TRIM(MID(SUBSTITUTE($AW$66,$BA$62,REPT(" ",LEN($AW$66))),($BA71-1)*LEN($AW$66)+1,LEN($AW$66)))</f>
        <v/>
      </c>
      <c r="BC71" s="60" t="str">
        <f>TRIM(MID(SUBSTITUTE($AW$67,$BA$62,REPT(" ",LEN($AW$67))),($BA71-1)*LEN($AW$67)+1,LEN($AW$67)))</f>
        <v/>
      </c>
      <c r="BD71" s="60" t="str">
        <f>TRIM(MID(SUBSTITUTE($AW$68,$BA$62,REPT(" ",LEN($AW$68))),($BA71-1)*LEN($AW$68)+1,LEN($AW$68)))</f>
        <v/>
      </c>
      <c r="BE71" s="60" t="str">
        <f>TRIM(MID(SUBSTITUTE($AW$69,$BA$62,REPT(" ",LEN($AW$69))),($BA71-1)*LEN($AW$69)+1,LEN($AW$69)))</f>
        <v/>
      </c>
      <c r="BF71" s="60" t="str">
        <f>TRIM(MID(SUBSTITUTE($AW$70,$BA$62,REPT(" ",LEN($AW$70))),($BA71-1)*LEN($AW$70)+1,LEN($AW$70)))</f>
        <v/>
      </c>
      <c r="BG71" s="60" t="str">
        <f>TRIM(MID(SUBSTITUTE($AW$71,$BA$62,REPT(" ",LEN($AW$71))),($BA71-1)*LEN($AW$71)+1,LEN($AW$71)))</f>
        <v/>
      </c>
      <c r="BH71" s="60" t="str">
        <f>TRIM(MID(SUBSTITUTE($AW$72,$BA$62,REPT(" ",LEN($AW$72))),($BA71-1)*LEN($AW$72)+1,LEN($AW$72)))</f>
        <v/>
      </c>
      <c r="BI71" s="60" t="str">
        <f>TRIM(MID(SUBSTITUTE($AW$73,$BA$62,REPT(" ",LEN($AW$73))),($BA71-1)*LEN($AW$73)+1,LEN($AW$73)))</f>
        <v/>
      </c>
      <c r="BJ71" s="60" t="str">
        <f>TRIM(MID(SUBSTITUTE($AW$74,$BA$62,REPT(" ",LEN($AW$74))),($BA71-1)*LEN($AW$74)+1,LEN($AW$74)))</f>
        <v/>
      </c>
      <c r="BK71" s="60" t="str">
        <f>TRIM(MID(SUBSTITUTE($AW$75,$BA$62,REPT(" ",LEN($AW$75))),($BA71-1)*LEN($AW$75)+1,LEN($AW$75)))</f>
        <v/>
      </c>
      <c r="BL71" s="60" t="str">
        <f>TRIM(MID(SUBSTITUTE($AW$76,$BA$62,REPT(" ",LEN($AW$76))),($BA71-1)*LEN($AW$76)+1,LEN($AW$76)))</f>
        <v/>
      </c>
      <c r="BM71" s="60" t="str">
        <f>TRIM(MID(SUBSTITUTE($AW$77,$BA$62,REPT(" ",LEN($AW$77))),($BA71-1)*LEN($AW$77)+1,LEN($AW$77)))</f>
        <v/>
      </c>
      <c r="BN71" s="60" t="str">
        <f>TRIM(MID(SUBSTITUTE($AW$78,$BA$62,REPT(" ",LEN($AW$78))),($BA71-1)*LEN($AW$78)+1,LEN($AW$78)))</f>
        <v/>
      </c>
      <c r="BO71" s="60" t="str">
        <f>TRIM(MID(SUBSTITUTE($AW$79,$BA$62,REPT(" ",LEN($AW$79))),($BA71-1)*LEN($AW$79)+1,LEN($AW$79)))</f>
        <v/>
      </c>
      <c r="BP71" s="60" t="str">
        <f>TRIM(MID(SUBSTITUTE($AW$80,$BA$62,REPT(" ",LEN($AW$80))),($BA71-1)*LEN($AW$80)+1,LEN($AW$80)))</f>
        <v/>
      </c>
      <c r="BQ71" s="60" t="str">
        <f>TRIM(MID(SUBSTITUTE($AW$81,$BA$62,REPT(" ",LEN($AW$81))),($BA71-1)*LEN($AW$81)+1,LEN($AW$81)))</f>
        <v/>
      </c>
      <c r="BR71" s="60" t="str">
        <f>TRIM(MID(SUBSTITUTE($AW$82,$BA$62,REPT(" ",LEN($AW$82))),($BA71-1)*LEN($AW$82)+1,LEN($AW$82)))</f>
        <v/>
      </c>
      <c r="BS71" s="60" t="str">
        <f>TRIM(MID(SUBSTITUTE($AW$83,$BA$62,REPT(" ",LEN($AW$83))),($BA71-1)*LEN($AW$83)+1,LEN($AW$83)))</f>
        <v/>
      </c>
      <c r="BT71" s="60" t="str">
        <f>TRIM(MID(SUBSTITUTE($AW$84,$BA$62,REPT(" ",LEN($AW$84))),($BA71-1)*LEN($AW$84)+1,LEN($AW$84)))</f>
        <v/>
      </c>
      <c r="BU71" s="150" t="str">
        <f>TRIM(MID(SUBSTITUTE($AW$85,$BA$62,REPT(" ",LEN($AW$85))),($BA71-1)*LEN($AW$85)+1,LEN($AW$85)))</f>
        <v/>
      </c>
      <c r="BV71" s="224" t="str">
        <f>IF(BX71=0,"",CONCATENATE(BW71,"66:",BW71,BX71+65))</f>
        <v/>
      </c>
      <c r="BW71" s="60" t="s">
        <v>194</v>
      </c>
      <c r="BX71" s="60">
        <f>BG64</f>
        <v>0</v>
      </c>
    </row>
    <row r="72" spans="1:76" s="99" customFormat="1" ht="15.6" customHeight="1">
      <c r="B72" s="285">
        <v>7</v>
      </c>
      <c r="C72" s="166" t="str">
        <f>IF(D72="","",C17)</f>
        <v/>
      </c>
      <c r="D72" s="237" t="str">
        <f>IF(OR(K17="", K17=0),"",D17)</f>
        <v/>
      </c>
      <c r="E72" s="207" t="str">
        <f>IF(AX72="","",AX72)</f>
        <v/>
      </c>
      <c r="F72" s="739"/>
      <c r="G72" s="740"/>
      <c r="H72" s="204" t="str">
        <f>IF(D72="","",AB72)</f>
        <v/>
      </c>
      <c r="I72" s="333" t="str">
        <f>IF(OR(K17="", K17=0),"",K17)</f>
        <v/>
      </c>
      <c r="J72" s="877" t="str">
        <f>IFERROR(IF(F72="","",VLOOKUP(F72,'10. Condition and Temporal'!$B$6:$F$103,5,FALSE)), "Error ▲")</f>
        <v/>
      </c>
      <c r="K72" s="878"/>
      <c r="L72" s="304" t="str">
        <f>IFERROR(IF(D72="","",IF(AX72="Distinctiveness",(((((I72*AH72*AJ72)-(I72*V72*X72))*(AV72*AT72))+(I72*V72*X72))*AP72/1000),((((I72*AH72*AJ72)-(I72*V72*X72))*(AV72*AR72))+(I72*V72*X72))*AP72/1000)),"This intervention is not permitted within the SSM ▲")</f>
        <v/>
      </c>
      <c r="M72" s="790" t="str">
        <f>IFERROR(IF(F72="","",L72-AD72), "Error ▲")</f>
        <v/>
      </c>
      <c r="N72" s="879"/>
      <c r="O72" s="135"/>
      <c r="P72" s="87"/>
      <c r="R72" s="655"/>
      <c r="T72" s="217" t="str">
        <f>IF(D72="","",K17)</f>
        <v/>
      </c>
      <c r="U72" s="161" t="str">
        <f>IF($D72="","",T17)</f>
        <v/>
      </c>
      <c r="V72" s="162" t="str">
        <f>IF($D72="","",V17)</f>
        <v/>
      </c>
      <c r="W72" s="161" t="str">
        <f>IF($D72="","",W17)</f>
        <v/>
      </c>
      <c r="X72" s="60" t="str">
        <f>IF($D72="","",X17)</f>
        <v/>
      </c>
      <c r="Y72" s="349"/>
      <c r="Z72" s="349"/>
      <c r="AA72" s="349"/>
      <c r="AB72" s="60" t="str">
        <f>IF($D72="","",AB17)</f>
        <v/>
      </c>
      <c r="AC72" s="163" t="str">
        <f>IF($D72="","",AD17)</f>
        <v/>
      </c>
      <c r="AD72" s="162" t="str">
        <f>IF(AC72="","",(T72*V72*X72)*AC72/1000)</f>
        <v/>
      </c>
      <c r="AE72" s="219" t="str">
        <f>IF(AD72="","",IF(AH72&lt;V72,"Not Acceptable","Acceptable"))</f>
        <v/>
      </c>
      <c r="AF72" s="160" t="str">
        <f>IF(D72="","",I72)</f>
        <v/>
      </c>
      <c r="AG72" s="161" t="str">
        <f>IF(D72="","",VLOOKUP(F72,'9. All Habitats + Multipliers'!$C$4:$K$102,5,FALSE))</f>
        <v/>
      </c>
      <c r="AH72" s="162" t="str">
        <f>IF(AG72="","",VLOOKUP(AG72,'11. Lists'!$S$47:$U$50,2,FALSE))</f>
        <v/>
      </c>
      <c r="AI72" s="160" t="str">
        <f>IF(D72="","",J72)</f>
        <v/>
      </c>
      <c r="AJ72" s="61" t="str">
        <f>IF(AI72="","",VLOOKUP(AI72,'11. Lists'!$F$47:$G$51,2,FALSE))</f>
        <v/>
      </c>
      <c r="AK72" s="349"/>
      <c r="AL72" s="349"/>
      <c r="AM72" s="349"/>
      <c r="AN72" s="150" t="str">
        <f>IF(H72="","",H72)</f>
        <v/>
      </c>
      <c r="AO72" s="164" t="str">
        <f>IF(AN72="","",VLOOKUP(AN72,'11. Lists'!$F$36:$H$38,2,FALSE))</f>
        <v/>
      </c>
      <c r="AP72" s="162" t="str">
        <f>IF(AN72="","",VLOOKUP(AN72,'11. Lists'!$F$36:$H$38,3,FALSE))</f>
        <v/>
      </c>
      <c r="AQ72" s="161" t="str">
        <f>IF(D72="","",IF(AX72="Distinctiveness","N/A",VLOOKUP(F72,'10. Condition and Temporal'!$B$6:$L$103,11,FALSE)))</f>
        <v/>
      </c>
      <c r="AR72" s="165" t="str">
        <f>IF(AQ72="","",IF(AQ72="N/A","1",VLOOKUP(AQ72,'11. Lists'!$I$47:$K$80,3,FALSE)))</f>
        <v/>
      </c>
      <c r="AS72" s="180" t="str">
        <f>IF(D72="","",IF(AX72="Condition","N/A",VLOOKUP(F72,'10. Condition and Temporal'!$B$6:$M$106,12,FALSE)))</f>
        <v/>
      </c>
      <c r="AT72" s="165" t="str">
        <f>IF(AS72="","",IF(AS72="N/A","1",VLOOKUP(AS72,'11. Lists'!$I$47:$K$80,3,FALSE)))</f>
        <v/>
      </c>
      <c r="AU72" s="164" t="str">
        <f>IF(D72="","",VLOOKUP(F72,'9. All Habitats + Multipliers'!$C$4:$K$102,8,FALSE))</f>
        <v/>
      </c>
      <c r="AV72" s="162" t="str">
        <f>IF(AU72="","",VLOOKUP(AU72,'11. Lists'!$J$35:$K$38,2,FALSE))</f>
        <v/>
      </c>
      <c r="AW72" s="161" t="str">
        <f>IF(D72="","",VLOOKUP(D72,'10. Condition and Temporal'!$B$6:$M$103,4,FALSE))</f>
        <v/>
      </c>
      <c r="AX72" s="162" t="str">
        <f>IF(F72="","",IF(D72=F72,"Condition","Distinctiveness"))</f>
        <v/>
      </c>
      <c r="AZ72" s="235"/>
      <c r="BA72" s="61">
        <v>7</v>
      </c>
      <c r="BB72" s="60" t="str">
        <f>TRIM(MID(SUBSTITUTE($AW$66,$BA$62,REPT(" ",LEN($AW$66))),($BA72-1)*LEN($AW$66)+1,LEN($AW$66)))</f>
        <v/>
      </c>
      <c r="BC72" s="60" t="str">
        <f>TRIM(MID(SUBSTITUTE($AW$67,$BA$62,REPT(" ",LEN($AW$67))),($BA72-1)*LEN($AW$67)+1,LEN($AW$67)))</f>
        <v/>
      </c>
      <c r="BD72" s="60" t="str">
        <f>TRIM(MID(SUBSTITUTE($AW$68,$BA$62,REPT(" ",LEN($AW$68))),($BA72-1)*LEN($AW$68)+1,LEN($AW$68)))</f>
        <v/>
      </c>
      <c r="BE72" s="60" t="str">
        <f>TRIM(MID(SUBSTITUTE($AW$69,$BA$62,REPT(" ",LEN($AW$69))),($BA72-1)*LEN($AW$69)+1,LEN($AW$69)))</f>
        <v/>
      </c>
      <c r="BF72" s="60" t="str">
        <f>TRIM(MID(SUBSTITUTE($AW$70,$BA$62,REPT(" ",LEN($AW$70))),($BA72-1)*LEN($AW$70)+1,LEN($AW$70)))</f>
        <v/>
      </c>
      <c r="BG72" s="60" t="str">
        <f>TRIM(MID(SUBSTITUTE($AW$71,$BA$62,REPT(" ",LEN($AW$71))),($BA72-1)*LEN($AW$71)+1,LEN($AW$71)))</f>
        <v/>
      </c>
      <c r="BH72" s="60" t="str">
        <f>TRIM(MID(SUBSTITUTE($AW$72,$BA$62,REPT(" ",LEN($AW$72))),($BA72-1)*LEN($AW$72)+1,LEN($AW$72)))</f>
        <v/>
      </c>
      <c r="BI72" s="60" t="str">
        <f>TRIM(MID(SUBSTITUTE($AW$73,$BA$62,REPT(" ",LEN($AW$73))),($BA72-1)*LEN($AW$73)+1,LEN($AW$73)))</f>
        <v/>
      </c>
      <c r="BJ72" s="60" t="str">
        <f>TRIM(MID(SUBSTITUTE($AW$74,$BA$62,REPT(" ",LEN($AW$74))),($BA72-1)*LEN($AW$74)+1,LEN($AW$74)))</f>
        <v/>
      </c>
      <c r="BK72" s="60" t="str">
        <f>TRIM(MID(SUBSTITUTE($AW$75,$BA$62,REPT(" ",LEN($AW$75))),($BA72-1)*LEN($AW$75)+1,LEN($AW$75)))</f>
        <v/>
      </c>
      <c r="BL72" s="60" t="str">
        <f>TRIM(MID(SUBSTITUTE($AW$76,$BA$62,REPT(" ",LEN($AW$76))),($BA72-1)*LEN($AW$76)+1,LEN($AW$76)))</f>
        <v/>
      </c>
      <c r="BM72" s="60" t="str">
        <f>TRIM(MID(SUBSTITUTE($AW$77,$BA$62,REPT(" ",LEN($AW$77))),($BA72-1)*LEN($AW$77)+1,LEN($AW$77)))</f>
        <v/>
      </c>
      <c r="BN72" s="60" t="str">
        <f>TRIM(MID(SUBSTITUTE($AW$78,$BA$62,REPT(" ",LEN($AW$78))),($BA72-1)*LEN($AW$78)+1,LEN($AW$78)))</f>
        <v/>
      </c>
      <c r="BO72" s="60" t="str">
        <f>TRIM(MID(SUBSTITUTE($AW$79,$BA$62,REPT(" ",LEN($AW$79))),($BA72-1)*LEN($AW$79)+1,LEN($AW$79)))</f>
        <v/>
      </c>
      <c r="BP72" s="60" t="str">
        <f>TRIM(MID(SUBSTITUTE($AW$80,$BA$62,REPT(" ",LEN($AW$80))),($BA72-1)*LEN($AW$80)+1,LEN($AW$80)))</f>
        <v/>
      </c>
      <c r="BQ72" s="60" t="str">
        <f>TRIM(MID(SUBSTITUTE($AW$81,$BA$62,REPT(" ",LEN($AW$81))),($BA72-1)*LEN($AW$81)+1,LEN($AW$81)))</f>
        <v/>
      </c>
      <c r="BR72" s="60" t="str">
        <f>TRIM(MID(SUBSTITUTE($AW$82,$BA$62,REPT(" ",LEN($AW$82))),($BA72-1)*LEN($AW$82)+1,LEN($AW$82)))</f>
        <v/>
      </c>
      <c r="BS72" s="60" t="str">
        <f>TRIM(MID(SUBSTITUTE($AW$83,$BA$62,REPT(" ",LEN($AW$83))),($BA72-1)*LEN($AW$83)+1,LEN($AW$83)))</f>
        <v/>
      </c>
      <c r="BT72" s="60" t="str">
        <f>TRIM(MID(SUBSTITUTE($AW$84,$BA$62,REPT(" ",LEN($AW$84))),($BA72-1)*LEN($AW$84)+1,LEN($AW$84)))</f>
        <v/>
      </c>
      <c r="BU72" s="150" t="str">
        <f>TRIM(MID(SUBSTITUTE($AW$85,$BA$62,REPT(" ",LEN($AW$85))),($BA72-1)*LEN($AW$85)+1,LEN($AW$85)))</f>
        <v/>
      </c>
      <c r="BV72" s="224" t="str">
        <f>IF(BX72=0,"",CONCATENATE(BW72,"66:",BW72,BX72+65))</f>
        <v/>
      </c>
      <c r="BW72" s="60" t="s">
        <v>195</v>
      </c>
      <c r="BX72" s="60">
        <f>BH64</f>
        <v>0</v>
      </c>
    </row>
    <row r="73" spans="1:76" s="99" customFormat="1" ht="15.6" customHeight="1">
      <c r="B73" s="285">
        <v>8</v>
      </c>
      <c r="C73" s="166" t="str">
        <f>IF(D73="","",C18)</f>
        <v/>
      </c>
      <c r="D73" s="237" t="str">
        <f>IF(OR(K18="", K18=0),"",D18)</f>
        <v/>
      </c>
      <c r="E73" s="207" t="str">
        <f>IF(AX73="","",AX73)</f>
        <v/>
      </c>
      <c r="F73" s="739"/>
      <c r="G73" s="740"/>
      <c r="H73" s="204" t="str">
        <f>IF(D73="","",AB73)</f>
        <v/>
      </c>
      <c r="I73" s="333" t="str">
        <f>IF(OR(K18="", K18=0),"",K18)</f>
        <v/>
      </c>
      <c r="J73" s="877" t="str">
        <f>IFERROR(IF(F73="","",VLOOKUP(F73,'10. Condition and Temporal'!$B$6:$F$103,5,FALSE)), "Error ▲")</f>
        <v/>
      </c>
      <c r="K73" s="878"/>
      <c r="L73" s="304" t="str">
        <f>IFERROR(IF(D73="","",IF(AX73="Distinctiveness",(((((I73*AH73*AJ73)-(I73*V73*X73))*(AV73*AT73))+(I73*V73*X73))*AP73/1000),((((I73*AH73*AJ73)-(I73*V73*X73))*(AV73*AR73))+(I73*V73*X73))*AP73/1000)),"This intervention is not permitted within the SSM ▲")</f>
        <v/>
      </c>
      <c r="M73" s="790" t="str">
        <f>IFERROR(IF(F73="","",L73-AD73), "Error ▲")</f>
        <v/>
      </c>
      <c r="N73" s="879"/>
      <c r="O73" s="135"/>
      <c r="P73" s="87"/>
      <c r="R73" s="655"/>
      <c r="T73" s="217" t="str">
        <f>IF(D73="","",K18)</f>
        <v/>
      </c>
      <c r="U73" s="161" t="str">
        <f>IF($D73="","",T18)</f>
        <v/>
      </c>
      <c r="V73" s="162" t="str">
        <f>IF($D73="","",V18)</f>
        <v/>
      </c>
      <c r="W73" s="161" t="str">
        <f>IF($D73="","",W18)</f>
        <v/>
      </c>
      <c r="X73" s="60" t="str">
        <f>IF($D73="","",X18)</f>
        <v/>
      </c>
      <c r="Y73" s="349"/>
      <c r="Z73" s="349"/>
      <c r="AA73" s="349"/>
      <c r="AB73" s="60" t="str">
        <f>IF($D73="","",AB18)</f>
        <v/>
      </c>
      <c r="AC73" s="163" t="str">
        <f>IF($D73="","",AD18)</f>
        <v/>
      </c>
      <c r="AD73" s="162" t="str">
        <f>IF(AC73="","",(T73*V73*X73)*AC73/1000)</f>
        <v/>
      </c>
      <c r="AE73" s="219" t="str">
        <f>IF(AD73="","",IF(AH73&lt;V73,"Not Acceptable","Acceptable"))</f>
        <v/>
      </c>
      <c r="AF73" s="160" t="str">
        <f>IF(D73="","",I73)</f>
        <v/>
      </c>
      <c r="AG73" s="161" t="str">
        <f>IF(D73="","",VLOOKUP(F73,'9. All Habitats + Multipliers'!$C$4:$K$102,5,FALSE))</f>
        <v/>
      </c>
      <c r="AH73" s="162" t="str">
        <f>IF(AG73="","",VLOOKUP(AG73,'11. Lists'!$S$47:$U$50,2,FALSE))</f>
        <v/>
      </c>
      <c r="AI73" s="160" t="str">
        <f>IF(D73="","",J73)</f>
        <v/>
      </c>
      <c r="AJ73" s="61" t="str">
        <f>IF(AI73="","",VLOOKUP(AI73,'11. Lists'!$F$47:$G$51,2,FALSE))</f>
        <v/>
      </c>
      <c r="AK73" s="349"/>
      <c r="AL73" s="349"/>
      <c r="AM73" s="349"/>
      <c r="AN73" s="150" t="str">
        <f>IF(H73="","",H73)</f>
        <v/>
      </c>
      <c r="AO73" s="164" t="str">
        <f>IF(AN73="","",VLOOKUP(AN73,'11. Lists'!$F$36:$H$38,2,FALSE))</f>
        <v/>
      </c>
      <c r="AP73" s="162" t="str">
        <f>IF(AN73="","",VLOOKUP(AN73,'11. Lists'!$F$36:$H$38,3,FALSE))</f>
        <v/>
      </c>
      <c r="AQ73" s="161" t="str">
        <f>IF(D73="","",IF(AX73="Distinctiveness","N/A",VLOOKUP(F73,'10. Condition and Temporal'!$B$6:$L$103,11,FALSE)))</f>
        <v/>
      </c>
      <c r="AR73" s="165" t="str">
        <f>IF(AQ73="","",IF(AQ73="N/A","1",VLOOKUP(AQ73,'11. Lists'!$I$47:$K$80,3,FALSE)))</f>
        <v/>
      </c>
      <c r="AS73" s="180" t="str">
        <f>IF(D73="","",IF(AX73="Condition","N/A",VLOOKUP(F73,'10. Condition and Temporal'!$B$6:$M$106,12,FALSE)))</f>
        <v/>
      </c>
      <c r="AT73" s="165" t="str">
        <f>IF(AS73="","",IF(AS73="N/A","1",VLOOKUP(AS73,'11. Lists'!$I$47:$K$80,3,FALSE)))</f>
        <v/>
      </c>
      <c r="AU73" s="164" t="str">
        <f>IF(D73="","",VLOOKUP(F73,'9. All Habitats + Multipliers'!$C$4:$K$102,8,FALSE))</f>
        <v/>
      </c>
      <c r="AV73" s="162" t="str">
        <f>IF(AU73="","",VLOOKUP(AU73,'11. Lists'!$J$35:$K$38,2,FALSE))</f>
        <v/>
      </c>
      <c r="AW73" s="161" t="str">
        <f>IF(D73="","",VLOOKUP(D73,'10. Condition and Temporal'!$B$6:$M$103,4,FALSE))</f>
        <v/>
      </c>
      <c r="AX73" s="162" t="str">
        <f>IF(F73="","",IF(D73=F73,"Condition","Distinctiveness"))</f>
        <v/>
      </c>
      <c r="AZ73" s="235"/>
      <c r="BA73" s="61">
        <v>8</v>
      </c>
      <c r="BB73" s="60" t="str">
        <f>TRIM(MID(SUBSTITUTE($AW$66,$BA$62,REPT(" ",LEN($AW$66))),($BA73-1)*LEN($AW$66)+1,LEN($AW$66)))</f>
        <v/>
      </c>
      <c r="BC73" s="60" t="str">
        <f>TRIM(MID(SUBSTITUTE($AW$67,$BA$62,REPT(" ",LEN($AW$67))),($BA73-1)*LEN($AW$67)+1,LEN($AW$67)))</f>
        <v/>
      </c>
      <c r="BD73" s="60" t="str">
        <f>TRIM(MID(SUBSTITUTE($AW$68,$BA$62,REPT(" ",LEN($AW$68))),($BA73-1)*LEN($AW$68)+1,LEN($AW$68)))</f>
        <v/>
      </c>
      <c r="BE73" s="60" t="str">
        <f>TRIM(MID(SUBSTITUTE($AW$69,$BA$62,REPT(" ",LEN($AW$69))),($BA73-1)*LEN($AW$69)+1,LEN($AW$69)))</f>
        <v/>
      </c>
      <c r="BF73" s="60" t="str">
        <f>TRIM(MID(SUBSTITUTE($AW$70,$BA$62,REPT(" ",LEN($AW$70))),($BA73-1)*LEN($AW$70)+1,LEN($AW$70)))</f>
        <v/>
      </c>
      <c r="BG73" s="60" t="str">
        <f>TRIM(MID(SUBSTITUTE($AW$71,$BA$62,REPT(" ",LEN($AW$71))),($BA73-1)*LEN($AW$71)+1,LEN($AW$71)))</f>
        <v/>
      </c>
      <c r="BH73" s="60" t="str">
        <f>TRIM(MID(SUBSTITUTE($AW$72,$BA$62,REPT(" ",LEN($AW$72))),($BA73-1)*LEN($AW$72)+1,LEN($AW$72)))</f>
        <v/>
      </c>
      <c r="BI73" s="60" t="str">
        <f>TRIM(MID(SUBSTITUTE($AW$73,$BA$62,REPT(" ",LEN($AW$73))),($BA73-1)*LEN($AW$73)+1,LEN($AW$73)))</f>
        <v/>
      </c>
      <c r="BJ73" s="60" t="str">
        <f>TRIM(MID(SUBSTITUTE($AW$74,$BA$62,REPT(" ",LEN($AW$74))),($BA73-1)*LEN($AW$74)+1,LEN($AW$74)))</f>
        <v/>
      </c>
      <c r="BK73" s="60" t="str">
        <f>TRIM(MID(SUBSTITUTE($AW$75,$BA$62,REPT(" ",LEN($AW$75))),($BA73-1)*LEN($AW$75)+1,LEN($AW$75)))</f>
        <v/>
      </c>
      <c r="BL73" s="60" t="str">
        <f>TRIM(MID(SUBSTITUTE($AW$76,$BA$62,REPT(" ",LEN($AW$76))),($BA73-1)*LEN($AW$76)+1,LEN($AW$76)))</f>
        <v/>
      </c>
      <c r="BM73" s="60" t="str">
        <f>TRIM(MID(SUBSTITUTE($AW$77,$BA$62,REPT(" ",LEN($AW$77))),($BA73-1)*LEN($AW$77)+1,LEN($AW$77)))</f>
        <v/>
      </c>
      <c r="BN73" s="60" t="str">
        <f>TRIM(MID(SUBSTITUTE($AW$78,$BA$62,REPT(" ",LEN($AW$78))),($BA73-1)*LEN($AW$78)+1,LEN($AW$78)))</f>
        <v/>
      </c>
      <c r="BO73" s="60" t="str">
        <f>TRIM(MID(SUBSTITUTE($AW$79,$BA$62,REPT(" ",LEN($AW$79))),($BA73-1)*LEN($AW$79)+1,LEN($AW$79)))</f>
        <v/>
      </c>
      <c r="BP73" s="60" t="str">
        <f>TRIM(MID(SUBSTITUTE($AW$80,$BA$62,REPT(" ",LEN($AW$80))),($BA73-1)*LEN($AW$80)+1,LEN($AW$80)))</f>
        <v/>
      </c>
      <c r="BQ73" s="60" t="str">
        <f>TRIM(MID(SUBSTITUTE($AW$81,$BA$62,REPT(" ",LEN($AW$81))),($BA73-1)*LEN($AW$81)+1,LEN($AW$81)))</f>
        <v/>
      </c>
      <c r="BR73" s="60" t="str">
        <f>TRIM(MID(SUBSTITUTE($AW$82,$BA$62,REPT(" ",LEN($AW$82))),($BA73-1)*LEN($AW$82)+1,LEN($AW$82)))</f>
        <v/>
      </c>
      <c r="BS73" s="60" t="str">
        <f>TRIM(MID(SUBSTITUTE($AW$83,$BA$62,REPT(" ",LEN($AW$83))),($BA73-1)*LEN($AW$83)+1,LEN($AW$83)))</f>
        <v/>
      </c>
      <c r="BT73" s="60" t="str">
        <f>TRIM(MID(SUBSTITUTE($AW$84,$BA$62,REPT(" ",LEN($AW$84))),($BA73-1)*LEN($AW$84)+1,LEN($AW$84)))</f>
        <v/>
      </c>
      <c r="BU73" s="150" t="str">
        <f>TRIM(MID(SUBSTITUTE($AW$85,$BA$62,REPT(" ",LEN($AW$85))),($BA73-1)*LEN($AW$85)+1,LEN($AW$85)))</f>
        <v/>
      </c>
      <c r="BV73" s="224" t="str">
        <f>IF(BX73=0,"",CONCATENATE(BW73,"66:",BW73,BX73+65))</f>
        <v/>
      </c>
      <c r="BW73" s="60" t="s">
        <v>196</v>
      </c>
      <c r="BX73" s="60">
        <f>BI64</f>
        <v>0</v>
      </c>
    </row>
    <row r="74" spans="1:76" s="99" customFormat="1" ht="15.6" customHeight="1">
      <c r="B74" s="285">
        <v>9</v>
      </c>
      <c r="C74" s="166" t="str">
        <f>IF(D74="","",C19)</f>
        <v/>
      </c>
      <c r="D74" s="237" t="str">
        <f>IF(OR(K19="", K19=0),"",D19)</f>
        <v/>
      </c>
      <c r="E74" s="207" t="str">
        <f>IF(AX74="","",AX74)</f>
        <v/>
      </c>
      <c r="F74" s="739"/>
      <c r="G74" s="740"/>
      <c r="H74" s="204" t="str">
        <f>IF(D74="","",AB74)</f>
        <v/>
      </c>
      <c r="I74" s="333" t="str">
        <f>IF(OR(K19="", K19=0),"",K19)</f>
        <v/>
      </c>
      <c r="J74" s="877" t="str">
        <f>IFERROR(IF(F74="","",VLOOKUP(F74,'10. Condition and Temporal'!$B$6:$F$103,5,FALSE)), "Error ▲")</f>
        <v/>
      </c>
      <c r="K74" s="878"/>
      <c r="L74" s="304" t="str">
        <f>IFERROR(IF(D74="","",IF(AX74="Distinctiveness",(((((I74*AH74*AJ74)-(I74*V74*X74))*(AV74*AT74))+(I74*V74*X74))*AP74/1000),((((I74*AH74*AJ74)-(I74*V74*X74))*(AV74*AR74))+(I74*V74*X74))*AP74/1000)),"This intervention is not permitted within the SSM ▲")</f>
        <v/>
      </c>
      <c r="M74" s="790" t="str">
        <f>IFERROR(IF(F74="","",L74-AD74), "Error ▲")</f>
        <v/>
      </c>
      <c r="N74" s="879"/>
      <c r="O74" s="135"/>
      <c r="P74" s="87"/>
      <c r="R74" s="655"/>
      <c r="T74" s="217" t="str">
        <f>IF(D74="","",K19)</f>
        <v/>
      </c>
      <c r="U74" s="161" t="str">
        <f>IF($D74="","",T19)</f>
        <v/>
      </c>
      <c r="V74" s="162" t="str">
        <f>IF($D74="","",V19)</f>
        <v/>
      </c>
      <c r="W74" s="161" t="str">
        <f>IF($D74="","",W19)</f>
        <v/>
      </c>
      <c r="X74" s="60" t="str">
        <f>IF($D74="","",X19)</f>
        <v/>
      </c>
      <c r="Y74" s="349"/>
      <c r="Z74" s="349"/>
      <c r="AA74" s="349"/>
      <c r="AB74" s="60" t="str">
        <f>IF($D74="","",AB19)</f>
        <v/>
      </c>
      <c r="AC74" s="163" t="str">
        <f>IF($D74="","",AD19)</f>
        <v/>
      </c>
      <c r="AD74" s="162" t="str">
        <f>IF(AC74="","",(T74*V74*X74)*AC74/1000)</f>
        <v/>
      </c>
      <c r="AE74" s="219" t="str">
        <f>IF(AD74="","",IF(AH74&lt;V74,"Not Acceptable","Acceptable"))</f>
        <v/>
      </c>
      <c r="AF74" s="160" t="str">
        <f>IF(D74="","",I74)</f>
        <v/>
      </c>
      <c r="AG74" s="161" t="str">
        <f>IF(D74="","",VLOOKUP(F74,'9. All Habitats + Multipliers'!$C$4:$K$102,5,FALSE))</f>
        <v/>
      </c>
      <c r="AH74" s="162" t="str">
        <f>IF(AG74="","",VLOOKUP(AG74,'11. Lists'!$S$47:$U$50,2,FALSE))</f>
        <v/>
      </c>
      <c r="AI74" s="160" t="str">
        <f>IF(D74="","",J74)</f>
        <v/>
      </c>
      <c r="AJ74" s="61" t="str">
        <f>IF(AI74="","",VLOOKUP(AI74,'11. Lists'!$F$47:$G$51,2,FALSE))</f>
        <v/>
      </c>
      <c r="AK74" s="349"/>
      <c r="AL74" s="349"/>
      <c r="AM74" s="349"/>
      <c r="AN74" s="150" t="str">
        <f>IF(H74="","",H74)</f>
        <v/>
      </c>
      <c r="AO74" s="164" t="str">
        <f>IF(AN74="","",VLOOKUP(AN74,'11. Lists'!$F$36:$H$38,2,FALSE))</f>
        <v/>
      </c>
      <c r="AP74" s="162" t="str">
        <f>IF(AN74="","",VLOOKUP(AN74,'11. Lists'!$F$36:$H$38,3,FALSE))</f>
        <v/>
      </c>
      <c r="AQ74" s="161" t="str">
        <f>IF(D74="","",IF(AX74="Distinctiveness","N/A",VLOOKUP(F74,'10. Condition and Temporal'!$B$6:$L$103,11,FALSE)))</f>
        <v/>
      </c>
      <c r="AR74" s="165" t="str">
        <f>IF(AQ74="","",IF(AQ74="N/A","1",VLOOKUP(AQ74,'11. Lists'!$I$47:$K$80,3,FALSE)))</f>
        <v/>
      </c>
      <c r="AS74" s="180" t="str">
        <f>IF(D74="","",IF(AX74="Condition","N/A",VLOOKUP(F74,'10. Condition and Temporal'!$B$6:$M$106,12,FALSE)))</f>
        <v/>
      </c>
      <c r="AT74" s="165" t="str">
        <f>IF(AS74="","",IF(AS74="N/A","1",VLOOKUP(AS74,'11. Lists'!$I$47:$K$80,3,FALSE)))</f>
        <v/>
      </c>
      <c r="AU74" s="164" t="str">
        <f>IF(D74="","",VLOOKUP(F74,'9. All Habitats + Multipliers'!$C$4:$K$102,8,FALSE))</f>
        <v/>
      </c>
      <c r="AV74" s="162" t="str">
        <f>IF(AU74="","",VLOOKUP(AU74,'11. Lists'!$J$35:$K$38,2,FALSE))</f>
        <v/>
      </c>
      <c r="AW74" s="161" t="str">
        <f>IF(D74="","",VLOOKUP(D74,'10. Condition and Temporal'!$B$6:$M$103,4,FALSE))</f>
        <v/>
      </c>
      <c r="AX74" s="162" t="str">
        <f>IF(F74="","",IF(D74=F74,"Condition","Distinctiveness"))</f>
        <v/>
      </c>
      <c r="AZ74" s="235"/>
      <c r="BA74" s="61">
        <v>9</v>
      </c>
      <c r="BB74" s="60" t="str">
        <f>TRIM(MID(SUBSTITUTE($AW$66,$BA$62,REPT(" ",LEN($AW$66))),($BA74-1)*LEN($AW$66)+1,LEN($AW$66)))</f>
        <v/>
      </c>
      <c r="BC74" s="60" t="str">
        <f>TRIM(MID(SUBSTITUTE($AW$67,$BA$62,REPT(" ",LEN($AW$67))),($BA74-1)*LEN($AW$67)+1,LEN($AW$67)))</f>
        <v/>
      </c>
      <c r="BD74" s="60" t="str">
        <f>TRIM(MID(SUBSTITUTE($AW$68,$BA$62,REPT(" ",LEN($AW$68))),($BA74-1)*LEN($AW$68)+1,LEN($AW$68)))</f>
        <v/>
      </c>
      <c r="BE74" s="60" t="str">
        <f>TRIM(MID(SUBSTITUTE($AW$69,$BA$62,REPT(" ",LEN($AW$69))),($BA74-1)*LEN($AW$69)+1,LEN($AW$69)))</f>
        <v/>
      </c>
      <c r="BF74" s="60" t="str">
        <f>TRIM(MID(SUBSTITUTE($AW$70,$BA$62,REPT(" ",LEN($AW$70))),($BA74-1)*LEN($AW$70)+1,LEN($AW$70)))</f>
        <v/>
      </c>
      <c r="BG74" s="60" t="str">
        <f>TRIM(MID(SUBSTITUTE($AW$71,$BA$62,REPT(" ",LEN($AW$71))),($BA74-1)*LEN($AW$71)+1,LEN($AW$71)))</f>
        <v/>
      </c>
      <c r="BH74" s="60" t="str">
        <f>TRIM(MID(SUBSTITUTE($AW$72,$BA$62,REPT(" ",LEN($AW$72))),($BA74-1)*LEN($AW$72)+1,LEN($AW$72)))</f>
        <v/>
      </c>
      <c r="BI74" s="60" t="str">
        <f>TRIM(MID(SUBSTITUTE($AW$73,$BA$62,REPT(" ",LEN($AW$73))),($BA74-1)*LEN($AW$73)+1,LEN($AW$73)))</f>
        <v/>
      </c>
      <c r="BJ74" s="60" t="str">
        <f>TRIM(MID(SUBSTITUTE($AW$74,$BA$62,REPT(" ",LEN($AW$74))),($BA74-1)*LEN($AW$74)+1,LEN($AW$74)))</f>
        <v/>
      </c>
      <c r="BK74" s="60" t="str">
        <f>TRIM(MID(SUBSTITUTE($AW$75,$BA$62,REPT(" ",LEN($AW$75))),($BA74-1)*LEN($AW$75)+1,LEN($AW$75)))</f>
        <v/>
      </c>
      <c r="BL74" s="60" t="str">
        <f>TRIM(MID(SUBSTITUTE($AW$76,$BA$62,REPT(" ",LEN($AW$76))),($BA74-1)*LEN($AW$76)+1,LEN($AW$76)))</f>
        <v/>
      </c>
      <c r="BM74" s="60" t="str">
        <f>TRIM(MID(SUBSTITUTE($AW$77,$BA$62,REPT(" ",LEN($AW$77))),($BA74-1)*LEN($AW$77)+1,LEN($AW$77)))</f>
        <v/>
      </c>
      <c r="BN74" s="60" t="str">
        <f>TRIM(MID(SUBSTITUTE($AW$78,$BA$62,REPT(" ",LEN($AW$78))),($BA74-1)*LEN($AW$78)+1,LEN($AW$78)))</f>
        <v/>
      </c>
      <c r="BO74" s="60" t="str">
        <f>TRIM(MID(SUBSTITUTE($AW$79,$BA$62,REPT(" ",LEN($AW$79))),($BA74-1)*LEN($AW$79)+1,LEN($AW$79)))</f>
        <v/>
      </c>
      <c r="BP74" s="60" t="str">
        <f>TRIM(MID(SUBSTITUTE($AW$80,$BA$62,REPT(" ",LEN($AW$80))),($BA74-1)*LEN($AW$80)+1,LEN($AW$80)))</f>
        <v/>
      </c>
      <c r="BQ74" s="60" t="str">
        <f>TRIM(MID(SUBSTITUTE($AW$81,$BA$62,REPT(" ",LEN($AW$81))),($BA74-1)*LEN($AW$81)+1,LEN($AW$81)))</f>
        <v/>
      </c>
      <c r="BR74" s="60" t="str">
        <f>TRIM(MID(SUBSTITUTE($AW$82,$BA$62,REPT(" ",LEN($AW$82))),($BA74-1)*LEN($AW$82)+1,LEN($AW$82)))</f>
        <v/>
      </c>
      <c r="BS74" s="60" t="str">
        <f>TRIM(MID(SUBSTITUTE($AW$83,$BA$62,REPT(" ",LEN($AW$83))),($BA74-1)*LEN($AW$83)+1,LEN($AW$83)))</f>
        <v/>
      </c>
      <c r="BT74" s="60" t="str">
        <f>TRIM(MID(SUBSTITUTE($AW$84,$BA$62,REPT(" ",LEN($AW$84))),($BA74-1)*LEN($AW$84)+1,LEN($AW$84)))</f>
        <v/>
      </c>
      <c r="BU74" s="150" t="str">
        <f>TRIM(MID(SUBSTITUTE($AW$85,$BA$62,REPT(" ",LEN($AW$85))),($BA74-1)*LEN($AW$85)+1,LEN($AW$85)))</f>
        <v/>
      </c>
      <c r="BV74" s="224" t="str">
        <f>IF(BX74=0,"",CONCATENATE(BW74,"66:",BW74,BX74+65))</f>
        <v/>
      </c>
      <c r="BW74" s="60" t="s">
        <v>197</v>
      </c>
      <c r="BX74" s="60">
        <f>BJ64</f>
        <v>0</v>
      </c>
    </row>
    <row r="75" spans="1:76" s="99" customFormat="1" ht="15.6" customHeight="1">
      <c r="B75" s="285">
        <v>10</v>
      </c>
      <c r="C75" s="166" t="str">
        <f>IF(D75="","",C20)</f>
        <v/>
      </c>
      <c r="D75" s="237" t="str">
        <f>IF(OR(K20="", K20=0),"",D20)</f>
        <v/>
      </c>
      <c r="E75" s="207" t="str">
        <f>IF(AX75="","",AX75)</f>
        <v/>
      </c>
      <c r="F75" s="739"/>
      <c r="G75" s="740"/>
      <c r="H75" s="204" t="str">
        <f>IF(D75="","",AB75)</f>
        <v/>
      </c>
      <c r="I75" s="333" t="str">
        <f>IF(OR(K20="", K20=0),"",K20)</f>
        <v/>
      </c>
      <c r="J75" s="877" t="str">
        <f>IFERROR(IF(F75="","",VLOOKUP(F75,'10. Condition and Temporal'!$B$6:$F$103,5,FALSE)), "Error ▲")</f>
        <v/>
      </c>
      <c r="K75" s="878"/>
      <c r="L75" s="304" t="str">
        <f>IFERROR(IF(D75="","",IF(AX75="Distinctiveness",(((((I75*AH75*AJ75)-(I75*V75*X75))*(AV75*AT75))+(I75*V75*X75))*AP75/1000),((((I75*AH75*AJ75)-(I75*V75*X75))*(AV75*AR75))+(I75*V75*X75))*AP75/1000)),"This intervention is not permitted within the SSM ▲")</f>
        <v/>
      </c>
      <c r="M75" s="790" t="str">
        <f>IFERROR(IF(F75="","",L75-AD75), "Error ▲")</f>
        <v/>
      </c>
      <c r="N75" s="879"/>
      <c r="O75" s="135"/>
      <c r="P75" s="87"/>
      <c r="R75" s="655"/>
      <c r="T75" s="217" t="str">
        <f>IF(D75="","",K20)</f>
        <v/>
      </c>
      <c r="U75" s="161" t="str">
        <f>IF($D75="","",T20)</f>
        <v/>
      </c>
      <c r="V75" s="162" t="str">
        <f>IF($D75="","",V20)</f>
        <v/>
      </c>
      <c r="W75" s="161" t="str">
        <f>IF($D75="","",W20)</f>
        <v/>
      </c>
      <c r="X75" s="60" t="str">
        <f>IF($D75="","",X20)</f>
        <v/>
      </c>
      <c r="Y75" s="349"/>
      <c r="Z75" s="349"/>
      <c r="AA75" s="349"/>
      <c r="AB75" s="60" t="str">
        <f>IF($D75="","",AB20)</f>
        <v/>
      </c>
      <c r="AC75" s="163" t="str">
        <f>IF($D75="","",AD20)</f>
        <v/>
      </c>
      <c r="AD75" s="162" t="str">
        <f>IF(AC75="","",(T75*V75*X75)*AC75/1000)</f>
        <v/>
      </c>
      <c r="AE75" s="219" t="str">
        <f>IF(AD75="","",IF(AH75&lt;V75,"Not Acceptable","Acceptable"))</f>
        <v/>
      </c>
      <c r="AF75" s="160" t="str">
        <f>IF(D75="","",I75)</f>
        <v/>
      </c>
      <c r="AG75" s="161" t="str">
        <f>IF(D75="","",VLOOKUP(F75,'9. All Habitats + Multipliers'!$C$4:$K$102,5,FALSE))</f>
        <v/>
      </c>
      <c r="AH75" s="162" t="str">
        <f>IF(AG75="","",VLOOKUP(AG75,'11. Lists'!$S$47:$U$50,2,FALSE))</f>
        <v/>
      </c>
      <c r="AI75" s="160" t="str">
        <f>IF(D75="","",J75)</f>
        <v/>
      </c>
      <c r="AJ75" s="61" t="str">
        <f>IF(AI75="","",VLOOKUP(AI75,'11. Lists'!$F$47:$G$51,2,FALSE))</f>
        <v/>
      </c>
      <c r="AK75" s="349"/>
      <c r="AL75" s="349"/>
      <c r="AM75" s="349"/>
      <c r="AN75" s="150" t="str">
        <f>IF(H75="","",H75)</f>
        <v/>
      </c>
      <c r="AO75" s="164" t="str">
        <f>IF(AN75="","",VLOOKUP(AN75,'11. Lists'!$F$36:$H$38,2,FALSE))</f>
        <v/>
      </c>
      <c r="AP75" s="162" t="str">
        <f>IF(AN75="","",VLOOKUP(AN75,'11. Lists'!$F$36:$H$38,3,FALSE))</f>
        <v/>
      </c>
      <c r="AQ75" s="161" t="str">
        <f>IF(D75="","",IF(AX75="Distinctiveness","N/A",VLOOKUP(F75,'10. Condition and Temporal'!$B$6:$L$103,11,FALSE)))</f>
        <v/>
      </c>
      <c r="AR75" s="165" t="str">
        <f>IF(AQ75="","",IF(AQ75="N/A","1",VLOOKUP(AQ75,'11. Lists'!$I$47:$K$80,3,FALSE)))</f>
        <v/>
      </c>
      <c r="AS75" s="180" t="str">
        <f>IF(D75="","",IF(AX75="Condition","N/A",VLOOKUP(F75,'10. Condition and Temporal'!$B$6:$M$106,12,FALSE)))</f>
        <v/>
      </c>
      <c r="AT75" s="165" t="str">
        <f>IF(AS75="","",IF(AS75="N/A","1",VLOOKUP(AS75,'11. Lists'!$I$47:$K$80,3,FALSE)))</f>
        <v/>
      </c>
      <c r="AU75" s="164" t="str">
        <f>IF(D75="","",VLOOKUP(F75,'9. All Habitats + Multipliers'!$C$4:$K$102,8,FALSE))</f>
        <v/>
      </c>
      <c r="AV75" s="162" t="str">
        <f>IF(AU75="","",VLOOKUP(AU75,'11. Lists'!$J$35:$K$38,2,FALSE))</f>
        <v/>
      </c>
      <c r="AW75" s="161" t="str">
        <f>IF(D75="","",VLOOKUP(D75,'10. Condition and Temporal'!$B$6:$M$103,4,FALSE))</f>
        <v/>
      </c>
      <c r="AX75" s="162" t="str">
        <f>IF(F75="","",IF(D75=F75,"Condition","Distinctiveness"))</f>
        <v/>
      </c>
      <c r="AZ75" s="235"/>
      <c r="BA75" s="61">
        <v>10</v>
      </c>
      <c r="BB75" s="60" t="str">
        <f>TRIM(MID(SUBSTITUTE($AW$66,$BA$62,REPT(" ",LEN($AW$66))),($BA75-1)*LEN($AW$66)+1,LEN($AW$66)))</f>
        <v/>
      </c>
      <c r="BC75" s="60" t="str">
        <f>TRIM(MID(SUBSTITUTE($AW$67,$BA$62,REPT(" ",LEN($AW$67))),($BA75-1)*LEN($AW$67)+1,LEN($AW$67)))</f>
        <v/>
      </c>
      <c r="BD75" s="60" t="str">
        <f>TRIM(MID(SUBSTITUTE($AW$68,$BA$62,REPT(" ",LEN($AW$68))),($BA75-1)*LEN($AW$68)+1,LEN($AW$68)))</f>
        <v/>
      </c>
      <c r="BE75" s="60" t="str">
        <f>TRIM(MID(SUBSTITUTE($AW$69,$BA$62,REPT(" ",LEN($AW$69))),($BA75-1)*LEN($AW$69)+1,LEN($AW$69)))</f>
        <v/>
      </c>
      <c r="BF75" s="60" t="str">
        <f>TRIM(MID(SUBSTITUTE($AW$70,$BA$62,REPT(" ",LEN($AW$70))),($BA75-1)*LEN($AW$70)+1,LEN($AW$70)))</f>
        <v/>
      </c>
      <c r="BG75" s="60" t="str">
        <f>TRIM(MID(SUBSTITUTE($AW$71,$BA$62,REPT(" ",LEN($AW$71))),($BA75-1)*LEN($AW$71)+1,LEN($AW$71)))</f>
        <v/>
      </c>
      <c r="BH75" s="60" t="str">
        <f>TRIM(MID(SUBSTITUTE($AW$72,$BA$62,REPT(" ",LEN($AW$72))),($BA75-1)*LEN($AW$72)+1,LEN($AW$72)))</f>
        <v/>
      </c>
      <c r="BI75" s="60" t="str">
        <f>TRIM(MID(SUBSTITUTE($AW$73,$BA$62,REPT(" ",LEN($AW$73))),($BA75-1)*LEN($AW$73)+1,LEN($AW$73)))</f>
        <v/>
      </c>
      <c r="BJ75" s="60" t="str">
        <f>TRIM(MID(SUBSTITUTE($AW$74,$BA$62,REPT(" ",LEN($AW$74))),($BA75-1)*LEN($AW$74)+1,LEN($AW$74)))</f>
        <v/>
      </c>
      <c r="BK75" s="60" t="str">
        <f>TRIM(MID(SUBSTITUTE($AW$75,$BA$62,REPT(" ",LEN($AW$75))),($BA75-1)*LEN($AW$75)+1,LEN($AW$75)))</f>
        <v/>
      </c>
      <c r="BL75" s="60" t="str">
        <f>TRIM(MID(SUBSTITUTE($AW$76,$BA$62,REPT(" ",LEN($AW$76))),($BA75-1)*LEN($AW$76)+1,LEN($AW$76)))</f>
        <v/>
      </c>
      <c r="BM75" s="60" t="str">
        <f>TRIM(MID(SUBSTITUTE($AW$77,$BA$62,REPT(" ",LEN($AW$77))),($BA75-1)*LEN($AW$77)+1,LEN($AW$77)))</f>
        <v/>
      </c>
      <c r="BN75" s="60" t="str">
        <f>TRIM(MID(SUBSTITUTE($AW$78,$BA$62,REPT(" ",LEN($AW$78))),($BA75-1)*LEN($AW$78)+1,LEN($AW$78)))</f>
        <v/>
      </c>
      <c r="BO75" s="60" t="str">
        <f>TRIM(MID(SUBSTITUTE($AW$79,$BA$62,REPT(" ",LEN($AW$79))),($BA75-1)*LEN($AW$79)+1,LEN($AW$79)))</f>
        <v/>
      </c>
      <c r="BP75" s="60" t="str">
        <f>TRIM(MID(SUBSTITUTE($AW$80,$BA$62,REPT(" ",LEN($AW$80))),($BA75-1)*LEN($AW$80)+1,LEN($AW$80)))</f>
        <v/>
      </c>
      <c r="BQ75" s="60" t="str">
        <f>TRIM(MID(SUBSTITUTE($AW$81,$BA$62,REPT(" ",LEN($AW$81))),($BA75-1)*LEN($AW$81)+1,LEN($AW$81)))</f>
        <v/>
      </c>
      <c r="BR75" s="60" t="str">
        <f>TRIM(MID(SUBSTITUTE($AW$82,$BA$62,REPT(" ",LEN($AW$82))),($BA75-1)*LEN($AW$82)+1,LEN($AW$82)))</f>
        <v/>
      </c>
      <c r="BS75" s="60" t="str">
        <f>TRIM(MID(SUBSTITUTE($AW$83,$BA$62,REPT(" ",LEN($AW$83))),($BA75-1)*LEN($AW$83)+1,LEN($AW$83)))</f>
        <v/>
      </c>
      <c r="BT75" s="60" t="str">
        <f>TRIM(MID(SUBSTITUTE($AW$84,$BA$62,REPT(" ",LEN($AW$84))),($BA75-1)*LEN($AW$84)+1,LEN($AW$84)))</f>
        <v/>
      </c>
      <c r="BU75" s="150" t="str">
        <f>TRIM(MID(SUBSTITUTE($AW$85,$BA$62,REPT(" ",LEN($AW$85))),($BA75-1)*LEN($AW$85)+1,LEN($AW$85)))</f>
        <v/>
      </c>
      <c r="BV75" s="224" t="str">
        <f>IF(BX75=0,"",CONCATENATE(BW75,"66:",BW75,BX75+65))</f>
        <v/>
      </c>
      <c r="BW75" s="60" t="s">
        <v>198</v>
      </c>
      <c r="BX75" s="60">
        <f>BK64</f>
        <v>0</v>
      </c>
    </row>
    <row r="76" spans="1:76" s="99" customFormat="1" ht="15.6" customHeight="1">
      <c r="B76" s="285">
        <v>11</v>
      </c>
      <c r="C76" s="166" t="str">
        <f>IF(D76="","",C21)</f>
        <v/>
      </c>
      <c r="D76" s="237" t="str">
        <f>IF(OR(K21="", K21=0),"",D21)</f>
        <v/>
      </c>
      <c r="E76" s="207" t="str">
        <f>IF(AX76="","",AX76)</f>
        <v/>
      </c>
      <c r="F76" s="739"/>
      <c r="G76" s="740"/>
      <c r="H76" s="204" t="str">
        <f>IF(D76="","",AB76)</f>
        <v/>
      </c>
      <c r="I76" s="333" t="str">
        <f>IF(OR(K21="", K21=0),"",K21)</f>
        <v/>
      </c>
      <c r="J76" s="877" t="str">
        <f>IFERROR(IF(F76="","",VLOOKUP(F76,'10. Condition and Temporal'!$B$6:$F$103,5,FALSE)), "Error ▲")</f>
        <v/>
      </c>
      <c r="K76" s="878"/>
      <c r="L76" s="304" t="str">
        <f>IFERROR(IF(D76="","",IF(AX76="Distinctiveness",(((((I76*AH76*AJ76)-(I76*V76*X76))*(AV76*AT76))+(I76*V76*X76))*AP76/1000),((((I76*AH76*AJ76)-(I76*V76*X76))*(AV76*AR76))+(I76*V76*X76))*AP76/1000)),"This intervention is not permitted within the SSM ▲")</f>
        <v/>
      </c>
      <c r="M76" s="790" t="str">
        <f>IFERROR(IF(F76="","",L76-AD76), "Error ▲")</f>
        <v/>
      </c>
      <c r="N76" s="879"/>
      <c r="O76" s="135"/>
      <c r="P76" s="87"/>
      <c r="R76" s="655"/>
      <c r="T76" s="217" t="str">
        <f>IF(D76="","",K21)</f>
        <v/>
      </c>
      <c r="U76" s="161" t="str">
        <f>IF($D76="","",T21)</f>
        <v/>
      </c>
      <c r="V76" s="162" t="str">
        <f>IF($D76="","",V21)</f>
        <v/>
      </c>
      <c r="W76" s="161" t="str">
        <f>IF($D76="","",W21)</f>
        <v/>
      </c>
      <c r="X76" s="60" t="str">
        <f>IF($D76="","",X21)</f>
        <v/>
      </c>
      <c r="Y76" s="349"/>
      <c r="Z76" s="349"/>
      <c r="AA76" s="349"/>
      <c r="AB76" s="60" t="str">
        <f>IF($D76="","",AB21)</f>
        <v/>
      </c>
      <c r="AC76" s="163" t="str">
        <f>IF($D76="","",AD21)</f>
        <v/>
      </c>
      <c r="AD76" s="162" t="str">
        <f>IF(AC76="","",(T76*V76*X76)*AC76/1000)</f>
        <v/>
      </c>
      <c r="AE76" s="219" t="str">
        <f>IF(AD76="","",IF(AH76&lt;V76,"Not Acceptable","Acceptable"))</f>
        <v/>
      </c>
      <c r="AF76" s="160" t="str">
        <f>IF(D76="","",I76)</f>
        <v/>
      </c>
      <c r="AG76" s="161" t="str">
        <f>IF(D76="","",VLOOKUP(F76,'9. All Habitats + Multipliers'!$C$4:$K$102,5,FALSE))</f>
        <v/>
      </c>
      <c r="AH76" s="162" t="str">
        <f>IF(AG76="","",VLOOKUP(AG76,'11. Lists'!$S$47:$U$50,2,FALSE))</f>
        <v/>
      </c>
      <c r="AI76" s="160" t="str">
        <f>IF(D76="","",J76)</f>
        <v/>
      </c>
      <c r="AJ76" s="61" t="str">
        <f>IF(AI76="","",VLOOKUP(AI76,'11. Lists'!$F$47:$G$51,2,FALSE))</f>
        <v/>
      </c>
      <c r="AK76" s="349"/>
      <c r="AL76" s="349"/>
      <c r="AM76" s="349"/>
      <c r="AN76" s="150" t="str">
        <f>IF(H76="","",H76)</f>
        <v/>
      </c>
      <c r="AO76" s="164" t="str">
        <f>IF(AN76="","",VLOOKUP(AN76,'11. Lists'!$F$36:$H$38,2,FALSE))</f>
        <v/>
      </c>
      <c r="AP76" s="162" t="str">
        <f>IF(AN76="","",VLOOKUP(AN76,'11. Lists'!$F$36:$H$38,3,FALSE))</f>
        <v/>
      </c>
      <c r="AQ76" s="161" t="str">
        <f>IF(D76="","",IF(AX76="Distinctiveness","N/A",VLOOKUP(F76,'10. Condition and Temporal'!$B$6:$L$103,11,FALSE)))</f>
        <v/>
      </c>
      <c r="AR76" s="165" t="str">
        <f>IF(AQ76="","",IF(AQ76="N/A","1",VLOOKUP(AQ76,'11. Lists'!$I$47:$K$80,3,FALSE)))</f>
        <v/>
      </c>
      <c r="AS76" s="180" t="str">
        <f>IF(D76="","",IF(AX76="Condition","N/A",VLOOKUP(F76,'10. Condition and Temporal'!$B$6:$M$106,12,FALSE)))</f>
        <v/>
      </c>
      <c r="AT76" s="165" t="str">
        <f>IF(AS76="","",IF(AS76="N/A","1",VLOOKUP(AS76,'11. Lists'!$I$47:$K$80,3,FALSE)))</f>
        <v/>
      </c>
      <c r="AU76" s="164" t="str">
        <f>IF(D76="","",VLOOKUP(F76,'9. All Habitats + Multipliers'!$C$4:$K$102,8,FALSE))</f>
        <v/>
      </c>
      <c r="AV76" s="162" t="str">
        <f>IF(AU76="","",VLOOKUP(AU76,'11. Lists'!$J$35:$K$38,2,FALSE))</f>
        <v/>
      </c>
      <c r="AW76" s="161" t="str">
        <f>IF(D76="","",VLOOKUP(D76,'10. Condition and Temporal'!$B$6:$M$103,4,FALSE))</f>
        <v/>
      </c>
      <c r="AX76" s="162" t="str">
        <f>IF(F76="","",IF(D76=F76,"Condition","Distinctiveness"))</f>
        <v/>
      </c>
      <c r="AZ76" s="235"/>
      <c r="BA76" s="61">
        <v>11</v>
      </c>
      <c r="BB76" s="60" t="str">
        <f>TRIM(MID(SUBSTITUTE($AW$66,$BA$62,REPT(" ",LEN($AW$66))),($BA76-1)*LEN($AW$66)+1,LEN($AW$66)))</f>
        <v/>
      </c>
      <c r="BC76" s="60" t="str">
        <f>TRIM(MID(SUBSTITUTE($AW$67,$BA$62,REPT(" ",LEN($AW$67))),($BA76-1)*LEN($AW$67)+1,LEN($AW$67)))</f>
        <v/>
      </c>
      <c r="BD76" s="60" t="str">
        <f>TRIM(MID(SUBSTITUTE($AW$68,$BA$62,REPT(" ",LEN($AW$68))),($BA76-1)*LEN($AW$68)+1,LEN($AW$68)))</f>
        <v/>
      </c>
      <c r="BE76" s="60" t="str">
        <f>TRIM(MID(SUBSTITUTE($AW$69,$BA$62,REPT(" ",LEN($AW$69))),($BA76-1)*LEN($AW$69)+1,LEN($AW$69)))</f>
        <v/>
      </c>
      <c r="BF76" s="60" t="str">
        <f>TRIM(MID(SUBSTITUTE($AW$70,$BA$62,REPT(" ",LEN($AW$70))),($BA76-1)*LEN($AW$70)+1,LEN($AW$70)))</f>
        <v/>
      </c>
      <c r="BG76" s="60" t="str">
        <f>TRIM(MID(SUBSTITUTE($AW$71,$BA$62,REPT(" ",LEN($AW$71))),($BA76-1)*LEN($AW$71)+1,LEN($AW$71)))</f>
        <v/>
      </c>
      <c r="BH76" s="60" t="str">
        <f>TRIM(MID(SUBSTITUTE($AW$72,$BA$62,REPT(" ",LEN($AW$72))),($BA76-1)*LEN($AW$72)+1,LEN($AW$72)))</f>
        <v/>
      </c>
      <c r="BI76" s="60" t="str">
        <f>TRIM(MID(SUBSTITUTE($AW$73,$BA$62,REPT(" ",LEN($AW$73))),($BA76-1)*LEN($AW$73)+1,LEN($AW$73)))</f>
        <v/>
      </c>
      <c r="BJ76" s="60" t="str">
        <f>TRIM(MID(SUBSTITUTE($AW$74,$BA$62,REPT(" ",LEN($AW$74))),($BA76-1)*LEN($AW$74)+1,LEN($AW$74)))</f>
        <v/>
      </c>
      <c r="BK76" s="60" t="str">
        <f>TRIM(MID(SUBSTITUTE($AW$75,$BA$62,REPT(" ",LEN($AW$75))),($BA76-1)*LEN($AW$75)+1,LEN($AW$75)))</f>
        <v/>
      </c>
      <c r="BL76" s="60" t="str">
        <f>TRIM(MID(SUBSTITUTE($AW$76,$BA$62,REPT(" ",LEN($AW$76))),($BA76-1)*LEN($AW$76)+1,LEN($AW$76)))</f>
        <v/>
      </c>
      <c r="BM76" s="60" t="str">
        <f>TRIM(MID(SUBSTITUTE($AW$77,$BA$62,REPT(" ",LEN($AW$77))),($BA76-1)*LEN($AW$77)+1,LEN($AW$77)))</f>
        <v/>
      </c>
      <c r="BN76" s="60" t="str">
        <f>TRIM(MID(SUBSTITUTE($AW$78,$BA$62,REPT(" ",LEN($AW$78))),($BA76-1)*LEN($AW$78)+1,LEN($AW$78)))</f>
        <v/>
      </c>
      <c r="BO76" s="60" t="str">
        <f>TRIM(MID(SUBSTITUTE($AW$79,$BA$62,REPT(" ",LEN($AW$79))),($BA76-1)*LEN($AW$79)+1,LEN($AW$79)))</f>
        <v/>
      </c>
      <c r="BP76" s="60" t="str">
        <f>TRIM(MID(SUBSTITUTE($AW$80,$BA$62,REPT(" ",LEN($AW$80))),($BA76-1)*LEN($AW$80)+1,LEN($AW$80)))</f>
        <v/>
      </c>
      <c r="BQ76" s="60" t="str">
        <f>TRIM(MID(SUBSTITUTE($AW$81,$BA$62,REPT(" ",LEN($AW$81))),($BA76-1)*LEN($AW$81)+1,LEN($AW$81)))</f>
        <v/>
      </c>
      <c r="BR76" s="60" t="str">
        <f>TRIM(MID(SUBSTITUTE($AW$82,$BA$62,REPT(" ",LEN($AW$82))),($BA76-1)*LEN($AW$82)+1,LEN($AW$82)))</f>
        <v/>
      </c>
      <c r="BS76" s="60" t="str">
        <f>TRIM(MID(SUBSTITUTE($AW$83,$BA$62,REPT(" ",LEN($AW$83))),($BA76-1)*LEN($AW$83)+1,LEN($AW$83)))</f>
        <v/>
      </c>
      <c r="BT76" s="60" t="str">
        <f>TRIM(MID(SUBSTITUTE($AW$84,$BA$62,REPT(" ",LEN($AW$84))),($BA76-1)*LEN($AW$84)+1,LEN($AW$84)))</f>
        <v/>
      </c>
      <c r="BU76" s="150" t="str">
        <f>TRIM(MID(SUBSTITUTE($AW$85,$BA$62,REPT(" ",LEN($AW$85))),($BA76-1)*LEN($AW$85)+1,LEN($AW$85)))</f>
        <v/>
      </c>
      <c r="BV76" s="224" t="str">
        <f>IF(BX76=0,"",CONCATENATE(BW76,"66:",BW76,BX76+65))</f>
        <v/>
      </c>
      <c r="BW76" s="60" t="s">
        <v>199</v>
      </c>
      <c r="BX76" s="60">
        <f>BL64</f>
        <v>0</v>
      </c>
    </row>
    <row r="77" spans="1:76" s="99" customFormat="1" ht="15.6" customHeight="1">
      <c r="B77" s="285">
        <v>12</v>
      </c>
      <c r="C77" s="166" t="str">
        <f>IF(D77="","",C22)</f>
        <v/>
      </c>
      <c r="D77" s="237" t="str">
        <f>IF(OR(K22="", K22=0),"",D22)</f>
        <v/>
      </c>
      <c r="E77" s="207" t="str">
        <f>IF(AX77="","",AX77)</f>
        <v/>
      </c>
      <c r="F77" s="739"/>
      <c r="G77" s="740"/>
      <c r="H77" s="204" t="str">
        <f>IF(D77="","",AB77)</f>
        <v/>
      </c>
      <c r="I77" s="333" t="str">
        <f>IF(OR(K22="", K22=0),"",K22)</f>
        <v/>
      </c>
      <c r="J77" s="877" t="str">
        <f>IFERROR(IF(F77="","",VLOOKUP(F77,'10. Condition and Temporal'!$B$6:$F$103,5,FALSE)), "Error ▲")</f>
        <v/>
      </c>
      <c r="K77" s="878"/>
      <c r="L77" s="304" t="str">
        <f>IFERROR(IF(D77="","",IF(AX77="Distinctiveness",(((((I77*AH77*AJ77)-(I77*V77*X77))*(AV77*AT77))+(I77*V77*X77))*AP77/1000),((((I77*AH77*AJ77)-(I77*V77*X77))*(AV77*AR77))+(I77*V77*X77))*AP77/1000)),"This intervention is not permitted within the SSM ▲")</f>
        <v/>
      </c>
      <c r="M77" s="790" t="str">
        <f>IFERROR(IF(F77="","",L77-AD77), "Error ▲")</f>
        <v/>
      </c>
      <c r="N77" s="879"/>
      <c r="O77" s="135"/>
      <c r="P77" s="87"/>
      <c r="R77" s="655"/>
      <c r="T77" s="217" t="str">
        <f>IF(D77="","",K22)</f>
        <v/>
      </c>
      <c r="U77" s="161" t="str">
        <f>IF($D77="","",T22)</f>
        <v/>
      </c>
      <c r="V77" s="162" t="str">
        <f>IF($D77="","",V22)</f>
        <v/>
      </c>
      <c r="W77" s="161" t="str">
        <f>IF($D77="","",W22)</f>
        <v/>
      </c>
      <c r="X77" s="60" t="str">
        <f>IF($D77="","",X22)</f>
        <v/>
      </c>
      <c r="Y77" s="349"/>
      <c r="Z77" s="349"/>
      <c r="AA77" s="349"/>
      <c r="AB77" s="60" t="str">
        <f>IF($D77="","",AB22)</f>
        <v/>
      </c>
      <c r="AC77" s="163" t="str">
        <f>IF($D77="","",AD22)</f>
        <v/>
      </c>
      <c r="AD77" s="162" t="str">
        <f>IF(AC77="","",(T77*V77*X77)*AC77/1000)</f>
        <v/>
      </c>
      <c r="AE77" s="219" t="str">
        <f>IF(AD77="","",IF(AH77&lt;V77,"Not Acceptable","Acceptable"))</f>
        <v/>
      </c>
      <c r="AF77" s="160" t="str">
        <f>IF(D77="","",I77)</f>
        <v/>
      </c>
      <c r="AG77" s="161" t="str">
        <f>IF(D77="","",VLOOKUP(F77,'9. All Habitats + Multipliers'!$C$4:$K$102,5,FALSE))</f>
        <v/>
      </c>
      <c r="AH77" s="162" t="str">
        <f>IF(AG77="","",VLOOKUP(AG77,'11. Lists'!$S$47:$U$50,2,FALSE))</f>
        <v/>
      </c>
      <c r="AI77" s="160" t="str">
        <f>IF(D77="","",J77)</f>
        <v/>
      </c>
      <c r="AJ77" s="61" t="str">
        <f>IF(AI77="","",VLOOKUP(AI77,'11. Lists'!$F$47:$G$51,2,FALSE))</f>
        <v/>
      </c>
      <c r="AK77" s="349"/>
      <c r="AL77" s="349"/>
      <c r="AM77" s="349"/>
      <c r="AN77" s="150" t="str">
        <f>IF(H77="","",H77)</f>
        <v/>
      </c>
      <c r="AO77" s="164" t="str">
        <f>IF(AN77="","",VLOOKUP(AN77,'11. Lists'!$F$36:$H$38,2,FALSE))</f>
        <v/>
      </c>
      <c r="AP77" s="162" t="str">
        <f>IF(AN77="","",VLOOKUP(AN77,'11. Lists'!$F$36:$H$38,3,FALSE))</f>
        <v/>
      </c>
      <c r="AQ77" s="161" t="str">
        <f>IF(D77="","",IF(AX77="Distinctiveness","N/A",VLOOKUP(F77,'10. Condition and Temporal'!$B$6:$L$103,11,FALSE)))</f>
        <v/>
      </c>
      <c r="AR77" s="165" t="str">
        <f>IF(AQ77="","",IF(AQ77="N/A","1",VLOOKUP(AQ77,'11. Lists'!$I$47:$K$80,3,FALSE)))</f>
        <v/>
      </c>
      <c r="AS77" s="180" t="str">
        <f>IF(D77="","",IF(AX77="Condition","N/A",VLOOKUP(F77,'10. Condition and Temporal'!$B$6:$M$106,12,FALSE)))</f>
        <v/>
      </c>
      <c r="AT77" s="165" t="str">
        <f>IF(AS77="","",IF(AS77="N/A","1",VLOOKUP(AS77,'11. Lists'!$I$47:$K$80,3,FALSE)))</f>
        <v/>
      </c>
      <c r="AU77" s="164" t="str">
        <f>IF(D77="","",VLOOKUP(F77,'9. All Habitats + Multipliers'!$C$4:$K$102,8,FALSE))</f>
        <v/>
      </c>
      <c r="AV77" s="162" t="str">
        <f>IF(AU77="","",VLOOKUP(AU77,'11. Lists'!$J$35:$K$38,2,FALSE))</f>
        <v/>
      </c>
      <c r="AW77" s="161" t="str">
        <f>IF(D77="","",VLOOKUP(D77,'10. Condition and Temporal'!$B$6:$M$103,4,FALSE))</f>
        <v/>
      </c>
      <c r="AX77" s="162" t="str">
        <f>IF(F77="","",IF(D77=F77,"Condition","Distinctiveness"))</f>
        <v/>
      </c>
      <c r="AZ77" s="235"/>
      <c r="BA77" s="61">
        <v>12</v>
      </c>
      <c r="BB77" s="60" t="str">
        <f>TRIM(MID(SUBSTITUTE($AW$66,$BA$62,REPT(" ",LEN($AW$66))),($BA77-1)*LEN($AW$66)+1,LEN($AW$66)))</f>
        <v/>
      </c>
      <c r="BC77" s="60" t="str">
        <f>TRIM(MID(SUBSTITUTE($AW$67,$BA$62,REPT(" ",LEN($AW$67))),($BA77-1)*LEN($AW$67)+1,LEN($AW$67)))</f>
        <v/>
      </c>
      <c r="BD77" s="60" t="str">
        <f>TRIM(MID(SUBSTITUTE($AW$68,$BA$62,REPT(" ",LEN($AW$68))),($BA77-1)*LEN($AW$68)+1,LEN($AW$68)))</f>
        <v/>
      </c>
      <c r="BE77" s="60" t="str">
        <f>TRIM(MID(SUBSTITUTE($AW$69,$BA$62,REPT(" ",LEN($AW$69))),($BA77-1)*LEN($AW$69)+1,LEN($AW$69)))</f>
        <v/>
      </c>
      <c r="BF77" s="60" t="str">
        <f>TRIM(MID(SUBSTITUTE($AW$70,$BA$62,REPT(" ",LEN($AW$70))),($BA77-1)*LEN($AW$70)+1,LEN($AW$70)))</f>
        <v/>
      </c>
      <c r="BG77" s="60" t="str">
        <f>TRIM(MID(SUBSTITUTE($AW$71,$BA$62,REPT(" ",LEN($AW$71))),($BA77-1)*LEN($AW$71)+1,LEN($AW$71)))</f>
        <v/>
      </c>
      <c r="BH77" s="60" t="str">
        <f>TRIM(MID(SUBSTITUTE($AW$72,$BA$62,REPT(" ",LEN($AW$72))),($BA77-1)*LEN($AW$72)+1,LEN($AW$72)))</f>
        <v/>
      </c>
      <c r="BI77" s="60" t="str">
        <f>TRIM(MID(SUBSTITUTE($AW$73,$BA$62,REPT(" ",LEN($AW$73))),($BA77-1)*LEN($AW$73)+1,LEN($AW$73)))</f>
        <v/>
      </c>
      <c r="BJ77" s="60" t="str">
        <f>TRIM(MID(SUBSTITUTE($AW$74,$BA$62,REPT(" ",LEN($AW$74))),($BA77-1)*LEN($AW$74)+1,LEN($AW$74)))</f>
        <v/>
      </c>
      <c r="BK77" s="60" t="str">
        <f>TRIM(MID(SUBSTITUTE($AW$75,$BA$62,REPT(" ",LEN($AW$75))),($BA77-1)*LEN($AW$75)+1,LEN($AW$75)))</f>
        <v/>
      </c>
      <c r="BL77" s="60" t="str">
        <f>TRIM(MID(SUBSTITUTE($AW$76,$BA$62,REPT(" ",LEN($AW$76))),($BA77-1)*LEN($AW$76)+1,LEN($AW$76)))</f>
        <v/>
      </c>
      <c r="BM77" s="60" t="str">
        <f>TRIM(MID(SUBSTITUTE($AW$77,$BA$62,REPT(" ",LEN($AW$77))),($BA77-1)*LEN($AW$77)+1,LEN($AW$77)))</f>
        <v/>
      </c>
      <c r="BN77" s="60" t="str">
        <f>TRIM(MID(SUBSTITUTE($AW$78,$BA$62,REPT(" ",LEN($AW$78))),($BA77-1)*LEN($AW$78)+1,LEN($AW$78)))</f>
        <v/>
      </c>
      <c r="BO77" s="60" t="str">
        <f>TRIM(MID(SUBSTITUTE($AW$79,$BA$62,REPT(" ",LEN($AW$79))),($BA77-1)*LEN($AW$79)+1,LEN($AW$79)))</f>
        <v/>
      </c>
      <c r="BP77" s="60" t="str">
        <f>TRIM(MID(SUBSTITUTE($AW$80,$BA$62,REPT(" ",LEN($AW$80))),($BA77-1)*LEN($AW$80)+1,LEN($AW$80)))</f>
        <v/>
      </c>
      <c r="BQ77" s="60" t="str">
        <f>TRIM(MID(SUBSTITUTE($AW$81,$BA$62,REPT(" ",LEN($AW$81))),($BA77-1)*LEN($AW$81)+1,LEN($AW$81)))</f>
        <v/>
      </c>
      <c r="BR77" s="60" t="str">
        <f>TRIM(MID(SUBSTITUTE($AW$82,$BA$62,REPT(" ",LEN($AW$82))),($BA77-1)*LEN($AW$82)+1,LEN($AW$82)))</f>
        <v/>
      </c>
      <c r="BS77" s="60" t="str">
        <f>TRIM(MID(SUBSTITUTE($AW$83,$BA$62,REPT(" ",LEN($AW$83))),($BA77-1)*LEN($AW$83)+1,LEN($AW$83)))</f>
        <v/>
      </c>
      <c r="BT77" s="60" t="str">
        <f>TRIM(MID(SUBSTITUTE($AW$84,$BA$62,REPT(" ",LEN($AW$84))),($BA77-1)*LEN($AW$84)+1,LEN($AW$84)))</f>
        <v/>
      </c>
      <c r="BU77" s="150" t="str">
        <f>TRIM(MID(SUBSTITUTE($AW$85,$BA$62,REPT(" ",LEN($AW$85))),($BA77-1)*LEN($AW$85)+1,LEN($AW$85)))</f>
        <v/>
      </c>
      <c r="BV77" s="224" t="str">
        <f>IF(BX77=0,"",CONCATENATE(BW77,"66:",BW77,BX77+65))</f>
        <v/>
      </c>
      <c r="BW77" s="60" t="s">
        <v>200</v>
      </c>
      <c r="BX77" s="60">
        <f>BM64</f>
        <v>0</v>
      </c>
    </row>
    <row r="78" spans="1:76" s="99" customFormat="1" ht="15.6" customHeight="1">
      <c r="B78" s="285">
        <v>13</v>
      </c>
      <c r="C78" s="166" t="str">
        <f>IF(D78="","",C23)</f>
        <v/>
      </c>
      <c r="D78" s="237" t="str">
        <f>IF(OR(K23="", K23=0),"",D23)</f>
        <v/>
      </c>
      <c r="E78" s="207" t="str">
        <f>IF(AX78="","",AX78)</f>
        <v/>
      </c>
      <c r="F78" s="739"/>
      <c r="G78" s="740"/>
      <c r="H78" s="204" t="str">
        <f>IF(D78="","",AB78)</f>
        <v/>
      </c>
      <c r="I78" s="333" t="str">
        <f>IF(OR(K23="", K23=0),"",K23)</f>
        <v/>
      </c>
      <c r="J78" s="877" t="str">
        <f>IFERROR(IF(F78="","",VLOOKUP(F78,'10. Condition and Temporal'!$B$6:$F$103,5,FALSE)), "Error ▲")</f>
        <v/>
      </c>
      <c r="K78" s="878"/>
      <c r="L78" s="304" t="str">
        <f>IFERROR(IF(D78="","",IF(AX78="Distinctiveness",(((((I78*AH78*AJ78)-(I78*V78*X78))*(AV78*AT78))+(I78*V78*X78))*AP78/1000),((((I78*AH78*AJ78)-(I78*V78*X78))*(AV78*AR78))+(I78*V78*X78))*AP78/1000)),"This intervention is not permitted within the SSM ▲")</f>
        <v/>
      </c>
      <c r="M78" s="790" t="str">
        <f>IFERROR(IF(F78="","",L78-AD78), "Error ▲")</f>
        <v/>
      </c>
      <c r="N78" s="879"/>
      <c r="O78" s="135"/>
      <c r="P78" s="87"/>
      <c r="R78" s="655"/>
      <c r="T78" s="217" t="str">
        <f>IF(D78="","",K23)</f>
        <v/>
      </c>
      <c r="U78" s="161" t="str">
        <f>IF($D78="","",T23)</f>
        <v/>
      </c>
      <c r="V78" s="162" t="str">
        <f>IF($D78="","",V23)</f>
        <v/>
      </c>
      <c r="W78" s="161" t="str">
        <f>IF($D78="","",W23)</f>
        <v/>
      </c>
      <c r="X78" s="60" t="str">
        <f>IF($D78="","",X23)</f>
        <v/>
      </c>
      <c r="Y78" s="349"/>
      <c r="Z78" s="349"/>
      <c r="AA78" s="349"/>
      <c r="AB78" s="60" t="str">
        <f>IF($D78="","",AB23)</f>
        <v/>
      </c>
      <c r="AC78" s="163" t="str">
        <f>IF($D78="","",AD23)</f>
        <v/>
      </c>
      <c r="AD78" s="162" t="str">
        <f>IF(AC78="","",(T78*V78*X78)*AC78/1000)</f>
        <v/>
      </c>
      <c r="AE78" s="219" t="str">
        <f>IF(AD78="","",IF(AH78&lt;V78,"Not Acceptable","Acceptable"))</f>
        <v/>
      </c>
      <c r="AF78" s="160" t="str">
        <f>IF(D78="","",I78)</f>
        <v/>
      </c>
      <c r="AG78" s="161" t="str">
        <f>IF(D78="","",VLOOKUP(F78,'9. All Habitats + Multipliers'!$C$4:$K$102,5,FALSE))</f>
        <v/>
      </c>
      <c r="AH78" s="162" t="str">
        <f>IF(AG78="","",VLOOKUP(AG78,'11. Lists'!$S$47:$U$50,2,FALSE))</f>
        <v/>
      </c>
      <c r="AI78" s="160" t="str">
        <f>IF(D78="","",J78)</f>
        <v/>
      </c>
      <c r="AJ78" s="61" t="str">
        <f>IF(AI78="","",VLOOKUP(AI78,'11. Lists'!$F$47:$G$51,2,FALSE))</f>
        <v/>
      </c>
      <c r="AK78" s="349"/>
      <c r="AL78" s="349"/>
      <c r="AM78" s="349"/>
      <c r="AN78" s="150" t="str">
        <f>IF(H78="","",H78)</f>
        <v/>
      </c>
      <c r="AO78" s="164" t="str">
        <f>IF(AN78="","",VLOOKUP(AN78,'11. Lists'!$F$36:$H$38,2,FALSE))</f>
        <v/>
      </c>
      <c r="AP78" s="162" t="str">
        <f>IF(AN78="","",VLOOKUP(AN78,'11. Lists'!$F$36:$H$38,3,FALSE))</f>
        <v/>
      </c>
      <c r="AQ78" s="161" t="str">
        <f>IF(D78="","",IF(AX78="Distinctiveness","N/A",VLOOKUP(F78,'10. Condition and Temporal'!$B$6:$L$103,11,FALSE)))</f>
        <v/>
      </c>
      <c r="AR78" s="165" t="str">
        <f>IF(AQ78="","",IF(AQ78="N/A","1",VLOOKUP(AQ78,'11. Lists'!$I$47:$K$80,3,FALSE)))</f>
        <v/>
      </c>
      <c r="AS78" s="180" t="str">
        <f>IF(D78="","",IF(AX78="Condition","N/A",VLOOKUP(F78,'10. Condition and Temporal'!$B$6:$M$106,12,FALSE)))</f>
        <v/>
      </c>
      <c r="AT78" s="165" t="str">
        <f>IF(AS78="","",IF(AS78="N/A","1",VLOOKUP(AS78,'11. Lists'!$I$47:$K$80,3,FALSE)))</f>
        <v/>
      </c>
      <c r="AU78" s="164" t="str">
        <f>IF(D78="","",VLOOKUP(F78,'9. All Habitats + Multipliers'!$C$4:$K$102,8,FALSE))</f>
        <v/>
      </c>
      <c r="AV78" s="162" t="str">
        <f>IF(AU78="","",VLOOKUP(AU78,'11. Lists'!$J$35:$K$38,2,FALSE))</f>
        <v/>
      </c>
      <c r="AW78" s="161" t="str">
        <f>IF(D78="","",VLOOKUP(D78,'10. Condition and Temporal'!$B$6:$M$103,4,FALSE))</f>
        <v/>
      </c>
      <c r="AX78" s="162" t="str">
        <f>IF(F78="","",IF(D78=F78,"Condition","Distinctiveness"))</f>
        <v/>
      </c>
      <c r="AZ78" s="235"/>
      <c r="BA78" s="61">
        <v>13</v>
      </c>
      <c r="BB78" s="60" t="str">
        <f>TRIM(MID(SUBSTITUTE($AW$66,$BA$62,REPT(" ",LEN($AW$66))),($BA78-1)*LEN($AW$66)+1,LEN($AW$66)))</f>
        <v/>
      </c>
      <c r="BC78" s="60" t="str">
        <f>TRIM(MID(SUBSTITUTE($AW$67,$BA$62,REPT(" ",LEN($AW$67))),($BA78-1)*LEN($AW$67)+1,LEN($AW$67)))</f>
        <v/>
      </c>
      <c r="BD78" s="60" t="str">
        <f>TRIM(MID(SUBSTITUTE($AW$68,$BA$62,REPT(" ",LEN($AW$68))),($BA78-1)*LEN($AW$68)+1,LEN($AW$68)))</f>
        <v/>
      </c>
      <c r="BE78" s="60" t="str">
        <f>TRIM(MID(SUBSTITUTE($AW$69,$BA$62,REPT(" ",LEN($AW$69))),($BA78-1)*LEN($AW$69)+1,LEN($AW$69)))</f>
        <v/>
      </c>
      <c r="BF78" s="60" t="str">
        <f>TRIM(MID(SUBSTITUTE($AW$70,$BA$62,REPT(" ",LEN($AW$70))),($BA78-1)*LEN($AW$70)+1,LEN($AW$70)))</f>
        <v/>
      </c>
      <c r="BG78" s="60" t="str">
        <f>TRIM(MID(SUBSTITUTE($AW$71,$BA$62,REPT(" ",LEN($AW$71))),($BA78-1)*LEN($AW$71)+1,LEN($AW$71)))</f>
        <v/>
      </c>
      <c r="BH78" s="60" t="str">
        <f>TRIM(MID(SUBSTITUTE($AW$72,$BA$62,REPT(" ",LEN($AW$72))),($BA78-1)*LEN($AW$72)+1,LEN($AW$72)))</f>
        <v/>
      </c>
      <c r="BI78" s="60" t="str">
        <f>TRIM(MID(SUBSTITUTE($AW$73,$BA$62,REPT(" ",LEN($AW$73))),($BA78-1)*LEN($AW$73)+1,LEN($AW$73)))</f>
        <v/>
      </c>
      <c r="BJ78" s="60" t="str">
        <f>TRIM(MID(SUBSTITUTE($AW$74,$BA$62,REPT(" ",LEN($AW$74))),($BA78-1)*LEN($AW$74)+1,LEN($AW$74)))</f>
        <v/>
      </c>
      <c r="BK78" s="60" t="str">
        <f>TRIM(MID(SUBSTITUTE($AW$75,$BA$62,REPT(" ",LEN($AW$75))),($BA78-1)*LEN($AW$75)+1,LEN($AW$75)))</f>
        <v/>
      </c>
      <c r="BL78" s="60" t="str">
        <f>TRIM(MID(SUBSTITUTE($AW$76,$BA$62,REPT(" ",LEN($AW$76))),($BA78-1)*LEN($AW$76)+1,LEN($AW$76)))</f>
        <v/>
      </c>
      <c r="BM78" s="60" t="str">
        <f>TRIM(MID(SUBSTITUTE($AW$77,$BA$62,REPT(" ",LEN($AW$77))),($BA78-1)*LEN($AW$77)+1,LEN($AW$77)))</f>
        <v/>
      </c>
      <c r="BN78" s="60" t="str">
        <f>TRIM(MID(SUBSTITUTE($AW$78,$BA$62,REPT(" ",LEN($AW$78))),($BA78-1)*LEN($AW$78)+1,LEN($AW$78)))</f>
        <v/>
      </c>
      <c r="BO78" s="60" t="str">
        <f>TRIM(MID(SUBSTITUTE($AW$79,$BA$62,REPT(" ",LEN($AW$79))),($BA78-1)*LEN($AW$79)+1,LEN($AW$79)))</f>
        <v/>
      </c>
      <c r="BP78" s="60" t="str">
        <f>TRIM(MID(SUBSTITUTE($AW$80,$BA$62,REPT(" ",LEN($AW$80))),($BA78-1)*LEN($AW$80)+1,LEN($AW$80)))</f>
        <v/>
      </c>
      <c r="BQ78" s="60" t="str">
        <f>TRIM(MID(SUBSTITUTE($AW$81,$BA$62,REPT(" ",LEN($AW$81))),($BA78-1)*LEN($AW$81)+1,LEN($AW$81)))</f>
        <v/>
      </c>
      <c r="BR78" s="60" t="str">
        <f>TRIM(MID(SUBSTITUTE($AW$82,$BA$62,REPT(" ",LEN($AW$82))),($BA78-1)*LEN($AW$82)+1,LEN($AW$82)))</f>
        <v/>
      </c>
      <c r="BS78" s="60" t="str">
        <f>TRIM(MID(SUBSTITUTE($AW$83,$BA$62,REPT(" ",LEN($AW$83))),($BA78-1)*LEN($AW$83)+1,LEN($AW$83)))</f>
        <v/>
      </c>
      <c r="BT78" s="60" t="str">
        <f>TRIM(MID(SUBSTITUTE($AW$84,$BA$62,REPT(" ",LEN($AW$84))),($BA78-1)*LEN($AW$84)+1,LEN($AW$84)))</f>
        <v/>
      </c>
      <c r="BU78" s="150" t="str">
        <f>TRIM(MID(SUBSTITUTE($AW$85,$BA$62,REPT(" ",LEN($AW$85))),($BA78-1)*LEN($AW$85)+1,LEN($AW$85)))</f>
        <v/>
      </c>
      <c r="BV78" s="224" t="str">
        <f>IF(BX78=0,"",CONCATENATE(BW78,"66:",BW78,BX78+65))</f>
        <v/>
      </c>
      <c r="BW78" s="60" t="s">
        <v>201</v>
      </c>
      <c r="BX78" s="60">
        <f>BN64</f>
        <v>0</v>
      </c>
    </row>
    <row r="79" spans="1:76" s="99" customFormat="1" ht="15.6" customHeight="1">
      <c r="B79" s="285">
        <v>14</v>
      </c>
      <c r="C79" s="166" t="str">
        <f>IF(D79="","",C24)</f>
        <v/>
      </c>
      <c r="D79" s="237" t="str">
        <f>IF(OR(K24="", K24=0),"",D24)</f>
        <v/>
      </c>
      <c r="E79" s="207" t="str">
        <f>IF(AX79="","",AX79)</f>
        <v/>
      </c>
      <c r="F79" s="739"/>
      <c r="G79" s="740"/>
      <c r="H79" s="204" t="str">
        <f>IF(D79="","",AB79)</f>
        <v/>
      </c>
      <c r="I79" s="333" t="str">
        <f>IF(OR(K24="", K24=0),"",K24)</f>
        <v/>
      </c>
      <c r="J79" s="877" t="str">
        <f>IFERROR(IF(F79="","",VLOOKUP(F79,'10. Condition and Temporal'!$B$6:$F$103,5,FALSE)), "Error ▲")</f>
        <v/>
      </c>
      <c r="K79" s="878"/>
      <c r="L79" s="304" t="str">
        <f>IFERROR(IF(D79="","",IF(AX79="Distinctiveness",(((((I79*AH79*AJ79)-(I79*V79*X79))*(AV79*AT79))+(I79*V79*X79))*AP79/1000),((((I79*AH79*AJ79)-(I79*V79*X79))*(AV79*AR79))+(I79*V79*X79))*AP79/1000)),"This intervention is not permitted within the SSM ▲")</f>
        <v/>
      </c>
      <c r="M79" s="790" t="str">
        <f>IFERROR(IF(F79="","",L79-AD79), "Error ▲")</f>
        <v/>
      </c>
      <c r="N79" s="879"/>
      <c r="O79" s="135"/>
      <c r="P79" s="87"/>
      <c r="R79" s="655"/>
      <c r="T79" s="217" t="str">
        <f>IF(D79="","",K24)</f>
        <v/>
      </c>
      <c r="U79" s="161" t="str">
        <f>IF($D79="","",T24)</f>
        <v/>
      </c>
      <c r="V79" s="162" t="str">
        <f>IF($D79="","",V24)</f>
        <v/>
      </c>
      <c r="W79" s="161" t="str">
        <f>IF($D79="","",W24)</f>
        <v/>
      </c>
      <c r="X79" s="60" t="str">
        <f>IF($D79="","",X24)</f>
        <v/>
      </c>
      <c r="Y79" s="349"/>
      <c r="Z79" s="349"/>
      <c r="AA79" s="349"/>
      <c r="AB79" s="60" t="str">
        <f>IF($D79="","",AB24)</f>
        <v/>
      </c>
      <c r="AC79" s="163" t="str">
        <f>IF($D79="","",AD24)</f>
        <v/>
      </c>
      <c r="AD79" s="162" t="str">
        <f>IF(AC79="","",(T79*V79*X79)*AC79/1000)</f>
        <v/>
      </c>
      <c r="AE79" s="219" t="str">
        <f>IF(AD79="","",IF(AH79&lt;V79,"Not Acceptable","Acceptable"))</f>
        <v/>
      </c>
      <c r="AF79" s="160" t="str">
        <f>IF(D79="","",I79)</f>
        <v/>
      </c>
      <c r="AG79" s="161" t="str">
        <f>IF(D79="","",VLOOKUP(F79,'9. All Habitats + Multipliers'!$C$4:$K$102,5,FALSE))</f>
        <v/>
      </c>
      <c r="AH79" s="162" t="str">
        <f>IF(AG79="","",VLOOKUP(AG79,'11. Lists'!$S$47:$U$50,2,FALSE))</f>
        <v/>
      </c>
      <c r="AI79" s="160" t="str">
        <f>IF(D79="","",J79)</f>
        <v/>
      </c>
      <c r="AJ79" s="61" t="str">
        <f>IF(AI79="","",VLOOKUP(AI79,'11. Lists'!$F$47:$G$51,2,FALSE))</f>
        <v/>
      </c>
      <c r="AK79" s="349"/>
      <c r="AL79" s="349"/>
      <c r="AM79" s="349"/>
      <c r="AN79" s="150" t="str">
        <f>IF(H79="","",H79)</f>
        <v/>
      </c>
      <c r="AO79" s="164" t="str">
        <f>IF(AN79="","",VLOOKUP(AN79,'11. Lists'!$F$36:$H$38,2,FALSE))</f>
        <v/>
      </c>
      <c r="AP79" s="162" t="str">
        <f>IF(AN79="","",VLOOKUP(AN79,'11. Lists'!$F$36:$H$38,3,FALSE))</f>
        <v/>
      </c>
      <c r="AQ79" s="161" t="str">
        <f>IF(D79="","",IF(AX79="Distinctiveness","N/A",VLOOKUP(F79,'10. Condition and Temporal'!$B$6:$L$103,11,FALSE)))</f>
        <v/>
      </c>
      <c r="AR79" s="165" t="str">
        <f>IF(AQ79="","",IF(AQ79="N/A","1",VLOOKUP(AQ79,'11. Lists'!$I$47:$K$80,3,FALSE)))</f>
        <v/>
      </c>
      <c r="AS79" s="180" t="str">
        <f>IF(D79="","",IF(AX79="Condition","N/A",VLOOKUP(F79,'10. Condition and Temporal'!$B$6:$M$106,12,FALSE)))</f>
        <v/>
      </c>
      <c r="AT79" s="165" t="str">
        <f>IF(AS79="","",IF(AS79="N/A","1",VLOOKUP(AS79,'11. Lists'!$I$47:$K$80,3,FALSE)))</f>
        <v/>
      </c>
      <c r="AU79" s="164" t="str">
        <f>IF(D79="","",VLOOKUP(F79,'9. All Habitats + Multipliers'!$C$4:$K$102,8,FALSE))</f>
        <v/>
      </c>
      <c r="AV79" s="162" t="str">
        <f>IF(AU79="","",VLOOKUP(AU79,'11. Lists'!$J$35:$K$38,2,FALSE))</f>
        <v/>
      </c>
      <c r="AW79" s="161" t="str">
        <f>IF(D79="","",VLOOKUP(D79,'10. Condition and Temporal'!$B$6:$M$103,4,FALSE))</f>
        <v/>
      </c>
      <c r="AX79" s="162" t="str">
        <f>IF(F79="","",IF(D79=F79,"Condition","Distinctiveness"))</f>
        <v/>
      </c>
      <c r="AZ79" s="235"/>
      <c r="BA79" s="61">
        <v>14</v>
      </c>
      <c r="BB79" s="60" t="str">
        <f>TRIM(MID(SUBSTITUTE($AW$66,$BA$62,REPT(" ",LEN($AW$66))),($BA79-1)*LEN($AW$66)+1,LEN($AW$66)))</f>
        <v/>
      </c>
      <c r="BC79" s="60" t="str">
        <f>TRIM(MID(SUBSTITUTE($AW$67,$BA$62,REPT(" ",LEN($AW$67))),($BA79-1)*LEN($AW$67)+1,LEN($AW$67)))</f>
        <v/>
      </c>
      <c r="BD79" s="60" t="str">
        <f>TRIM(MID(SUBSTITUTE($AW$68,$BA$62,REPT(" ",LEN($AW$68))),($BA79-1)*LEN($AW$68)+1,LEN($AW$68)))</f>
        <v/>
      </c>
      <c r="BE79" s="60" t="str">
        <f>TRIM(MID(SUBSTITUTE($AW$69,$BA$62,REPT(" ",LEN($AW$69))),($BA79-1)*LEN($AW$69)+1,LEN($AW$69)))</f>
        <v/>
      </c>
      <c r="BF79" s="60" t="str">
        <f>TRIM(MID(SUBSTITUTE($AW$70,$BA$62,REPT(" ",LEN($AW$70))),($BA79-1)*LEN($AW$70)+1,LEN($AW$70)))</f>
        <v/>
      </c>
      <c r="BG79" s="60" t="str">
        <f>TRIM(MID(SUBSTITUTE($AW$71,$BA$62,REPT(" ",LEN($AW$71))),($BA79-1)*LEN($AW$71)+1,LEN($AW$71)))</f>
        <v/>
      </c>
      <c r="BH79" s="60" t="str">
        <f>TRIM(MID(SUBSTITUTE($AW$72,$BA$62,REPT(" ",LEN($AW$72))),($BA79-1)*LEN($AW$72)+1,LEN($AW$72)))</f>
        <v/>
      </c>
      <c r="BI79" s="60" t="str">
        <f>TRIM(MID(SUBSTITUTE($AW$73,$BA$62,REPT(" ",LEN($AW$73))),($BA79-1)*LEN($AW$73)+1,LEN($AW$73)))</f>
        <v/>
      </c>
      <c r="BJ79" s="60" t="str">
        <f>TRIM(MID(SUBSTITUTE($AW$74,$BA$62,REPT(" ",LEN($AW$74))),($BA79-1)*LEN($AW$74)+1,LEN($AW$74)))</f>
        <v/>
      </c>
      <c r="BK79" s="60" t="str">
        <f>TRIM(MID(SUBSTITUTE($AW$75,$BA$62,REPT(" ",LEN($AW$75))),($BA79-1)*LEN($AW$75)+1,LEN($AW$75)))</f>
        <v/>
      </c>
      <c r="BL79" s="60" t="str">
        <f>TRIM(MID(SUBSTITUTE($AW$76,$BA$62,REPT(" ",LEN($AW$76))),($BA79-1)*LEN($AW$76)+1,LEN($AW$76)))</f>
        <v/>
      </c>
      <c r="BM79" s="60" t="str">
        <f>TRIM(MID(SUBSTITUTE($AW$77,$BA$62,REPT(" ",LEN($AW$77))),($BA79-1)*LEN($AW$77)+1,LEN($AW$77)))</f>
        <v/>
      </c>
      <c r="BN79" s="60" t="str">
        <f>TRIM(MID(SUBSTITUTE($AW$78,$BA$62,REPT(" ",LEN($AW$78))),($BA79-1)*LEN($AW$78)+1,LEN($AW$78)))</f>
        <v/>
      </c>
      <c r="BO79" s="60" t="str">
        <f>TRIM(MID(SUBSTITUTE($AW$79,$BA$62,REPT(" ",LEN($AW$79))),($BA79-1)*LEN($AW$79)+1,LEN($AW$79)))</f>
        <v/>
      </c>
      <c r="BP79" s="60" t="str">
        <f>TRIM(MID(SUBSTITUTE($AW$80,$BA$62,REPT(" ",LEN($AW$80))),($BA79-1)*LEN($AW$80)+1,LEN($AW$80)))</f>
        <v/>
      </c>
      <c r="BQ79" s="60" t="str">
        <f>TRIM(MID(SUBSTITUTE($AW$81,$BA$62,REPT(" ",LEN($AW$81))),($BA79-1)*LEN($AW$81)+1,LEN($AW$81)))</f>
        <v/>
      </c>
      <c r="BR79" s="60" t="str">
        <f>TRIM(MID(SUBSTITUTE($AW$82,$BA$62,REPT(" ",LEN($AW$82))),($BA79-1)*LEN($AW$82)+1,LEN($AW$82)))</f>
        <v/>
      </c>
      <c r="BS79" s="60" t="str">
        <f>TRIM(MID(SUBSTITUTE($AW$83,$BA$62,REPT(" ",LEN($AW$83))),($BA79-1)*LEN($AW$83)+1,LEN($AW$83)))</f>
        <v/>
      </c>
      <c r="BT79" s="60" t="str">
        <f>TRIM(MID(SUBSTITUTE($AW$84,$BA$62,REPT(" ",LEN($AW$84))),($BA79-1)*LEN($AW$84)+1,LEN($AW$84)))</f>
        <v/>
      </c>
      <c r="BU79" s="150" t="str">
        <f>TRIM(MID(SUBSTITUTE($AW$85,$BA$62,REPT(" ",LEN($AW$85))),($BA79-1)*LEN($AW$85)+1,LEN($AW$85)))</f>
        <v/>
      </c>
      <c r="BV79" s="224" t="str">
        <f>IF(BX79=0,"",CONCATENATE(BW79,"66:",BW79,BX79+65))</f>
        <v/>
      </c>
      <c r="BW79" s="60" t="s">
        <v>202</v>
      </c>
      <c r="BX79" s="60">
        <f>BO64</f>
        <v>0</v>
      </c>
    </row>
    <row r="80" spans="1:76" s="99" customFormat="1" ht="15.6" customHeight="1">
      <c r="B80" s="285">
        <v>15</v>
      </c>
      <c r="C80" s="166" t="str">
        <f>IF(D80="","",C25)</f>
        <v/>
      </c>
      <c r="D80" s="237" t="str">
        <f>IF(OR(K25="", K25=0),"",D25)</f>
        <v/>
      </c>
      <c r="E80" s="207" t="str">
        <f>IF(AX80="","",AX80)</f>
        <v/>
      </c>
      <c r="F80" s="739"/>
      <c r="G80" s="740"/>
      <c r="H80" s="204" t="str">
        <f>IF(D80="","",AB80)</f>
        <v/>
      </c>
      <c r="I80" s="333" t="str">
        <f>IF(OR(K25="", K25=0),"",K25)</f>
        <v/>
      </c>
      <c r="J80" s="877" t="str">
        <f>IFERROR(IF(F80="","",VLOOKUP(F80,'10. Condition and Temporal'!$B$6:$F$103,5,FALSE)), "Error ▲")</f>
        <v/>
      </c>
      <c r="K80" s="878"/>
      <c r="L80" s="304" t="str">
        <f>IFERROR(IF(D80="","",IF(AX80="Distinctiveness",(((((I80*AH80*AJ80)-(I80*V80*X80))*(AV80*AT80))+(I80*V80*X80))*AP80/1000),((((I80*AH80*AJ80)-(I80*V80*X80))*(AV80*AR80))+(I80*V80*X80))*AP80/1000)),"This intervention is not permitted within the SSM ▲")</f>
        <v/>
      </c>
      <c r="M80" s="790" t="str">
        <f>IFERROR(IF(F80="","",L80-AD80), "Error ▲")</f>
        <v/>
      </c>
      <c r="N80" s="879"/>
      <c r="O80" s="135"/>
      <c r="P80" s="87"/>
      <c r="R80" s="655"/>
      <c r="T80" s="217" t="str">
        <f>IF(D80="","",K25)</f>
        <v/>
      </c>
      <c r="U80" s="161" t="str">
        <f>IF($D80="","",T25)</f>
        <v/>
      </c>
      <c r="V80" s="162" t="str">
        <f>IF($D80="","",V25)</f>
        <v/>
      </c>
      <c r="W80" s="161" t="str">
        <f>IF($D80="","",W25)</f>
        <v/>
      </c>
      <c r="X80" s="60" t="str">
        <f>IF($D80="","",X25)</f>
        <v/>
      </c>
      <c r="Y80" s="349"/>
      <c r="Z80" s="349"/>
      <c r="AA80" s="349"/>
      <c r="AB80" s="60" t="str">
        <f>IF($D80="","",AB25)</f>
        <v/>
      </c>
      <c r="AC80" s="163" t="str">
        <f>IF($D80="","",AD25)</f>
        <v/>
      </c>
      <c r="AD80" s="162" t="str">
        <f>IF(AC80="","",(T80*V80*X80)*AC80/1000)</f>
        <v/>
      </c>
      <c r="AE80" s="219" t="str">
        <f>IF(AD80="","",IF(AH80&lt;V80,"Not Acceptable","Acceptable"))</f>
        <v/>
      </c>
      <c r="AF80" s="160" t="str">
        <f>IF(D80="","",I80)</f>
        <v/>
      </c>
      <c r="AG80" s="161" t="str">
        <f>IF(D80="","",VLOOKUP(F80,'9. All Habitats + Multipliers'!$C$4:$K$102,5,FALSE))</f>
        <v/>
      </c>
      <c r="AH80" s="162" t="str">
        <f>IF(AG80="","",VLOOKUP(AG80,'11. Lists'!$S$47:$U$50,2,FALSE))</f>
        <v/>
      </c>
      <c r="AI80" s="160" t="str">
        <f>IF(D80="","",J80)</f>
        <v/>
      </c>
      <c r="AJ80" s="61" t="str">
        <f>IF(AI80="","",VLOOKUP(AI80,'11. Lists'!$F$47:$G$51,2,FALSE))</f>
        <v/>
      </c>
      <c r="AK80" s="349"/>
      <c r="AL80" s="349"/>
      <c r="AM80" s="349"/>
      <c r="AN80" s="150" t="str">
        <f>IF(H80="","",H80)</f>
        <v/>
      </c>
      <c r="AO80" s="164" t="str">
        <f>IF(AN80="","",VLOOKUP(AN80,'11. Lists'!$F$36:$H$38,2,FALSE))</f>
        <v/>
      </c>
      <c r="AP80" s="162" t="str">
        <f>IF(AN80="","",VLOOKUP(AN80,'11. Lists'!$F$36:$H$38,3,FALSE))</f>
        <v/>
      </c>
      <c r="AQ80" s="161" t="str">
        <f>IF(D80="","",IF(AX80="Distinctiveness","N/A",VLOOKUP(F80,'10. Condition and Temporal'!$B$6:$L$103,11,FALSE)))</f>
        <v/>
      </c>
      <c r="AR80" s="165" t="str">
        <f>IF(AQ80="","",IF(AQ80="N/A","1",VLOOKUP(AQ80,'11. Lists'!$I$47:$K$80,3,FALSE)))</f>
        <v/>
      </c>
      <c r="AS80" s="180" t="str">
        <f>IF(D80="","",IF(AX80="Condition","N/A",VLOOKUP(F80,'10. Condition and Temporal'!$B$6:$M$106,12,FALSE)))</f>
        <v/>
      </c>
      <c r="AT80" s="165" t="str">
        <f>IF(AS80="","",IF(AS80="N/A","1",VLOOKUP(AS80,'11. Lists'!$I$47:$K$80,3,FALSE)))</f>
        <v/>
      </c>
      <c r="AU80" s="164" t="str">
        <f>IF(D80="","",VLOOKUP(F80,'9. All Habitats + Multipliers'!$C$4:$K$102,8,FALSE))</f>
        <v/>
      </c>
      <c r="AV80" s="162" t="str">
        <f>IF(AU80="","",VLOOKUP(AU80,'11. Lists'!$J$35:$K$38,2,FALSE))</f>
        <v/>
      </c>
      <c r="AW80" s="161" t="str">
        <f>IF(D80="","",VLOOKUP(D80,'10. Condition and Temporal'!$B$6:$M$103,4,FALSE))</f>
        <v/>
      </c>
      <c r="AX80" s="162" t="str">
        <f>IF(F80="","",IF(D80=F80,"Condition","Distinctiveness"))</f>
        <v/>
      </c>
      <c r="AZ80" s="235"/>
      <c r="BA80" s="61">
        <v>15</v>
      </c>
      <c r="BB80" s="60" t="str">
        <f>TRIM(MID(SUBSTITUTE($AW$66,$BA$62,REPT(" ",LEN($AW$66))),($BA80-1)*LEN($AW$66)+1,LEN($AW$66)))</f>
        <v/>
      </c>
      <c r="BC80" s="60" t="str">
        <f>TRIM(MID(SUBSTITUTE($AW$67,$BA$62,REPT(" ",LEN($AW$67))),($BA80-1)*LEN($AW$67)+1,LEN($AW$67)))</f>
        <v/>
      </c>
      <c r="BD80" s="60" t="str">
        <f>TRIM(MID(SUBSTITUTE($AW$68,$BA$62,REPT(" ",LEN($AW$68))),($BA80-1)*LEN($AW$68)+1,LEN($AW$68)))</f>
        <v/>
      </c>
      <c r="BE80" s="60" t="str">
        <f>TRIM(MID(SUBSTITUTE($AW$69,$BA$62,REPT(" ",LEN($AW$69))),($BA80-1)*LEN($AW$69)+1,LEN($AW$69)))</f>
        <v/>
      </c>
      <c r="BF80" s="60" t="str">
        <f>TRIM(MID(SUBSTITUTE($AW$70,$BA$62,REPT(" ",LEN($AW$70))),($BA80-1)*LEN($AW$70)+1,LEN($AW$70)))</f>
        <v/>
      </c>
      <c r="BG80" s="60" t="str">
        <f>TRIM(MID(SUBSTITUTE($AW$71,$BA$62,REPT(" ",LEN($AW$71))),($BA80-1)*LEN($AW$71)+1,LEN($AW$71)))</f>
        <v/>
      </c>
      <c r="BH80" s="60" t="str">
        <f>TRIM(MID(SUBSTITUTE($AW$72,$BA$62,REPT(" ",LEN($AW$72))),($BA80-1)*LEN($AW$72)+1,LEN($AW$72)))</f>
        <v/>
      </c>
      <c r="BI80" s="60" t="str">
        <f>TRIM(MID(SUBSTITUTE($AW$73,$BA$62,REPT(" ",LEN($AW$73))),($BA80-1)*LEN($AW$73)+1,LEN($AW$73)))</f>
        <v/>
      </c>
      <c r="BJ80" s="60" t="str">
        <f>TRIM(MID(SUBSTITUTE($AW$74,$BA$62,REPT(" ",LEN($AW$74))),($BA80-1)*LEN($AW$74)+1,LEN($AW$74)))</f>
        <v/>
      </c>
      <c r="BK80" s="60" t="str">
        <f>TRIM(MID(SUBSTITUTE($AW$75,$BA$62,REPT(" ",LEN($AW$75))),($BA80-1)*LEN($AW$75)+1,LEN($AW$75)))</f>
        <v/>
      </c>
      <c r="BL80" s="60" t="str">
        <f>TRIM(MID(SUBSTITUTE($AW$76,$BA$62,REPT(" ",LEN($AW$76))),($BA80-1)*LEN($AW$76)+1,LEN($AW$76)))</f>
        <v/>
      </c>
      <c r="BM80" s="60" t="str">
        <f>TRIM(MID(SUBSTITUTE($AW$77,$BA$62,REPT(" ",LEN($AW$77))),($BA80-1)*LEN($AW$77)+1,LEN($AW$77)))</f>
        <v/>
      </c>
      <c r="BN80" s="60" t="str">
        <f>TRIM(MID(SUBSTITUTE($AW$78,$BA$62,REPT(" ",LEN($AW$78))),($BA80-1)*LEN($AW$78)+1,LEN($AW$78)))</f>
        <v/>
      </c>
      <c r="BO80" s="60" t="str">
        <f>TRIM(MID(SUBSTITUTE($AW$79,$BA$62,REPT(" ",LEN($AW$79))),($BA80-1)*LEN($AW$79)+1,LEN($AW$79)))</f>
        <v/>
      </c>
      <c r="BP80" s="60" t="str">
        <f>TRIM(MID(SUBSTITUTE($AW$80,$BA$62,REPT(" ",LEN($AW$80))),($BA80-1)*LEN($AW$80)+1,LEN($AW$80)))</f>
        <v/>
      </c>
      <c r="BQ80" s="60" t="str">
        <f>TRIM(MID(SUBSTITUTE($AW$81,$BA$62,REPT(" ",LEN($AW$81))),($BA80-1)*LEN($AW$81)+1,LEN($AW$81)))</f>
        <v/>
      </c>
      <c r="BR80" s="60" t="str">
        <f>TRIM(MID(SUBSTITUTE($AW$82,$BA$62,REPT(" ",LEN($AW$82))),($BA80-1)*LEN($AW$82)+1,LEN($AW$82)))</f>
        <v/>
      </c>
      <c r="BS80" s="60" t="str">
        <f>TRIM(MID(SUBSTITUTE($AW$83,$BA$62,REPT(" ",LEN($AW$83))),($BA80-1)*LEN($AW$83)+1,LEN($AW$83)))</f>
        <v/>
      </c>
      <c r="BT80" s="60" t="str">
        <f>TRIM(MID(SUBSTITUTE($AW$84,$BA$62,REPT(" ",LEN($AW$84))),($BA80-1)*LEN($AW$84)+1,LEN($AW$84)))</f>
        <v/>
      </c>
      <c r="BU80" s="150" t="str">
        <f>TRIM(MID(SUBSTITUTE($AW$85,$BA$62,REPT(" ",LEN($AW$85))),($BA80-1)*LEN($AW$85)+1,LEN($AW$85)))</f>
        <v/>
      </c>
      <c r="BV80" s="224" t="str">
        <f>IF(BX80=0,"",CONCATENATE(BW80,"66:",BW80,BX80+65))</f>
        <v/>
      </c>
      <c r="BW80" s="60" t="s">
        <v>203</v>
      </c>
      <c r="BX80" s="60">
        <f>BP64</f>
        <v>0</v>
      </c>
    </row>
    <row r="81" spans="1:76" s="99" customFormat="1" ht="15.6" customHeight="1">
      <c r="B81" s="285">
        <v>16</v>
      </c>
      <c r="C81" s="166" t="str">
        <f>IF(D81="","",C26)</f>
        <v/>
      </c>
      <c r="D81" s="237" t="str">
        <f>IF(OR(K26="", K26=0),"",D26)</f>
        <v/>
      </c>
      <c r="E81" s="207" t="str">
        <f>IF(AX81="","",AX81)</f>
        <v/>
      </c>
      <c r="F81" s="739"/>
      <c r="G81" s="740"/>
      <c r="H81" s="204" t="str">
        <f>IF(D81="","",AB81)</f>
        <v/>
      </c>
      <c r="I81" s="333" t="str">
        <f>IF(OR(K26="", K26=0),"",K26)</f>
        <v/>
      </c>
      <c r="J81" s="877" t="str">
        <f>IFERROR(IF(F81="","",VLOOKUP(F81,'10. Condition and Temporal'!$B$6:$F$103,5,FALSE)), "Error ▲")</f>
        <v/>
      </c>
      <c r="K81" s="878"/>
      <c r="L81" s="304" t="str">
        <f>IFERROR(IF(D81="","",IF(AX81="Distinctiveness",(((((I81*AH81*AJ81)-(I81*V81*X81))*(AV81*AT81))+(I81*V81*X81))*AP81/1000),((((I81*AH81*AJ81)-(I81*V81*X81))*(AV81*AR81))+(I81*V81*X81))*AP81/1000)),"This intervention is not permitted within the SSM ▲")</f>
        <v/>
      </c>
      <c r="M81" s="790" t="str">
        <f>IFERROR(IF(F81="","",L81-AD81), "Error ▲")</f>
        <v/>
      </c>
      <c r="N81" s="879"/>
      <c r="O81" s="135"/>
      <c r="P81" s="87"/>
      <c r="R81" s="655"/>
      <c r="T81" s="217" t="str">
        <f>IF(D81="","",K26)</f>
        <v/>
      </c>
      <c r="U81" s="161" t="str">
        <f>IF($D81="","",T26)</f>
        <v/>
      </c>
      <c r="V81" s="162" t="str">
        <f>IF($D81="","",V26)</f>
        <v/>
      </c>
      <c r="W81" s="161" t="str">
        <f>IF($D81="","",W26)</f>
        <v/>
      </c>
      <c r="X81" s="60" t="str">
        <f>IF($D81="","",X26)</f>
        <v/>
      </c>
      <c r="Y81" s="349"/>
      <c r="Z81" s="349"/>
      <c r="AA81" s="349"/>
      <c r="AB81" s="60" t="str">
        <f>IF($D81="","",AB26)</f>
        <v/>
      </c>
      <c r="AC81" s="163" t="str">
        <f>IF($D81="","",AD26)</f>
        <v/>
      </c>
      <c r="AD81" s="162" t="str">
        <f>IF(AC81="","",(T81*V81*X81)*AC81/1000)</f>
        <v/>
      </c>
      <c r="AE81" s="219" t="str">
        <f>IF(AD81="","",IF(AH81&lt;V81,"Not Acceptable","Acceptable"))</f>
        <v/>
      </c>
      <c r="AF81" s="160" t="str">
        <f>IF(D81="","",I81)</f>
        <v/>
      </c>
      <c r="AG81" s="161" t="str">
        <f>IF(D81="","",VLOOKUP(F81,'9. All Habitats + Multipliers'!$C$4:$K$102,5,FALSE))</f>
        <v/>
      </c>
      <c r="AH81" s="162" t="str">
        <f>IF(AG81="","",VLOOKUP(AG81,'11. Lists'!$S$47:$U$50,2,FALSE))</f>
        <v/>
      </c>
      <c r="AI81" s="160" t="str">
        <f>IF(D81="","",J81)</f>
        <v/>
      </c>
      <c r="AJ81" s="61" t="str">
        <f>IF(AI81="","",VLOOKUP(AI81,'11. Lists'!$F$47:$G$51,2,FALSE))</f>
        <v/>
      </c>
      <c r="AK81" s="349"/>
      <c r="AL81" s="349"/>
      <c r="AM81" s="349"/>
      <c r="AN81" s="150" t="str">
        <f>IF(H81="","",H81)</f>
        <v/>
      </c>
      <c r="AO81" s="164" t="str">
        <f>IF(AN81="","",VLOOKUP(AN81,'11. Lists'!$F$36:$H$38,2,FALSE))</f>
        <v/>
      </c>
      <c r="AP81" s="162" t="str">
        <f>IF(AN81="","",VLOOKUP(AN81,'11. Lists'!$F$36:$H$38,3,FALSE))</f>
        <v/>
      </c>
      <c r="AQ81" s="161" t="str">
        <f>IF(D81="","",IF(AX81="Distinctiveness","N/A",VLOOKUP(F81,'10. Condition and Temporal'!$B$6:$L$103,11,FALSE)))</f>
        <v/>
      </c>
      <c r="AR81" s="165" t="str">
        <f>IF(AQ81="","",IF(AQ81="N/A","1",VLOOKUP(AQ81,'11. Lists'!$I$47:$K$80,3,FALSE)))</f>
        <v/>
      </c>
      <c r="AS81" s="180" t="str">
        <f>IF(D81="","",IF(AX81="Condition","N/A",VLOOKUP(F81,'10. Condition and Temporal'!$B$6:$M$106,12,FALSE)))</f>
        <v/>
      </c>
      <c r="AT81" s="165" t="str">
        <f>IF(AS81="","",IF(AS81="N/A","1",VLOOKUP(AS81,'11. Lists'!$I$47:$K$80,3,FALSE)))</f>
        <v/>
      </c>
      <c r="AU81" s="164" t="str">
        <f>IF(D81="","",VLOOKUP(F81,'9. All Habitats + Multipliers'!$C$4:$K$102,8,FALSE))</f>
        <v/>
      </c>
      <c r="AV81" s="162" t="str">
        <f>IF(AU81="","",VLOOKUP(AU81,'11. Lists'!$J$35:$K$38,2,FALSE))</f>
        <v/>
      </c>
      <c r="AW81" s="161" t="str">
        <f>IF(D81="","",VLOOKUP(D81,'10. Condition and Temporal'!$B$6:$M$103,4,FALSE))</f>
        <v/>
      </c>
      <c r="AX81" s="162" t="str">
        <f>IF(F81="","",IF(D81=F81,"Condition","Distinctiveness"))</f>
        <v/>
      </c>
      <c r="AZ81" s="235"/>
      <c r="BA81" s="61">
        <v>16</v>
      </c>
      <c r="BB81" s="60" t="str">
        <f>TRIM(MID(SUBSTITUTE($AW$66,$BA$62,REPT(" ",LEN($AW$66))),($BA81-1)*LEN($AW$66)+1,LEN($AW$66)))</f>
        <v/>
      </c>
      <c r="BC81" s="60" t="str">
        <f>TRIM(MID(SUBSTITUTE($AW$67,$BA$62,REPT(" ",LEN($AW$67))),($BA81-1)*LEN($AW$67)+1,LEN($AW$67)))</f>
        <v/>
      </c>
      <c r="BD81" s="60" t="str">
        <f>TRIM(MID(SUBSTITUTE($AW$68,$BA$62,REPT(" ",LEN($AW$68))),($BA81-1)*LEN($AW$68)+1,LEN($AW$68)))</f>
        <v/>
      </c>
      <c r="BE81" s="60" t="str">
        <f>TRIM(MID(SUBSTITUTE($AW$69,$BA$62,REPT(" ",LEN($AW$69))),($BA81-1)*LEN($AW$69)+1,LEN($AW$69)))</f>
        <v/>
      </c>
      <c r="BF81" s="60" t="str">
        <f>TRIM(MID(SUBSTITUTE($AW$70,$BA$62,REPT(" ",LEN($AW$70))),($BA81-1)*LEN($AW$70)+1,LEN($AW$70)))</f>
        <v/>
      </c>
      <c r="BG81" s="60" t="str">
        <f>TRIM(MID(SUBSTITUTE($AW$71,$BA$62,REPT(" ",LEN($AW$71))),($BA81-1)*LEN($AW$71)+1,LEN($AW$71)))</f>
        <v/>
      </c>
      <c r="BH81" s="60" t="str">
        <f>TRIM(MID(SUBSTITUTE($AW$72,$BA$62,REPT(" ",LEN($AW$72))),($BA81-1)*LEN($AW$72)+1,LEN($AW$72)))</f>
        <v/>
      </c>
      <c r="BI81" s="60" t="str">
        <f>TRIM(MID(SUBSTITUTE($AW$73,$BA$62,REPT(" ",LEN($AW$73))),($BA81-1)*LEN($AW$73)+1,LEN($AW$73)))</f>
        <v/>
      </c>
      <c r="BJ81" s="60" t="str">
        <f>TRIM(MID(SUBSTITUTE($AW$74,$BA$62,REPT(" ",LEN($AW$74))),($BA81-1)*LEN($AW$74)+1,LEN($AW$74)))</f>
        <v/>
      </c>
      <c r="BK81" s="60" t="str">
        <f>TRIM(MID(SUBSTITUTE($AW$75,$BA$62,REPT(" ",LEN($AW$75))),($BA81-1)*LEN($AW$75)+1,LEN($AW$75)))</f>
        <v/>
      </c>
      <c r="BL81" s="60" t="str">
        <f>TRIM(MID(SUBSTITUTE($AW$76,$BA$62,REPT(" ",LEN($AW$76))),($BA81-1)*LEN($AW$76)+1,LEN($AW$76)))</f>
        <v/>
      </c>
      <c r="BM81" s="60" t="str">
        <f>TRIM(MID(SUBSTITUTE($AW$77,$BA$62,REPT(" ",LEN($AW$77))),($BA81-1)*LEN($AW$77)+1,LEN($AW$77)))</f>
        <v/>
      </c>
      <c r="BN81" s="60" t="str">
        <f>TRIM(MID(SUBSTITUTE($AW$78,$BA$62,REPT(" ",LEN($AW$78))),($BA81-1)*LEN($AW$78)+1,LEN($AW$78)))</f>
        <v/>
      </c>
      <c r="BO81" s="60" t="str">
        <f>TRIM(MID(SUBSTITUTE($AW$79,$BA$62,REPT(" ",LEN($AW$79))),($BA81-1)*LEN($AW$79)+1,LEN($AW$79)))</f>
        <v/>
      </c>
      <c r="BP81" s="60" t="str">
        <f>TRIM(MID(SUBSTITUTE($AW$80,$BA$62,REPT(" ",LEN($AW$80))),($BA81-1)*LEN($AW$80)+1,LEN($AW$80)))</f>
        <v/>
      </c>
      <c r="BQ81" s="60" t="str">
        <f>TRIM(MID(SUBSTITUTE($AW$81,$BA$62,REPT(" ",LEN($AW$81))),($BA81-1)*LEN($AW$81)+1,LEN($AW$81)))</f>
        <v/>
      </c>
      <c r="BR81" s="60" t="str">
        <f>TRIM(MID(SUBSTITUTE($AW$82,$BA$62,REPT(" ",LEN($AW$82))),($BA81-1)*LEN($AW$82)+1,LEN($AW$82)))</f>
        <v/>
      </c>
      <c r="BS81" s="60" t="str">
        <f>TRIM(MID(SUBSTITUTE($AW$83,$BA$62,REPT(" ",LEN($AW$83))),($BA81-1)*LEN($AW$83)+1,LEN($AW$83)))</f>
        <v/>
      </c>
      <c r="BT81" s="60" t="str">
        <f>TRIM(MID(SUBSTITUTE($AW$84,$BA$62,REPT(" ",LEN($AW$84))),($BA81-1)*LEN($AW$84)+1,LEN($AW$84)))</f>
        <v/>
      </c>
      <c r="BU81" s="150" t="str">
        <f>TRIM(MID(SUBSTITUTE($AW$85,$BA$62,REPT(" ",LEN($AW$85))),($BA81-1)*LEN($AW$85)+1,LEN($AW$85)))</f>
        <v/>
      </c>
      <c r="BV81" s="224" t="str">
        <f>IF(BX81=0,"",CONCATENATE(BW81,"66:",BW81,BX81+65))</f>
        <v/>
      </c>
      <c r="BW81" s="60" t="s">
        <v>204</v>
      </c>
      <c r="BX81" s="60">
        <f>BQ64</f>
        <v>0</v>
      </c>
    </row>
    <row r="82" spans="1:76" s="99" customFormat="1" ht="15.6" customHeight="1">
      <c r="B82" s="285">
        <v>17</v>
      </c>
      <c r="C82" s="166" t="str">
        <f>IF(D82="","",C27)</f>
        <v/>
      </c>
      <c r="D82" s="237" t="str">
        <f>IF(OR(K27="", K27=0),"",D27)</f>
        <v/>
      </c>
      <c r="E82" s="207" t="str">
        <f>IF(AX82="","",AX82)</f>
        <v/>
      </c>
      <c r="F82" s="739"/>
      <c r="G82" s="740"/>
      <c r="H82" s="204" t="str">
        <f>IF(D82="","",AB82)</f>
        <v/>
      </c>
      <c r="I82" s="333" t="str">
        <f>IF(OR(K27="", K27=0),"",K27)</f>
        <v/>
      </c>
      <c r="J82" s="877" t="str">
        <f>IFERROR(IF(F82="","",VLOOKUP(F82,'10. Condition and Temporal'!$B$6:$F$103,5,FALSE)), "Error ▲")</f>
        <v/>
      </c>
      <c r="K82" s="878"/>
      <c r="L82" s="304" t="str">
        <f>IFERROR(IF(D82="","",IF(AX82="Distinctiveness",(((((I82*AH82*AJ82)-(I82*V82*X82))*(AV82*AT82))+(I82*V82*X82))*AP82/1000),((((I82*AH82*AJ82)-(I82*V82*X82))*(AV82*AR82))+(I82*V82*X82))*AP82/1000)),"This intervention is not permitted within the SSM ▲")</f>
        <v/>
      </c>
      <c r="M82" s="790" t="str">
        <f>IFERROR(IF(F82="","",L82-AD82), "Error ▲")</f>
        <v/>
      </c>
      <c r="N82" s="879"/>
      <c r="O82" s="135"/>
      <c r="P82" s="87"/>
      <c r="R82" s="655"/>
      <c r="T82" s="217" t="str">
        <f>IF(D82="","",K27)</f>
        <v/>
      </c>
      <c r="U82" s="161" t="str">
        <f>IF($D82="","",T27)</f>
        <v/>
      </c>
      <c r="V82" s="162" t="str">
        <f>IF($D82="","",V27)</f>
        <v/>
      </c>
      <c r="W82" s="161" t="str">
        <f>IF($D82="","",W27)</f>
        <v/>
      </c>
      <c r="X82" s="60" t="str">
        <f>IF($D82="","",X27)</f>
        <v/>
      </c>
      <c r="Y82" s="349"/>
      <c r="Z82" s="349"/>
      <c r="AA82" s="349"/>
      <c r="AB82" s="60" t="str">
        <f>IF($D82="","",AB27)</f>
        <v/>
      </c>
      <c r="AC82" s="163" t="str">
        <f>IF($D82="","",AD27)</f>
        <v/>
      </c>
      <c r="AD82" s="162" t="str">
        <f>IF(AC82="","",(T82*V82*X82)*AC82/1000)</f>
        <v/>
      </c>
      <c r="AE82" s="219" t="str">
        <f>IF(AD82="","",IF(AH82&lt;V82,"Not Acceptable","Acceptable"))</f>
        <v/>
      </c>
      <c r="AF82" s="160" t="str">
        <f>IF(D82="","",I82)</f>
        <v/>
      </c>
      <c r="AG82" s="161" t="str">
        <f>IF(D82="","",VLOOKUP(F82,'9. All Habitats + Multipliers'!$C$4:$K$102,5,FALSE))</f>
        <v/>
      </c>
      <c r="AH82" s="162" t="str">
        <f>IF(AG82="","",VLOOKUP(AG82,'11. Lists'!$S$47:$U$50,2,FALSE))</f>
        <v/>
      </c>
      <c r="AI82" s="160" t="str">
        <f>IF(D82="","",J82)</f>
        <v/>
      </c>
      <c r="AJ82" s="61" t="str">
        <f>IF(AI82="","",VLOOKUP(AI82,'11. Lists'!$F$47:$G$51,2,FALSE))</f>
        <v/>
      </c>
      <c r="AK82" s="349"/>
      <c r="AL82" s="349"/>
      <c r="AM82" s="349"/>
      <c r="AN82" s="150" t="str">
        <f>IF(H82="","",H82)</f>
        <v/>
      </c>
      <c r="AO82" s="164" t="str">
        <f>IF(AN82="","",VLOOKUP(AN82,'11. Lists'!$F$36:$H$38,2,FALSE))</f>
        <v/>
      </c>
      <c r="AP82" s="162" t="str">
        <f>IF(AN82="","",VLOOKUP(AN82,'11. Lists'!$F$36:$H$38,3,FALSE))</f>
        <v/>
      </c>
      <c r="AQ82" s="161" t="str">
        <f>IF(D82="","",IF(AX82="Distinctiveness","N/A",VLOOKUP(F82,'10. Condition and Temporal'!$B$6:$L$103,11,FALSE)))</f>
        <v/>
      </c>
      <c r="AR82" s="165" t="str">
        <f>IF(AQ82="","",IF(AQ82="N/A","1",VLOOKUP(AQ82,'11. Lists'!$I$47:$K$80,3,FALSE)))</f>
        <v/>
      </c>
      <c r="AS82" s="180" t="str">
        <f>IF(D82="","",IF(AX82="Condition","N/A",VLOOKUP(F82,'10. Condition and Temporal'!$B$6:$M$106,12,FALSE)))</f>
        <v/>
      </c>
      <c r="AT82" s="165" t="str">
        <f>IF(AS82="","",IF(AS82="N/A","1",VLOOKUP(AS82,'11. Lists'!$I$47:$K$80,3,FALSE)))</f>
        <v/>
      </c>
      <c r="AU82" s="164" t="str">
        <f>IF(D82="","",VLOOKUP(F82,'9. All Habitats + Multipliers'!$C$4:$K$102,8,FALSE))</f>
        <v/>
      </c>
      <c r="AV82" s="162" t="str">
        <f>IF(AU82="","",VLOOKUP(AU82,'11. Lists'!$J$35:$K$38,2,FALSE))</f>
        <v/>
      </c>
      <c r="AW82" s="161" t="str">
        <f>IF(D82="","",VLOOKUP(D82,'10. Condition and Temporal'!$B$6:$M$103,4,FALSE))</f>
        <v/>
      </c>
      <c r="AX82" s="162" t="str">
        <f>IF(F82="","",IF(D82=F82,"Condition","Distinctiveness"))</f>
        <v/>
      </c>
      <c r="AZ82" s="235"/>
      <c r="BA82" s="61">
        <v>17</v>
      </c>
      <c r="BB82" s="60" t="str">
        <f>TRIM(MID(SUBSTITUTE($AW$66,$BA$62,REPT(" ",LEN($AW$66))),($BA82-1)*LEN($AW$66)+1,LEN($AW$66)))</f>
        <v/>
      </c>
      <c r="BC82" s="60" t="str">
        <f>TRIM(MID(SUBSTITUTE($AW$67,$BA$62,REPT(" ",LEN($AW$67))),($BA82-1)*LEN($AW$67)+1,LEN($AW$67)))</f>
        <v/>
      </c>
      <c r="BD82" s="60" t="str">
        <f>TRIM(MID(SUBSTITUTE($AW$68,$BA$62,REPT(" ",LEN($AW$68))),($BA82-1)*LEN($AW$68)+1,LEN($AW$68)))</f>
        <v/>
      </c>
      <c r="BE82" s="60" t="str">
        <f>TRIM(MID(SUBSTITUTE($AW$69,$BA$62,REPT(" ",LEN($AW$69))),($BA82-1)*LEN($AW$69)+1,LEN($AW$69)))</f>
        <v/>
      </c>
      <c r="BF82" s="60" t="str">
        <f>TRIM(MID(SUBSTITUTE($AW$70,$BA$62,REPT(" ",LEN($AW$70))),($BA82-1)*LEN($AW$70)+1,LEN($AW$70)))</f>
        <v/>
      </c>
      <c r="BG82" s="60" t="str">
        <f>TRIM(MID(SUBSTITUTE($AW$71,$BA$62,REPT(" ",LEN($AW$71))),($BA82-1)*LEN($AW$71)+1,LEN($AW$71)))</f>
        <v/>
      </c>
      <c r="BH82" s="60" t="str">
        <f>TRIM(MID(SUBSTITUTE($AW$72,$BA$62,REPT(" ",LEN($AW$72))),($BA82-1)*LEN($AW$72)+1,LEN($AW$72)))</f>
        <v/>
      </c>
      <c r="BI82" s="60" t="str">
        <f>TRIM(MID(SUBSTITUTE($AW$73,$BA$62,REPT(" ",LEN($AW$73))),($BA82-1)*LEN($AW$73)+1,LEN($AW$73)))</f>
        <v/>
      </c>
      <c r="BJ82" s="60" t="str">
        <f>TRIM(MID(SUBSTITUTE($AW$74,$BA$62,REPT(" ",LEN($AW$74))),($BA82-1)*LEN($AW$74)+1,LEN($AW$74)))</f>
        <v/>
      </c>
      <c r="BK82" s="60" t="str">
        <f>TRIM(MID(SUBSTITUTE($AW$75,$BA$62,REPT(" ",LEN($AW$75))),($BA82-1)*LEN($AW$75)+1,LEN($AW$75)))</f>
        <v/>
      </c>
      <c r="BL82" s="60" t="str">
        <f>TRIM(MID(SUBSTITUTE($AW$76,$BA$62,REPT(" ",LEN($AW$76))),($BA82-1)*LEN($AW$76)+1,LEN($AW$76)))</f>
        <v/>
      </c>
      <c r="BM82" s="60" t="str">
        <f>TRIM(MID(SUBSTITUTE($AW$77,$BA$62,REPT(" ",LEN($AW$77))),($BA82-1)*LEN($AW$77)+1,LEN($AW$77)))</f>
        <v/>
      </c>
      <c r="BN82" s="60" t="str">
        <f>TRIM(MID(SUBSTITUTE($AW$78,$BA$62,REPT(" ",LEN($AW$78))),($BA82-1)*LEN($AW$78)+1,LEN($AW$78)))</f>
        <v/>
      </c>
      <c r="BO82" s="60" t="str">
        <f>TRIM(MID(SUBSTITUTE($AW$79,$BA$62,REPT(" ",LEN($AW$79))),($BA82-1)*LEN($AW$79)+1,LEN($AW$79)))</f>
        <v/>
      </c>
      <c r="BP82" s="60" t="str">
        <f>TRIM(MID(SUBSTITUTE($AW$80,$BA$62,REPT(" ",LEN($AW$80))),($BA82-1)*LEN($AW$80)+1,LEN($AW$80)))</f>
        <v/>
      </c>
      <c r="BQ82" s="60" t="str">
        <f>TRIM(MID(SUBSTITUTE($AW$81,$BA$62,REPT(" ",LEN($AW$81))),($BA82-1)*LEN($AW$81)+1,LEN($AW$81)))</f>
        <v/>
      </c>
      <c r="BR82" s="60" t="str">
        <f>TRIM(MID(SUBSTITUTE($AW$82,$BA$62,REPT(" ",LEN($AW$82))),($BA82-1)*LEN($AW$82)+1,LEN($AW$82)))</f>
        <v/>
      </c>
      <c r="BS82" s="60" t="str">
        <f>TRIM(MID(SUBSTITUTE($AW$83,$BA$62,REPT(" ",LEN($AW$83))),($BA82-1)*LEN($AW$83)+1,LEN($AW$83)))</f>
        <v/>
      </c>
      <c r="BT82" s="60" t="str">
        <f>TRIM(MID(SUBSTITUTE($AW$84,$BA$62,REPT(" ",LEN($AW$84))),($BA82-1)*LEN($AW$84)+1,LEN($AW$84)))</f>
        <v/>
      </c>
      <c r="BU82" s="150" t="str">
        <f>TRIM(MID(SUBSTITUTE($AW$85,$BA$62,REPT(" ",LEN($AW$85))),($BA82-1)*LEN($AW$85)+1,LEN($AW$85)))</f>
        <v/>
      </c>
      <c r="BV82" s="224" t="str">
        <f>IF(BX82=0,"",CONCATENATE(BW82,"66:",BW82,BX82+65))</f>
        <v/>
      </c>
      <c r="BW82" s="60" t="s">
        <v>205</v>
      </c>
      <c r="BX82" s="60">
        <f>BR64</f>
        <v>0</v>
      </c>
    </row>
    <row r="83" spans="1:76" s="99" customFormat="1" ht="15.6" customHeight="1">
      <c r="B83" s="285">
        <v>18</v>
      </c>
      <c r="C83" s="166" t="str">
        <f>IF(D83="","",C28)</f>
        <v/>
      </c>
      <c r="D83" s="237" t="str">
        <f>IF(OR(K28="", K28=0),"",D28)</f>
        <v/>
      </c>
      <c r="E83" s="207" t="str">
        <f>IF(AX83="","",AX83)</f>
        <v/>
      </c>
      <c r="F83" s="739"/>
      <c r="G83" s="740"/>
      <c r="H83" s="204" t="str">
        <f>IF(D83="","",AB83)</f>
        <v/>
      </c>
      <c r="I83" s="333" t="str">
        <f>IF(OR(K28="", K28=0),"",K28)</f>
        <v/>
      </c>
      <c r="J83" s="877" t="str">
        <f>IFERROR(IF(F83="","",VLOOKUP(F83,'10. Condition and Temporal'!$B$6:$F$103,5,FALSE)), "Error ▲")</f>
        <v/>
      </c>
      <c r="K83" s="878"/>
      <c r="L83" s="304" t="str">
        <f>IFERROR(IF(D83="","",IF(AX83="Distinctiveness",(((((I83*AH83*AJ83)-(I83*V83*X83))*(AV83*AT83))+(I83*V83*X83))*AP83/1000),((((I83*AH83*AJ83)-(I83*V83*X83))*(AV83*AR83))+(I83*V83*X83))*AP83/1000)),"This intervention is not permitted within the SSM ▲")</f>
        <v/>
      </c>
      <c r="M83" s="790" t="str">
        <f>IFERROR(IF(F83="","",L83-AD83), "Error ▲")</f>
        <v/>
      </c>
      <c r="N83" s="879"/>
      <c r="O83" s="135"/>
      <c r="P83" s="87"/>
      <c r="R83" s="655"/>
      <c r="T83" s="217" t="str">
        <f>IF(D83="","",K28)</f>
        <v/>
      </c>
      <c r="U83" s="161" t="str">
        <f>IF($D83="","",T28)</f>
        <v/>
      </c>
      <c r="V83" s="162" t="str">
        <f>IF($D83="","",V28)</f>
        <v/>
      </c>
      <c r="W83" s="161" t="str">
        <f>IF($D83="","",W28)</f>
        <v/>
      </c>
      <c r="X83" s="60" t="str">
        <f>IF($D83="","",X28)</f>
        <v/>
      </c>
      <c r="Y83" s="349"/>
      <c r="Z83" s="349"/>
      <c r="AA83" s="349"/>
      <c r="AB83" s="60" t="str">
        <f>IF($D83="","",AB28)</f>
        <v/>
      </c>
      <c r="AC83" s="163" t="str">
        <f>IF($D83="","",AD28)</f>
        <v/>
      </c>
      <c r="AD83" s="162" t="str">
        <f>IF(AC83="","",(T83*V83*X83)*AC83/1000)</f>
        <v/>
      </c>
      <c r="AE83" s="219" t="str">
        <f>IF(AD83="","",IF(AH83&lt;V83,"Not Acceptable","Acceptable"))</f>
        <v/>
      </c>
      <c r="AF83" s="160" t="str">
        <f>IF(D83="","",I83)</f>
        <v/>
      </c>
      <c r="AG83" s="161" t="str">
        <f>IF(D83="","",VLOOKUP(F83,'9. All Habitats + Multipliers'!$C$4:$K$102,5,FALSE))</f>
        <v/>
      </c>
      <c r="AH83" s="162" t="str">
        <f>IF(AG83="","",VLOOKUP(AG83,'11. Lists'!$S$47:$U$50,2,FALSE))</f>
        <v/>
      </c>
      <c r="AI83" s="160" t="str">
        <f>IF(D83="","",J83)</f>
        <v/>
      </c>
      <c r="AJ83" s="61" t="str">
        <f>IF(AI83="","",VLOOKUP(AI83,'11. Lists'!$F$47:$G$51,2,FALSE))</f>
        <v/>
      </c>
      <c r="AK83" s="349"/>
      <c r="AL83" s="349"/>
      <c r="AM83" s="349"/>
      <c r="AN83" s="150" t="str">
        <f>IF(H83="","",H83)</f>
        <v/>
      </c>
      <c r="AO83" s="164" t="str">
        <f>IF(AN83="","",VLOOKUP(AN83,'11. Lists'!$F$36:$H$38,2,FALSE))</f>
        <v/>
      </c>
      <c r="AP83" s="162" t="str">
        <f>IF(AN83="","",VLOOKUP(AN83,'11. Lists'!$F$36:$H$38,3,FALSE))</f>
        <v/>
      </c>
      <c r="AQ83" s="161" t="str">
        <f>IF(D83="","",IF(AX83="Distinctiveness","N/A",VLOOKUP(F83,'10. Condition and Temporal'!$B$6:$L$103,11,FALSE)))</f>
        <v/>
      </c>
      <c r="AR83" s="165" t="str">
        <f>IF(AQ83="","",IF(AQ83="N/A","1",VLOOKUP(AQ83,'11. Lists'!$I$47:$K$80,3,FALSE)))</f>
        <v/>
      </c>
      <c r="AS83" s="180" t="str">
        <f>IF(D83="","",IF(AX83="Condition","N/A",VLOOKUP(F83,'10. Condition and Temporal'!$B$6:$M$106,12,FALSE)))</f>
        <v/>
      </c>
      <c r="AT83" s="165" t="str">
        <f>IF(AS83="","",IF(AS83="N/A","1",VLOOKUP(AS83,'11. Lists'!$I$47:$K$80,3,FALSE)))</f>
        <v/>
      </c>
      <c r="AU83" s="164" t="str">
        <f>IF(D83="","",VLOOKUP(F83,'9. All Habitats + Multipliers'!$C$4:$K$102,8,FALSE))</f>
        <v/>
      </c>
      <c r="AV83" s="162" t="str">
        <f>IF(AU83="","",VLOOKUP(AU83,'11. Lists'!$J$35:$K$38,2,FALSE))</f>
        <v/>
      </c>
      <c r="AW83" s="161" t="str">
        <f>IF(D83="","",VLOOKUP(D83,'10. Condition and Temporal'!$B$6:$M$103,4,FALSE))</f>
        <v/>
      </c>
      <c r="AX83" s="162" t="str">
        <f>IF(F83="","",IF(D83=F83,"Condition","Distinctiveness"))</f>
        <v/>
      </c>
      <c r="AZ83" s="235"/>
      <c r="BA83" s="61">
        <v>18</v>
      </c>
      <c r="BB83" s="60" t="str">
        <f>TRIM(MID(SUBSTITUTE($AW$66,$BA$62,REPT(" ",LEN($AW$66))),($BA83-1)*LEN($AW$66)+1,LEN($AW$66)))</f>
        <v/>
      </c>
      <c r="BC83" s="60" t="str">
        <f>TRIM(MID(SUBSTITUTE($AW$67,$BA$62,REPT(" ",LEN($AW$67))),($BA83-1)*LEN($AW$67)+1,LEN($AW$67)))</f>
        <v/>
      </c>
      <c r="BD83" s="60" t="str">
        <f>TRIM(MID(SUBSTITUTE($AW$68,$BA$62,REPT(" ",LEN($AW$68))),($BA83-1)*LEN($AW$68)+1,LEN($AW$68)))</f>
        <v/>
      </c>
      <c r="BE83" s="60" t="str">
        <f>TRIM(MID(SUBSTITUTE($AW$69,$BA$62,REPT(" ",LEN($AW$69))),($BA83-1)*LEN($AW$69)+1,LEN($AW$69)))</f>
        <v/>
      </c>
      <c r="BF83" s="60" t="str">
        <f>TRIM(MID(SUBSTITUTE($AW$70,$BA$62,REPT(" ",LEN($AW$70))),($BA83-1)*LEN($AW$70)+1,LEN($AW$70)))</f>
        <v/>
      </c>
      <c r="BG83" s="60" t="str">
        <f>TRIM(MID(SUBSTITUTE($AW$71,$BA$62,REPT(" ",LEN($AW$71))),($BA83-1)*LEN($AW$71)+1,LEN($AW$71)))</f>
        <v/>
      </c>
      <c r="BH83" s="60" t="str">
        <f>TRIM(MID(SUBSTITUTE($AW$72,$BA$62,REPT(" ",LEN($AW$72))),($BA83-1)*LEN($AW$72)+1,LEN($AW$72)))</f>
        <v/>
      </c>
      <c r="BI83" s="60" t="str">
        <f>TRIM(MID(SUBSTITUTE($AW$73,$BA$62,REPT(" ",LEN($AW$73))),($BA83-1)*LEN($AW$73)+1,LEN($AW$73)))</f>
        <v/>
      </c>
      <c r="BJ83" s="60" t="str">
        <f>TRIM(MID(SUBSTITUTE($AW$74,$BA$62,REPT(" ",LEN($AW$74))),($BA83-1)*LEN($AW$74)+1,LEN($AW$74)))</f>
        <v/>
      </c>
      <c r="BK83" s="60" t="str">
        <f>TRIM(MID(SUBSTITUTE($AW$75,$BA$62,REPT(" ",LEN($AW$75))),($BA83-1)*LEN($AW$75)+1,LEN($AW$75)))</f>
        <v/>
      </c>
      <c r="BL83" s="60" t="str">
        <f>TRIM(MID(SUBSTITUTE($AW$76,$BA$62,REPT(" ",LEN($AW$76))),($BA83-1)*LEN($AW$76)+1,LEN($AW$76)))</f>
        <v/>
      </c>
      <c r="BM83" s="60" t="str">
        <f>TRIM(MID(SUBSTITUTE($AW$77,$BA$62,REPT(" ",LEN($AW$77))),($BA83-1)*LEN($AW$77)+1,LEN($AW$77)))</f>
        <v/>
      </c>
      <c r="BN83" s="60" t="str">
        <f>TRIM(MID(SUBSTITUTE($AW$78,$BA$62,REPT(" ",LEN($AW$78))),($BA83-1)*LEN($AW$78)+1,LEN($AW$78)))</f>
        <v/>
      </c>
      <c r="BO83" s="60" t="str">
        <f>TRIM(MID(SUBSTITUTE($AW$79,$BA$62,REPT(" ",LEN($AW$79))),($BA83-1)*LEN($AW$79)+1,LEN($AW$79)))</f>
        <v/>
      </c>
      <c r="BP83" s="60" t="str">
        <f>TRIM(MID(SUBSTITUTE($AW$80,$BA$62,REPT(" ",LEN($AW$80))),($BA83-1)*LEN($AW$80)+1,LEN($AW$80)))</f>
        <v/>
      </c>
      <c r="BQ83" s="60" t="str">
        <f>TRIM(MID(SUBSTITUTE($AW$81,$BA$62,REPT(" ",LEN($AW$81))),($BA83-1)*LEN($AW$81)+1,LEN($AW$81)))</f>
        <v/>
      </c>
      <c r="BR83" s="60" t="str">
        <f>TRIM(MID(SUBSTITUTE($AW$82,$BA$62,REPT(" ",LEN($AW$82))),($BA83-1)*LEN($AW$82)+1,LEN($AW$82)))</f>
        <v/>
      </c>
      <c r="BS83" s="60" t="str">
        <f>TRIM(MID(SUBSTITUTE($AW$83,$BA$62,REPT(" ",LEN($AW$83))),($BA83-1)*LEN($AW$83)+1,LEN($AW$83)))</f>
        <v/>
      </c>
      <c r="BT83" s="60" t="str">
        <f>TRIM(MID(SUBSTITUTE($AW$84,$BA$62,REPT(" ",LEN($AW$84))),($BA83-1)*LEN($AW$84)+1,LEN($AW$84)))</f>
        <v/>
      </c>
      <c r="BU83" s="150" t="str">
        <f>TRIM(MID(SUBSTITUTE($AW$85,$BA$62,REPT(" ",LEN($AW$85))),($BA83-1)*LEN($AW$85)+1,LEN($AW$85)))</f>
        <v/>
      </c>
      <c r="BV83" s="224" t="str">
        <f>IF(BX83=0,"",CONCATENATE(BW83,"66:",BW83,BX83+65))</f>
        <v/>
      </c>
      <c r="BW83" s="60" t="s">
        <v>206</v>
      </c>
      <c r="BX83" s="60">
        <f>BS64</f>
        <v>0</v>
      </c>
    </row>
    <row r="84" spans="1:76" s="99" customFormat="1" ht="15.6" customHeight="1">
      <c r="B84" s="285">
        <v>19</v>
      </c>
      <c r="C84" s="166" t="str">
        <f>IF(D84="","",C29)</f>
        <v/>
      </c>
      <c r="D84" s="237" t="str">
        <f>IF(OR(K29="", K29=0),"",D29)</f>
        <v/>
      </c>
      <c r="E84" s="207" t="str">
        <f>IF(AX84="","",AX84)</f>
        <v/>
      </c>
      <c r="F84" s="739"/>
      <c r="G84" s="740"/>
      <c r="H84" s="204" t="str">
        <f>IF(D84="","",AB84)</f>
        <v/>
      </c>
      <c r="I84" s="333" t="str">
        <f>IF(OR(K29="", K29=0),"",K29)</f>
        <v/>
      </c>
      <c r="J84" s="877" t="str">
        <f>IFERROR(IF(F84="","",VLOOKUP(F84,'10. Condition and Temporal'!$B$6:$F$103,5,FALSE)), "Error ▲")</f>
        <v/>
      </c>
      <c r="K84" s="878"/>
      <c r="L84" s="304" t="str">
        <f>IFERROR(IF(D84="","",IF(AX84="Distinctiveness",(((((I84*AH84*AJ84)-(I84*V84*X84))*(AV84*AT84))+(I84*V84*X84))*AP84/1000),((((I84*AH84*AJ84)-(I84*V84*X84))*(AV84*AR84))+(I84*V84*X84))*AP84/1000)),"This intervention is not permitted within the SSM ▲")</f>
        <v/>
      </c>
      <c r="M84" s="790" t="str">
        <f>IFERROR(IF(F84="","",L84-AD84), "Error ▲")</f>
        <v/>
      </c>
      <c r="N84" s="879"/>
      <c r="O84" s="135"/>
      <c r="P84" s="87"/>
      <c r="R84" s="655"/>
      <c r="T84" s="217" t="str">
        <f>IF(D84="","",K29)</f>
        <v/>
      </c>
      <c r="U84" s="161" t="str">
        <f>IF($D84="","",T29)</f>
        <v/>
      </c>
      <c r="V84" s="162" t="str">
        <f>IF($D84="","",V29)</f>
        <v/>
      </c>
      <c r="W84" s="161" t="str">
        <f>IF($D84="","",W29)</f>
        <v/>
      </c>
      <c r="X84" s="60" t="str">
        <f>IF($D84="","",X29)</f>
        <v/>
      </c>
      <c r="Y84" s="349"/>
      <c r="Z84" s="349"/>
      <c r="AA84" s="349"/>
      <c r="AB84" s="60" t="str">
        <f>IF($D84="","",AB29)</f>
        <v/>
      </c>
      <c r="AC84" s="163" t="str">
        <f>IF($D84="","",AD29)</f>
        <v/>
      </c>
      <c r="AD84" s="162" t="str">
        <f>IF(AC84="","",(T84*V84*X84)*AC84/1000)</f>
        <v/>
      </c>
      <c r="AE84" s="219" t="str">
        <f>IF(AD84="","",IF(AH84&lt;V84,"Not Acceptable","Acceptable"))</f>
        <v/>
      </c>
      <c r="AF84" s="160" t="str">
        <f>IF(D84="","",I84)</f>
        <v/>
      </c>
      <c r="AG84" s="161" t="str">
        <f>IF(D84="","",VLOOKUP(F84,'9. All Habitats + Multipliers'!$C$4:$K$102,5,FALSE))</f>
        <v/>
      </c>
      <c r="AH84" s="162" t="str">
        <f>IF(AG84="","",VLOOKUP(AG84,'11. Lists'!$S$47:$U$50,2,FALSE))</f>
        <v/>
      </c>
      <c r="AI84" s="160" t="str">
        <f>IF(D84="","",J84)</f>
        <v/>
      </c>
      <c r="AJ84" s="61" t="str">
        <f>IF(AI84="","",VLOOKUP(AI84,'11. Lists'!$F$47:$G$51,2,FALSE))</f>
        <v/>
      </c>
      <c r="AK84" s="349"/>
      <c r="AL84" s="349"/>
      <c r="AM84" s="349"/>
      <c r="AN84" s="150" t="str">
        <f>IF(H84="","",H84)</f>
        <v/>
      </c>
      <c r="AO84" s="164" t="str">
        <f>IF(AN84="","",VLOOKUP(AN84,'11. Lists'!$F$36:$H$38,2,FALSE))</f>
        <v/>
      </c>
      <c r="AP84" s="162" t="str">
        <f>IF(AN84="","",VLOOKUP(AN84,'11. Lists'!$F$36:$H$38,3,FALSE))</f>
        <v/>
      </c>
      <c r="AQ84" s="161" t="str">
        <f>IF(D84="","",IF(AX84="Distinctiveness","N/A",VLOOKUP(F84,'10. Condition and Temporal'!$B$6:$L$103,11,FALSE)))</f>
        <v/>
      </c>
      <c r="AR84" s="165" t="str">
        <f>IF(AQ84="","",IF(AQ84="N/A","1",VLOOKUP(AQ84,'11. Lists'!$I$47:$K$80,3,FALSE)))</f>
        <v/>
      </c>
      <c r="AS84" s="180" t="str">
        <f>IF(D84="","",IF(AX84="Condition","N/A",VLOOKUP(F84,'10. Condition and Temporal'!$B$6:$M$106,12,FALSE)))</f>
        <v/>
      </c>
      <c r="AT84" s="165" t="str">
        <f>IF(AS84="","",IF(AS84="N/A","1",VLOOKUP(AS84,'11. Lists'!$I$47:$K$80,3,FALSE)))</f>
        <v/>
      </c>
      <c r="AU84" s="164" t="str">
        <f>IF(D84="","",VLOOKUP(F84,'9. All Habitats + Multipliers'!$C$4:$K$102,8,FALSE))</f>
        <v/>
      </c>
      <c r="AV84" s="162" t="str">
        <f>IF(AU84="","",VLOOKUP(AU84,'11. Lists'!$J$35:$K$38,2,FALSE))</f>
        <v/>
      </c>
      <c r="AW84" s="161" t="str">
        <f>IF(D84="","",VLOOKUP(D84,'10. Condition and Temporal'!$B$6:$M$103,4,FALSE))</f>
        <v/>
      </c>
      <c r="AX84" s="162" t="str">
        <f>IF(F84="","",IF(D84=F84,"Condition","Distinctiveness"))</f>
        <v/>
      </c>
      <c r="AZ84" s="235"/>
      <c r="BA84" s="61">
        <v>19</v>
      </c>
      <c r="BB84" s="60" t="str">
        <f>TRIM(MID(SUBSTITUTE($AW$66,$BA$62,REPT(" ",LEN($AW$66))),($BA84-1)*LEN($AW$66)+1,LEN($AW$66)))</f>
        <v/>
      </c>
      <c r="BC84" s="60" t="str">
        <f>TRIM(MID(SUBSTITUTE($AW$67,$BA$62,REPT(" ",LEN($AW$67))),($BA84-1)*LEN($AW$67)+1,LEN($AW$67)))</f>
        <v/>
      </c>
      <c r="BD84" s="60" t="str">
        <f>TRIM(MID(SUBSTITUTE($AW$68,$BA$62,REPT(" ",LEN($AW$68))),($BA84-1)*LEN($AW$68)+1,LEN($AW$68)))</f>
        <v/>
      </c>
      <c r="BE84" s="60" t="str">
        <f>TRIM(MID(SUBSTITUTE($AW$69,$BA$62,REPT(" ",LEN($AW$69))),($BA84-1)*LEN($AW$69)+1,LEN($AW$69)))</f>
        <v/>
      </c>
      <c r="BF84" s="60" t="str">
        <f>TRIM(MID(SUBSTITUTE($AW$70,$BA$62,REPT(" ",LEN($AW$70))),($BA84-1)*LEN($AW$70)+1,LEN($AW$70)))</f>
        <v/>
      </c>
      <c r="BG84" s="60" t="str">
        <f>TRIM(MID(SUBSTITUTE($AW$71,$BA$62,REPT(" ",LEN($AW$71))),($BA84-1)*LEN($AW$71)+1,LEN($AW$71)))</f>
        <v/>
      </c>
      <c r="BH84" s="60" t="str">
        <f>TRIM(MID(SUBSTITUTE($AW$72,$BA$62,REPT(" ",LEN($AW$72))),($BA84-1)*LEN($AW$72)+1,LEN($AW$72)))</f>
        <v/>
      </c>
      <c r="BI84" s="60" t="str">
        <f>TRIM(MID(SUBSTITUTE($AW$73,$BA$62,REPT(" ",LEN($AW$73))),($BA84-1)*LEN($AW$73)+1,LEN($AW$73)))</f>
        <v/>
      </c>
      <c r="BJ84" s="60" t="str">
        <f>TRIM(MID(SUBSTITUTE($AW$74,$BA$62,REPT(" ",LEN($AW$74))),($BA84-1)*LEN($AW$74)+1,LEN($AW$74)))</f>
        <v/>
      </c>
      <c r="BK84" s="60" t="str">
        <f>TRIM(MID(SUBSTITUTE($AW$75,$BA$62,REPT(" ",LEN($AW$75))),($BA84-1)*LEN($AW$75)+1,LEN($AW$75)))</f>
        <v/>
      </c>
      <c r="BL84" s="60" t="str">
        <f>TRIM(MID(SUBSTITUTE($AW$76,$BA$62,REPT(" ",LEN($AW$76))),($BA84-1)*LEN($AW$76)+1,LEN($AW$76)))</f>
        <v/>
      </c>
      <c r="BM84" s="60" t="str">
        <f>TRIM(MID(SUBSTITUTE($AW$77,$BA$62,REPT(" ",LEN($AW$77))),($BA84-1)*LEN($AW$77)+1,LEN($AW$77)))</f>
        <v/>
      </c>
      <c r="BN84" s="60" t="str">
        <f>TRIM(MID(SUBSTITUTE($AW$78,$BA$62,REPT(" ",LEN($AW$78))),($BA84-1)*LEN($AW$78)+1,LEN($AW$78)))</f>
        <v/>
      </c>
      <c r="BO84" s="60" t="str">
        <f>TRIM(MID(SUBSTITUTE($AW$79,$BA$62,REPT(" ",LEN($AW$79))),($BA84-1)*LEN($AW$79)+1,LEN($AW$79)))</f>
        <v/>
      </c>
      <c r="BP84" s="60" t="str">
        <f>TRIM(MID(SUBSTITUTE($AW$80,$BA$62,REPT(" ",LEN($AW$80))),($BA84-1)*LEN($AW$80)+1,LEN($AW$80)))</f>
        <v/>
      </c>
      <c r="BQ84" s="60" t="str">
        <f>TRIM(MID(SUBSTITUTE($AW$81,$BA$62,REPT(" ",LEN($AW$81))),($BA84-1)*LEN($AW$81)+1,LEN($AW$81)))</f>
        <v/>
      </c>
      <c r="BR84" s="60" t="str">
        <f>TRIM(MID(SUBSTITUTE($AW$82,$BA$62,REPT(" ",LEN($AW$82))),($BA84-1)*LEN($AW$82)+1,LEN($AW$82)))</f>
        <v/>
      </c>
      <c r="BS84" s="60" t="str">
        <f>TRIM(MID(SUBSTITUTE($AW$83,$BA$62,REPT(" ",LEN($AW$83))),($BA84-1)*LEN($AW$83)+1,LEN($AW$83)))</f>
        <v/>
      </c>
      <c r="BT84" s="60" t="str">
        <f>TRIM(MID(SUBSTITUTE($AW$84,$BA$62,REPT(" ",LEN($AW$84))),($BA84-1)*LEN($AW$84)+1,LEN($AW$84)))</f>
        <v/>
      </c>
      <c r="BU84" s="150" t="str">
        <f>TRIM(MID(SUBSTITUTE($AW$85,$BA$62,REPT(" ",LEN($AW$85))),($BA84-1)*LEN($AW$85)+1,LEN($AW$85)))</f>
        <v/>
      </c>
      <c r="BV84" s="224" t="str">
        <f>IF(BX84=0,"",CONCATENATE(BW84,"66:",BW84,BX84+65))</f>
        <v/>
      </c>
      <c r="BW84" s="60" t="s">
        <v>207</v>
      </c>
      <c r="BX84" s="60">
        <f>BT64</f>
        <v>0</v>
      </c>
    </row>
    <row r="85" spans="1:76" s="99" customFormat="1" ht="16.149999999999999" customHeight="1">
      <c r="B85" s="286">
        <v>20</v>
      </c>
      <c r="C85" s="184" t="str">
        <f>IF(D85="","",C30)</f>
        <v/>
      </c>
      <c r="D85" s="413" t="str">
        <f>IF(OR(K30="", K30=0),"",D30)</f>
        <v/>
      </c>
      <c r="E85" s="208" t="str">
        <f>IF(AX85="","",AX85)</f>
        <v/>
      </c>
      <c r="F85" s="745"/>
      <c r="G85" s="746"/>
      <c r="H85" s="205" t="str">
        <f>IF(D85="","",AB85)</f>
        <v/>
      </c>
      <c r="I85" s="414" t="str">
        <f>IF(OR(K30="", K30=0),"",K30)</f>
        <v/>
      </c>
      <c r="J85" s="867" t="str">
        <f>IFERROR(IF(F85="","",VLOOKUP(F85,'10. Condition and Temporal'!$B$6:$F$103,5,FALSE)), "Error ▲")</f>
        <v/>
      </c>
      <c r="K85" s="868"/>
      <c r="L85" s="415" t="str">
        <f>IFERROR(IF(D85="","",IF(AX85="Distinctiveness",(((((I85*AH85*AJ85)-(I85*V85*X85))*(AV85*AT85))+(I85*V85*X85))*AP85/1000),((((I85*AH85*AJ85)-(I85*V85*X85))*(AV85*AR85))+(I85*V85*X85))*AP85/1000)),"This intervention is not permitted within the SSM ▲")</f>
        <v/>
      </c>
      <c r="M85" s="869" t="str">
        <f>IFERROR(IF(F85="","",L85-AD85), "Error ▲")</f>
        <v/>
      </c>
      <c r="N85" s="870"/>
      <c r="O85" s="136"/>
      <c r="P85" s="89"/>
      <c r="R85" s="655"/>
      <c r="T85" s="217" t="str">
        <f>IF(D85="","",K30)</f>
        <v/>
      </c>
      <c r="U85" s="161" t="str">
        <f>IF($D85="","",T30)</f>
        <v/>
      </c>
      <c r="V85" s="162" t="str">
        <f>IF($D85="","",V30)</f>
        <v/>
      </c>
      <c r="W85" s="161" t="str">
        <f>IF($D85="","",W30)</f>
        <v/>
      </c>
      <c r="X85" s="60" t="str">
        <f>IF($D85="","",X30)</f>
        <v/>
      </c>
      <c r="Y85" s="349"/>
      <c r="Z85" s="349"/>
      <c r="AA85" s="349"/>
      <c r="AB85" s="60" t="str">
        <f>IF($D85="","",AB30)</f>
        <v/>
      </c>
      <c r="AC85" s="163" t="str">
        <f>IF($D85="","",AD30)</f>
        <v/>
      </c>
      <c r="AD85" s="162" t="str">
        <f>IF(AC85="","",(T85*V85*X85)*AC85/1000)</f>
        <v/>
      </c>
      <c r="AE85" s="219" t="str">
        <f>IF(AD85="","",IF(AH85&lt;V85,"Not Acceptable","Acceptable"))</f>
        <v/>
      </c>
      <c r="AF85" s="160" t="str">
        <f>IF(D85="","",I85)</f>
        <v/>
      </c>
      <c r="AG85" s="161" t="str">
        <f>IF(D85="","",VLOOKUP(F85,'9. All Habitats + Multipliers'!$C$4:$K$102,5,FALSE))</f>
        <v/>
      </c>
      <c r="AH85" s="162" t="str">
        <f>IF(AG85="","",VLOOKUP(AG85,'11. Lists'!$S$47:$U$50,2,FALSE))</f>
        <v/>
      </c>
      <c r="AI85" s="160" t="str">
        <f>IF(D85="","",J85)</f>
        <v/>
      </c>
      <c r="AJ85" s="57" t="str">
        <f>IF(AI85="","",VLOOKUP(AI85,'11. Lists'!$F$47:$G$51,2,FALSE))</f>
        <v/>
      </c>
      <c r="AK85" s="364"/>
      <c r="AL85" s="364"/>
      <c r="AM85" s="364"/>
      <c r="AN85" s="153" t="str">
        <f>IF(H85="","",H85)</f>
        <v/>
      </c>
      <c r="AO85" s="164" t="str">
        <f>IF(AN85="","",VLOOKUP(AN85,'11. Lists'!$F$36:$H$38,2,FALSE))</f>
        <v/>
      </c>
      <c r="AP85" s="162" t="str">
        <f>IF(AN85="","",VLOOKUP(AN85,'11. Lists'!$F$36:$H$38,3,FALSE))</f>
        <v/>
      </c>
      <c r="AQ85" s="161" t="str">
        <f>IF(D85="","",IF(AX85="Distinctiveness","N/A",VLOOKUP(F85,'10. Condition and Temporal'!$B$6:$L$103,11,FALSE)))</f>
        <v/>
      </c>
      <c r="AR85" s="165" t="str">
        <f>IF(AQ85="","",IF(AQ85="N/A","1",VLOOKUP(AQ85,'11. Lists'!$I$47:$K$80,3,FALSE)))</f>
        <v/>
      </c>
      <c r="AS85" s="180" t="str">
        <f>IF(D85="","",IF(AX85="Condition","N/A",VLOOKUP(F85,'10. Condition and Temporal'!$B$6:$M$106,12,FALSE)))</f>
        <v/>
      </c>
      <c r="AT85" s="165" t="str">
        <f>IF(AS85="","",IF(AS85="N/A","1",VLOOKUP(AS85,'11. Lists'!$I$47:$K$80,3,FALSE)))</f>
        <v/>
      </c>
      <c r="AU85" s="164" t="str">
        <f>IF(D85="","",VLOOKUP(F85,'9. All Habitats + Multipliers'!$C$4:$K$102,8,FALSE))</f>
        <v/>
      </c>
      <c r="AV85" s="162" t="str">
        <f>IF(AU85="","",VLOOKUP(AU85,'11. Lists'!$J$35:$K$38,2,FALSE))</f>
        <v/>
      </c>
      <c r="AW85" s="161" t="str">
        <f>IF(D85="","",VLOOKUP(D85,'10. Condition and Temporal'!$B$6:$M$103,4,FALSE))</f>
        <v/>
      </c>
      <c r="AX85" s="162" t="str">
        <f>IF(F85="","",IF(D85=F85,"Condition","Distinctiveness"))</f>
        <v/>
      </c>
      <c r="AZ85" s="235"/>
      <c r="BA85" s="57">
        <v>20</v>
      </c>
      <c r="BB85" s="60" t="str">
        <f>TRIM(MID(SUBSTITUTE($AW$66,$BA$62,REPT(" ",LEN($AW$66))),($BA85-1)*LEN($AW$66)+1,LEN($AW$66)))</f>
        <v/>
      </c>
      <c r="BC85" s="60" t="str">
        <f>TRIM(MID(SUBSTITUTE($AW$67,$BA$62,REPT(" ",LEN($AW$67))),($BA85-1)*LEN($AW$67)+1,LEN($AW$67)))</f>
        <v/>
      </c>
      <c r="BD85" s="60" t="str">
        <f>TRIM(MID(SUBSTITUTE($AW$68,$BA$62,REPT(" ",LEN($AW$68))),($BA85-1)*LEN($AW$68)+1,LEN($AW$68)))</f>
        <v/>
      </c>
      <c r="BE85" s="60" t="str">
        <f>TRIM(MID(SUBSTITUTE($AW$69,$BA$62,REPT(" ",LEN($AW$69))),($BA85-1)*LEN($AW$69)+1,LEN($AW$69)))</f>
        <v/>
      </c>
      <c r="BF85" s="60" t="str">
        <f>TRIM(MID(SUBSTITUTE($AW$70,$BA$62,REPT(" ",LEN($AW$70))),($BA85-1)*LEN($AW$70)+1,LEN($AW$70)))</f>
        <v/>
      </c>
      <c r="BG85" s="60" t="str">
        <f>TRIM(MID(SUBSTITUTE($AW$71,$BA$62,REPT(" ",LEN($AW$71))),($BA85-1)*LEN($AW$71)+1,LEN($AW$71)))</f>
        <v/>
      </c>
      <c r="BH85" s="60" t="str">
        <f>TRIM(MID(SUBSTITUTE($AW$72,$BA$62,REPT(" ",LEN($AW$72))),($BA85-1)*LEN($AW$72)+1,LEN($AW$72)))</f>
        <v/>
      </c>
      <c r="BI85" s="60" t="str">
        <f>TRIM(MID(SUBSTITUTE($AW$73,$BA$62,REPT(" ",LEN($AW$73))),($BA85-1)*LEN($AW$73)+1,LEN($AW$73)))</f>
        <v/>
      </c>
      <c r="BJ85" s="60" t="str">
        <f>TRIM(MID(SUBSTITUTE($AW$74,$BA$62,REPT(" ",LEN($AW$74))),($BA85-1)*LEN($AW$74)+1,LEN($AW$74)))</f>
        <v/>
      </c>
      <c r="BK85" s="60" t="str">
        <f>TRIM(MID(SUBSTITUTE($AW$75,$BA$62,REPT(" ",LEN($AW$75))),($BA85-1)*LEN($AW$75)+1,LEN($AW$75)))</f>
        <v/>
      </c>
      <c r="BL85" s="60" t="str">
        <f>TRIM(MID(SUBSTITUTE($AW$76,$BA$62,REPT(" ",LEN($AW$76))),($BA85-1)*LEN($AW$76)+1,LEN($AW$76)))</f>
        <v/>
      </c>
      <c r="BM85" s="60" t="str">
        <f>TRIM(MID(SUBSTITUTE($AW$77,$BA$62,REPT(" ",LEN($AW$77))),($BA85-1)*LEN($AW$77)+1,LEN($AW$77)))</f>
        <v/>
      </c>
      <c r="BN85" s="60" t="str">
        <f>TRIM(MID(SUBSTITUTE($AW$78,$BA$62,REPT(" ",LEN($AW$78))),($BA85-1)*LEN($AW$78)+1,LEN($AW$78)))</f>
        <v/>
      </c>
      <c r="BO85" s="60" t="str">
        <f>TRIM(MID(SUBSTITUTE($AW$79,$BA$62,REPT(" ",LEN($AW$79))),($BA85-1)*LEN($AW$79)+1,LEN($AW$79)))</f>
        <v/>
      </c>
      <c r="BP85" s="60" t="str">
        <f>TRIM(MID(SUBSTITUTE($AW$80,$BA$62,REPT(" ",LEN($AW$80))),($BA85-1)*LEN($AW$80)+1,LEN($AW$80)))</f>
        <v/>
      </c>
      <c r="BQ85" s="60" t="str">
        <f>TRIM(MID(SUBSTITUTE($AW$81,$BA$62,REPT(" ",LEN($AW$81))),($BA85-1)*LEN($AW$81)+1,LEN($AW$81)))</f>
        <v/>
      </c>
      <c r="BR85" s="60" t="str">
        <f>TRIM(MID(SUBSTITUTE($AW$82,$BA$62,REPT(" ",LEN($AW$82))),($BA85-1)*LEN($AW$82)+1,LEN($AW$82)))</f>
        <v/>
      </c>
      <c r="BS85" s="60" t="str">
        <f>TRIM(MID(SUBSTITUTE($AW$83,$BA$62,REPT(" ",LEN($AW$83))),($BA85-1)*LEN($AW$83)+1,LEN($AW$83)))</f>
        <v/>
      </c>
      <c r="BT85" s="60" t="str">
        <f>TRIM(MID(SUBSTITUTE($AW$84,$BA$62,REPT(" ",LEN($AW$84))),($BA85-1)*LEN($AW$84)+1,LEN($AW$84)))</f>
        <v/>
      </c>
      <c r="BU85" s="150" t="str">
        <f>TRIM(MID(SUBSTITUTE($AW$85,$BA$62,REPT(" ",LEN($AW$85))),($BA85-1)*LEN($AW$85)+1,LEN($AW$85)))</f>
        <v/>
      </c>
      <c r="BV85" s="224" t="str">
        <f>IF(BX85=0,"",CONCATENATE(BW85,"66:",BW85,BX85+65))</f>
        <v/>
      </c>
      <c r="BW85" s="60" t="s">
        <v>208</v>
      </c>
      <c r="BX85" s="60">
        <f>BU64</f>
        <v>0</v>
      </c>
    </row>
    <row r="86" spans="1:76" s="99" customFormat="1" ht="15" customHeight="1">
      <c r="H86" s="289" t="s">
        <v>258</v>
      </c>
      <c r="I86" s="335">
        <f>SUM(I66:I85)</f>
        <v>0</v>
      </c>
      <c r="J86" s="407"/>
      <c r="L86" s="33">
        <f>SUM(L66:L85)</f>
        <v>0</v>
      </c>
      <c r="M86" s="871">
        <f>SUM(M66:N85)</f>
        <v>0</v>
      </c>
      <c r="N86" s="870"/>
      <c r="R86" s="655"/>
    </row>
    <row r="87" spans="1:76" s="99" customFormat="1">
      <c r="C87" s="100"/>
      <c r="R87" s="655"/>
    </row>
    <row r="88" spans="1:76" s="99" customFormat="1">
      <c r="R88" s="655"/>
    </row>
    <row r="89" spans="1:76" s="99" customFormat="1" ht="19.149999999999999" customHeight="1">
      <c r="R89" s="655"/>
    </row>
    <row r="90" spans="1:76" s="99" customFormat="1">
      <c r="R90" s="655"/>
    </row>
    <row r="91" spans="1:76" s="99" customFormat="1">
      <c r="A91" s="689" t="s">
        <v>223</v>
      </c>
      <c r="B91" s="689"/>
      <c r="C91" s="689"/>
      <c r="D91" s="689"/>
      <c r="E91" s="689"/>
      <c r="F91" s="689"/>
      <c r="G91" s="689"/>
      <c r="H91" s="689"/>
      <c r="I91" s="689"/>
      <c r="J91" s="689"/>
      <c r="K91" s="689"/>
      <c r="L91" s="689"/>
      <c r="M91" s="689"/>
      <c r="N91" s="689"/>
      <c r="O91" s="689"/>
      <c r="P91" s="689"/>
      <c r="Q91" s="689"/>
      <c r="R91" s="655"/>
    </row>
    <row r="92" spans="1:76" s="99" customFormat="1">
      <c r="A92" s="689"/>
      <c r="B92" s="689"/>
      <c r="C92" s="689"/>
      <c r="D92" s="689"/>
      <c r="E92" s="689"/>
      <c r="F92" s="689"/>
      <c r="G92" s="689"/>
      <c r="H92" s="689"/>
      <c r="I92" s="689"/>
      <c r="J92" s="689"/>
      <c r="K92" s="689"/>
      <c r="L92" s="689"/>
      <c r="M92" s="689"/>
      <c r="N92" s="689"/>
      <c r="O92" s="689"/>
      <c r="P92" s="689"/>
      <c r="Q92" s="689"/>
      <c r="R92" s="655"/>
    </row>
    <row r="93" spans="1:76" s="99" customFormat="1">
      <c r="A93" s="689"/>
      <c r="B93" s="689"/>
      <c r="C93" s="689"/>
      <c r="D93" s="689"/>
      <c r="E93" s="689"/>
      <c r="F93" s="689"/>
      <c r="G93" s="689"/>
      <c r="H93" s="689"/>
      <c r="I93" s="689"/>
      <c r="J93" s="689"/>
      <c r="K93" s="689"/>
      <c r="L93" s="689"/>
      <c r="M93" s="689"/>
      <c r="N93" s="689"/>
      <c r="O93" s="689"/>
      <c r="P93" s="689"/>
      <c r="Q93" s="689"/>
      <c r="R93" s="655"/>
    </row>
    <row r="94" spans="1:76" s="99" customFormat="1">
      <c r="R94" s="655"/>
    </row>
    <row r="95" spans="1:76" s="99" customFormat="1" ht="21" customHeight="1">
      <c r="B95" s="121" t="s">
        <v>224</v>
      </c>
      <c r="D95" s="100"/>
      <c r="E95" s="100"/>
      <c r="F95" s="100"/>
      <c r="G95" s="100"/>
      <c r="R95" s="655"/>
    </row>
    <row r="96" spans="1:76" s="99" customFormat="1" ht="15" customHeight="1">
      <c r="R96" s="655"/>
    </row>
    <row r="97" spans="2:18" s="99" customFormat="1" ht="36.6" customHeight="1">
      <c r="B97" s="872" t="s">
        <v>263</v>
      </c>
      <c r="C97" s="873"/>
      <c r="D97" s="874"/>
      <c r="E97" s="875" t="str" cm="1">
        <f t="array" aca="1" ref="E97" ca="1">IF(OR(H103:H113="No ▲"),"Error - Trading Rules Not Satisfied ▲","Trading Rules Satisfied ✓")</f>
        <v>Trading Rules Satisfied ✓</v>
      </c>
      <c r="F97" s="875"/>
      <c r="G97" s="875"/>
      <c r="H97" s="875"/>
      <c r="I97" s="876"/>
      <c r="J97" s="199">
        <f ca="1">IFERROR(FIND("Error",E97),0)</f>
        <v>0</v>
      </c>
      <c r="R97" s="655"/>
    </row>
    <row r="98" spans="2:18" s="99" customFormat="1">
      <c r="R98" s="655"/>
    </row>
    <row r="99" spans="2:18" s="99" customFormat="1" ht="21" customHeight="1">
      <c r="B99" s="121" t="s">
        <v>227</v>
      </c>
      <c r="R99" s="655"/>
    </row>
    <row r="100" spans="2:18" s="99" customFormat="1">
      <c r="R100" s="655"/>
    </row>
    <row r="101" spans="2:18" s="99" customFormat="1" ht="15" customHeight="1">
      <c r="R101" s="655"/>
    </row>
    <row r="102" spans="2:18" s="99" customFormat="1" ht="51" customHeight="1">
      <c r="B102" s="449" t="s">
        <v>165</v>
      </c>
      <c r="C102" s="444" t="s">
        <v>112</v>
      </c>
      <c r="D102" s="444" t="s">
        <v>77</v>
      </c>
      <c r="E102" s="444" t="s">
        <v>230</v>
      </c>
      <c r="F102" s="444" t="s">
        <v>231</v>
      </c>
      <c r="G102" s="444" t="s">
        <v>232</v>
      </c>
      <c r="H102" s="434" t="s">
        <v>233</v>
      </c>
      <c r="I102" s="423"/>
      <c r="R102" s="655"/>
    </row>
    <row r="103" spans="2:18" s="99" customFormat="1" ht="30.75" customHeight="1">
      <c r="B103" s="854" t="s">
        <v>257</v>
      </c>
      <c r="C103" s="857" t="s">
        <v>237</v>
      </c>
      <c r="D103" s="445" t="s">
        <v>264</v>
      </c>
      <c r="E103" s="446">
        <f ca="1">SUMIF($D$11:$E$30,D103,$L$11:$L$30)</f>
        <v>0</v>
      </c>
      <c r="F103" s="446">
        <f>IF($I$31+$I$59+$I$86=0,0,SUMIF($D$39:$D$58,D103,$L$39:$N$58)+SUMIF($F$66:$G$85,D103,$L$66:$L$85)+SUMIF($D$11:$E$30,D103,$AE$11:$AE$30))</f>
        <v>0</v>
      </c>
      <c r="G103" s="446">
        <f ca="1">$F$103-$E$103</f>
        <v>0</v>
      </c>
      <c r="H103" s="860" t="str">
        <f ca="1">IF(G108&gt;=0, "Yes ✓", "No ▲")</f>
        <v>Yes ✓</v>
      </c>
      <c r="I103" s="423"/>
      <c r="R103" s="655"/>
    </row>
    <row r="104" spans="2:18" s="99" customFormat="1" ht="30.75" customHeight="1">
      <c r="B104" s="855"/>
      <c r="C104" s="858"/>
      <c r="D104" s="425" t="s">
        <v>265</v>
      </c>
      <c r="E104" s="426">
        <f ca="1">SUMIF($D$11:$E$30,D104,$L$11:$L$30)</f>
        <v>0</v>
      </c>
      <c r="F104" s="426">
        <f>IF($I$31+$I$59+$I$86=0,0,SUMIF($D$39:$D$58,D104,$L$39:$N$58)+SUMIF($F$66:$G$85,D104,$L$66:$L$85)+SUMIF($D$11:$E$30,D104,$AE$11:$AE$30))</f>
        <v>0</v>
      </c>
      <c r="G104" s="426">
        <f ca="1">$F$104-$E$104</f>
        <v>0</v>
      </c>
      <c r="H104" s="861"/>
      <c r="I104" s="423"/>
      <c r="R104" s="655"/>
    </row>
    <row r="105" spans="2:18" s="99" customFormat="1" ht="30.75" customHeight="1">
      <c r="B105" s="855"/>
      <c r="C105" s="858"/>
      <c r="D105" s="425" t="s">
        <v>266</v>
      </c>
      <c r="E105" s="426">
        <f ca="1">SUMIF($D$11:$E$30,D105,$L$11:$L$30)</f>
        <v>0</v>
      </c>
      <c r="F105" s="426">
        <f>IF($I$31+$I$59+$I$86=0,0,SUMIF($D$39:$D$58,D105,$L$39:$N$58)+SUMIF($F$66:$G$85,D105,$L$66:$L$85)+SUMIF($D$11:$E$30,D105,$AE$11:$AE$30))</f>
        <v>0</v>
      </c>
      <c r="G105" s="426">
        <f ca="1">$F$105-$E$105</f>
        <v>0</v>
      </c>
      <c r="H105" s="861"/>
      <c r="I105" s="423"/>
      <c r="R105" s="655"/>
    </row>
    <row r="106" spans="2:18" s="99" customFormat="1" ht="30.75" customHeight="1">
      <c r="B106" s="855"/>
      <c r="C106" s="858"/>
      <c r="D106" s="425" t="s">
        <v>267</v>
      </c>
      <c r="E106" s="426">
        <f ca="1">SUMIF($D$11:$E$30,D106,$L$11:$L$30)</f>
        <v>0</v>
      </c>
      <c r="F106" s="426">
        <f>IF($I$31+$I$59+$I$86=0,0,SUMIF($D$39:$D$58,D106,$L$39:$N$58)+SUMIF($F$66:$G$85,D106,$L$66:$L$85)+SUMIF($D$11:$E$30,D106,$AE$11:$AE$30))</f>
        <v>0</v>
      </c>
      <c r="G106" s="426">
        <f ca="1">$F$106-$E$106</f>
        <v>0</v>
      </c>
      <c r="H106" s="861"/>
      <c r="I106" s="423"/>
      <c r="R106" s="655"/>
    </row>
    <row r="107" spans="2:18" s="99" customFormat="1" ht="30.75" customHeight="1">
      <c r="B107" s="855"/>
      <c r="C107" s="858"/>
      <c r="D107" s="425" t="s">
        <v>268</v>
      </c>
      <c r="E107" s="426">
        <f ca="1">SUMIF($D$11:$E$30,D107,$L$11:$L$30)</f>
        <v>0</v>
      </c>
      <c r="F107" s="426">
        <f>IF($I$31+$I$59+$I$86=0,0,SUMIF($D$39:$D$58,D107,$L$39:$N$58)+SUMIF($F$66:$G$85,D107,$L$66:$L$85)+SUMIF($D$11:$E$30,D107,$AE$11:$AE$30))</f>
        <v>0</v>
      </c>
      <c r="G107" s="426">
        <f ca="1">$F$107-$E$107</f>
        <v>0</v>
      </c>
      <c r="H107" s="861"/>
      <c r="I107" s="199"/>
      <c r="R107" s="655"/>
    </row>
    <row r="108" spans="2:18" s="99" customFormat="1" ht="30.75" customHeight="1">
      <c r="B108" s="855"/>
      <c r="C108" s="859"/>
      <c r="D108" s="437" t="s">
        <v>269</v>
      </c>
      <c r="E108" s="438">
        <f ca="1">SUM($E$103:$E$107)</f>
        <v>0</v>
      </c>
      <c r="F108" s="438">
        <f>SUM($F$103:$F$107)</f>
        <v>0</v>
      </c>
      <c r="G108" s="438">
        <f ca="1">SUM($G$103:$G$107)</f>
        <v>0</v>
      </c>
      <c r="H108" s="862"/>
      <c r="I108" s="199">
        <f ca="1">IF($H$103="No ▲",1,0)</f>
        <v>0</v>
      </c>
      <c r="R108" s="655"/>
    </row>
    <row r="109" spans="2:18" s="99" customFormat="1" ht="30.75" customHeight="1">
      <c r="B109" s="855"/>
      <c r="C109" s="857" t="s">
        <v>235</v>
      </c>
      <c r="D109" s="445" t="s">
        <v>270</v>
      </c>
      <c r="E109" s="446">
        <f ca="1">SUMIF($D$11:$E$30,D109,$L$11:$L$30)</f>
        <v>0</v>
      </c>
      <c r="F109" s="446">
        <f>IF($I$31+$I$59+$I$86=0,0,SUMIF($D$39:$D$58,D109,$L$39:$N$58)+SUMIF($F$66:$G$85,D109,$L$66:$L$85)+SUMIF($D$11:$E$30,D109,$AE$11:$AE$30))</f>
        <v>0</v>
      </c>
      <c r="G109" s="446">
        <f ca="1">$F$109-$E$109</f>
        <v>0</v>
      </c>
      <c r="H109" s="860" t="str">
        <f ca="1">IF(G112&gt;=0,"Yes ✓",IF(E114&gt;=0,"Yes ✓","No ▲"))</f>
        <v>Yes ✓</v>
      </c>
      <c r="I109" s="199"/>
      <c r="R109" s="655"/>
    </row>
    <row r="110" spans="2:18" s="99" customFormat="1" ht="30.75" customHeight="1">
      <c r="B110" s="855"/>
      <c r="C110" s="858"/>
      <c r="D110" s="425" t="s">
        <v>271</v>
      </c>
      <c r="E110" s="426">
        <f ca="1">SUMIF($D$11:$E$30,D110,$L$11:$L$30)</f>
        <v>0</v>
      </c>
      <c r="F110" s="426">
        <f>IF($I$31+$I$59+$I$86=0,0,SUMIF($D$39:$D$58,D110,$L$39:$N$58)+SUMIF($F$66:$G$85,D110,$L$66:$L$85)+SUMIF($D$11:$E$30,D110,$AE$11:$AE$30))</f>
        <v>0</v>
      </c>
      <c r="G110" s="426">
        <f ca="1">$F$110-$E$110</f>
        <v>0</v>
      </c>
      <c r="H110" s="861"/>
      <c r="I110" s="199"/>
      <c r="R110" s="655"/>
    </row>
    <row r="111" spans="2:18" s="99" customFormat="1" ht="30.75" customHeight="1">
      <c r="B111" s="855"/>
      <c r="C111" s="858"/>
      <c r="D111" s="425" t="s">
        <v>272</v>
      </c>
      <c r="E111" s="426">
        <f ca="1">SUMIF($D$11:$E$30,D111,$L$11:$L$30)</f>
        <v>0</v>
      </c>
      <c r="F111" s="426">
        <f>IF($I$31+$I$59+$I$86=0,0,SUMIF($D$39:$D$58,D111,$L$39:$N$58)+SUMIF($F$66:$G$85,D111,$L$66:$L$85)+SUMIF($D$11:$E$30,D111,$AE$11:$AE$30))</f>
        <v>0</v>
      </c>
      <c r="G111" s="426">
        <f ca="1">$F$111-$E$111</f>
        <v>0</v>
      </c>
      <c r="H111" s="861"/>
      <c r="I111" s="199"/>
      <c r="R111" s="655"/>
    </row>
    <row r="112" spans="2:18" s="99" customFormat="1" ht="30.75" customHeight="1">
      <c r="B112" s="855"/>
      <c r="C112" s="859"/>
      <c r="D112" s="437" t="s">
        <v>269</v>
      </c>
      <c r="E112" s="438">
        <f ca="1">SUM($E$109:$E$111)</f>
        <v>0</v>
      </c>
      <c r="F112" s="438">
        <f>SUM($F$109:$F$111)</f>
        <v>0</v>
      </c>
      <c r="G112" s="438">
        <f ca="1">SUM($G$109:$G$111)</f>
        <v>0</v>
      </c>
      <c r="H112" s="862"/>
      <c r="I112" s="199">
        <f ca="1">IF($H$109="No ▲",1,0)</f>
        <v>0</v>
      </c>
      <c r="R112" s="655"/>
    </row>
    <row r="113" spans="2:18" s="99" customFormat="1" ht="30.75" customHeight="1">
      <c r="B113" s="856"/>
      <c r="C113" s="439" t="s">
        <v>273</v>
      </c>
      <c r="D113" s="447" t="s">
        <v>274</v>
      </c>
      <c r="E113" s="448">
        <f ca="1">SUMIF($D$11:$E$30,D113,$L$11:$L$30)</f>
        <v>0</v>
      </c>
      <c r="F113" s="448">
        <f>IF($I$31+$I$59+$I$86=0,0,SUMIF($D$39:$D$58,D113,$L$39:$N$58)+SUMIF($F$66:$G$85,D113,$L$66:$L$85)+SUMIF($D$11:$E$30,D113,$AE$11:$AE$30))</f>
        <v>0</v>
      </c>
      <c r="G113" s="448">
        <f ca="1">$F$113-$E$113</f>
        <v>0</v>
      </c>
      <c r="H113" s="442" t="str">
        <f ca="1">IF(G113&gt;=0,"Yes✓",IF(F114&gt;=0,"Yes ✓","No ▲"))</f>
        <v>Yes✓</v>
      </c>
      <c r="I113" s="199">
        <f ca="1">IF($H$113="No ▲",1,0)</f>
        <v>0</v>
      </c>
      <c r="R113" s="655"/>
    </row>
    <row r="114" spans="2:18" s="99" customFormat="1" ht="15" customHeight="1">
      <c r="E114" s="450">
        <f ca="1">G108+G112</f>
        <v>0</v>
      </c>
      <c r="F114" s="427">
        <f ca="1">IF(G108&lt;0,0,($G$108+$G$112+$G$113))</f>
        <v>0</v>
      </c>
      <c r="I114" s="423"/>
      <c r="R114" s="655"/>
    </row>
    <row r="115" spans="2:18" s="99" customFormat="1" ht="24.75" customHeight="1">
      <c r="B115" s="863" t="s">
        <v>275</v>
      </c>
      <c r="C115" s="632"/>
      <c r="D115" s="632"/>
      <c r="E115" s="632"/>
      <c r="F115" s="430">
        <f ca="1">$G$108</f>
        <v>0</v>
      </c>
      <c r="G115" s="427">
        <f ca="1">IF($G$108&lt;=0,0,($G$108+$G$112))</f>
        <v>0</v>
      </c>
      <c r="I115" s="423"/>
      <c r="R115" s="655"/>
    </row>
    <row r="116" spans="2:18" s="99" customFormat="1" ht="21.75" customHeight="1">
      <c r="B116" s="864" t="s">
        <v>276</v>
      </c>
      <c r="C116" s="865"/>
      <c r="D116" s="865"/>
      <c r="E116" s="865"/>
      <c r="F116" s="432">
        <f ca="1">IF($G$108&gt;0,($G$112+$G$108),$G$112)</f>
        <v>0</v>
      </c>
      <c r="G116" s="427">
        <f ca="1">IF($G$108&lt;=0,0,($G$108+$G$112+$G$113))</f>
        <v>0</v>
      </c>
      <c r="R116" s="655"/>
    </row>
    <row r="117" spans="2:18" s="99" customFormat="1" ht="24" customHeight="1">
      <c r="B117" s="866" t="s">
        <v>277</v>
      </c>
      <c r="C117" s="634"/>
      <c r="D117" s="634"/>
      <c r="E117" s="634"/>
      <c r="F117" s="431">
        <f ca="1">IF($F$116&gt;0,($F$116+$G$113),$G$113)</f>
        <v>0</v>
      </c>
      <c r="G117" s="427"/>
      <c r="R117" s="655"/>
    </row>
    <row r="118" spans="2:18" s="99" customFormat="1">
      <c r="G118" s="427"/>
      <c r="R118" s="655"/>
    </row>
    <row r="119" spans="2:18" s="99" customFormat="1">
      <c r="R119" s="655"/>
    </row>
    <row r="120" spans="2:18" s="99" customFormat="1">
      <c r="R120" s="655"/>
    </row>
    <row r="121" spans="2:18" s="99" customFormat="1">
      <c r="R121" s="655"/>
    </row>
    <row r="122" spans="2:18" s="99" customFormat="1">
      <c r="R122" s="655"/>
    </row>
    <row r="123" spans="2:18" s="99" customFormat="1">
      <c r="R123" s="655"/>
    </row>
    <row r="124" spans="2:18" s="99" customFormat="1">
      <c r="R124" s="655"/>
    </row>
    <row r="125" spans="2:18" s="99" customFormat="1">
      <c r="R125" s="655"/>
    </row>
    <row r="126" spans="2:18" s="99" customFormat="1">
      <c r="R126" s="655"/>
    </row>
    <row r="127" spans="2:18" s="99" customFormat="1">
      <c r="R127" s="655"/>
    </row>
  </sheetData>
  <sheetProtection algorithmName="SHA-512" hashValue="xz9MHnyjpwIV3DmTeuqW1769/10tWXgXrX1g95VUBMVbZ8cZArnxPf14ZyiomAxMsc+C0rMCUL0BPpM8VI6wjg==" saltValue="bqt7brlrxiDeAEFPhxVvKw==" spinCount="100000" sheet="1" formatRows="0"/>
  <mergeCells count="273">
    <mergeCell ref="B9:B10"/>
    <mergeCell ref="C9:E9"/>
    <mergeCell ref="F9:H10"/>
    <mergeCell ref="I9:K9"/>
    <mergeCell ref="L9:N9"/>
    <mergeCell ref="O9:P9"/>
    <mergeCell ref="D11:E11"/>
    <mergeCell ref="F11:H11"/>
    <mergeCell ref="D15:E15"/>
    <mergeCell ref="F15:H15"/>
    <mergeCell ref="T9:V9"/>
    <mergeCell ref="W9:X9"/>
    <mergeCell ref="Y9:AA9"/>
    <mergeCell ref="AB9:AD9"/>
    <mergeCell ref="AE9:AG9"/>
    <mergeCell ref="AH9:AH10"/>
    <mergeCell ref="AI9:AI10"/>
    <mergeCell ref="D10:E10"/>
    <mergeCell ref="T10:U10"/>
    <mergeCell ref="R1:R31"/>
    <mergeCell ref="C2:D2"/>
    <mergeCell ref="F2:H6"/>
    <mergeCell ref="J2:M5"/>
    <mergeCell ref="C3:D3"/>
    <mergeCell ref="D19:E19"/>
    <mergeCell ref="F19:H19"/>
    <mergeCell ref="D23:E23"/>
    <mergeCell ref="F23:H23"/>
    <mergeCell ref="D27:E27"/>
    <mergeCell ref="F27:H27"/>
    <mergeCell ref="T11:U11"/>
    <mergeCell ref="D12:E12"/>
    <mergeCell ref="F12:H12"/>
    <mergeCell ref="T12:U12"/>
    <mergeCell ref="D13:E13"/>
    <mergeCell ref="F13:H13"/>
    <mergeCell ref="T13:U13"/>
    <mergeCell ref="D14:E14"/>
    <mergeCell ref="F14:H14"/>
    <mergeCell ref="T14:U14"/>
    <mergeCell ref="T15:U15"/>
    <mergeCell ref="D16:E16"/>
    <mergeCell ref="F16:H16"/>
    <mergeCell ref="T16:U16"/>
    <mergeCell ref="D17:E17"/>
    <mergeCell ref="F17:H17"/>
    <mergeCell ref="T17:U17"/>
    <mergeCell ref="D18:E18"/>
    <mergeCell ref="F18:H18"/>
    <mergeCell ref="T18:U18"/>
    <mergeCell ref="T19:U19"/>
    <mergeCell ref="D20:E20"/>
    <mergeCell ref="F20:H20"/>
    <mergeCell ref="T20:U20"/>
    <mergeCell ref="D21:E21"/>
    <mergeCell ref="F21:H21"/>
    <mergeCell ref="T21:U21"/>
    <mergeCell ref="D22:E22"/>
    <mergeCell ref="F22:H22"/>
    <mergeCell ref="T22:U22"/>
    <mergeCell ref="T23:U23"/>
    <mergeCell ref="D24:E24"/>
    <mergeCell ref="F24:H24"/>
    <mergeCell ref="T24:U24"/>
    <mergeCell ref="D25:E25"/>
    <mergeCell ref="F25:H25"/>
    <mergeCell ref="T25:U25"/>
    <mergeCell ref="D26:E26"/>
    <mergeCell ref="F26:H26"/>
    <mergeCell ref="T26:U26"/>
    <mergeCell ref="T27:U27"/>
    <mergeCell ref="D28:E28"/>
    <mergeCell ref="F28:H28"/>
    <mergeCell ref="T28:U28"/>
    <mergeCell ref="D29:E29"/>
    <mergeCell ref="F29:H29"/>
    <mergeCell ref="T29:U29"/>
    <mergeCell ref="D30:E30"/>
    <mergeCell ref="F30:H30"/>
    <mergeCell ref="T30:U30"/>
    <mergeCell ref="I32:N32"/>
    <mergeCell ref="I33:N33"/>
    <mergeCell ref="R34:R62"/>
    <mergeCell ref="B37:B38"/>
    <mergeCell ref="C37:D37"/>
    <mergeCell ref="E37:G37"/>
    <mergeCell ref="H37:H38"/>
    <mergeCell ref="I37:K38"/>
    <mergeCell ref="L37:N38"/>
    <mergeCell ref="O37:P37"/>
    <mergeCell ref="F40:G40"/>
    <mergeCell ref="I40:K40"/>
    <mergeCell ref="L40:N40"/>
    <mergeCell ref="F43:G43"/>
    <mergeCell ref="I43:K43"/>
    <mergeCell ref="L43:N43"/>
    <mergeCell ref="F46:G46"/>
    <mergeCell ref="I46:K46"/>
    <mergeCell ref="L46:N46"/>
    <mergeCell ref="F49:G49"/>
    <mergeCell ref="I49:K49"/>
    <mergeCell ref="L49:N49"/>
    <mergeCell ref="F52:G52"/>
    <mergeCell ref="I52:K52"/>
    <mergeCell ref="T37:V37"/>
    <mergeCell ref="W37:X37"/>
    <mergeCell ref="Y37:AA37"/>
    <mergeCell ref="AB37:AD37"/>
    <mergeCell ref="AE37:AF37"/>
    <mergeCell ref="AG37:AH37"/>
    <mergeCell ref="F38:G38"/>
    <mergeCell ref="T38:U38"/>
    <mergeCell ref="F39:G39"/>
    <mergeCell ref="I39:K39"/>
    <mergeCell ref="L39:N39"/>
    <mergeCell ref="T39:U39"/>
    <mergeCell ref="T40:U40"/>
    <mergeCell ref="F41:G41"/>
    <mergeCell ref="I41:K41"/>
    <mergeCell ref="L41:N41"/>
    <mergeCell ref="T41:U41"/>
    <mergeCell ref="F42:G42"/>
    <mergeCell ref="I42:K42"/>
    <mergeCell ref="L42:N42"/>
    <mergeCell ref="T42:U42"/>
    <mergeCell ref="T43:U43"/>
    <mergeCell ref="F44:G44"/>
    <mergeCell ref="I44:K44"/>
    <mergeCell ref="L44:N44"/>
    <mergeCell ref="T44:U44"/>
    <mergeCell ref="F45:G45"/>
    <mergeCell ref="I45:K45"/>
    <mergeCell ref="L45:N45"/>
    <mergeCell ref="T45:U45"/>
    <mergeCell ref="T46:U46"/>
    <mergeCell ref="F47:G47"/>
    <mergeCell ref="I47:K47"/>
    <mergeCell ref="L47:N47"/>
    <mergeCell ref="T47:U47"/>
    <mergeCell ref="F48:G48"/>
    <mergeCell ref="I48:K48"/>
    <mergeCell ref="L48:N48"/>
    <mergeCell ref="T48:U48"/>
    <mergeCell ref="T49:U49"/>
    <mergeCell ref="F50:G50"/>
    <mergeCell ref="I50:K50"/>
    <mergeCell ref="L50:N50"/>
    <mergeCell ref="T50:U50"/>
    <mergeCell ref="F51:G51"/>
    <mergeCell ref="I51:K51"/>
    <mergeCell ref="L51:N51"/>
    <mergeCell ref="T51:U51"/>
    <mergeCell ref="L52:N52"/>
    <mergeCell ref="T52:U52"/>
    <mergeCell ref="F53:G53"/>
    <mergeCell ref="I53:K53"/>
    <mergeCell ref="L53:N53"/>
    <mergeCell ref="T53:U53"/>
    <mergeCell ref="F54:G54"/>
    <mergeCell ref="I54:K54"/>
    <mergeCell ref="L54:N54"/>
    <mergeCell ref="T54:U54"/>
    <mergeCell ref="F55:G55"/>
    <mergeCell ref="I55:K55"/>
    <mergeCell ref="L55:N55"/>
    <mergeCell ref="T55:U55"/>
    <mergeCell ref="F56:G56"/>
    <mergeCell ref="I56:K56"/>
    <mergeCell ref="L56:N56"/>
    <mergeCell ref="T56:U56"/>
    <mergeCell ref="F57:G57"/>
    <mergeCell ref="I57:K57"/>
    <mergeCell ref="L57:N57"/>
    <mergeCell ref="T57:U57"/>
    <mergeCell ref="F58:G58"/>
    <mergeCell ref="I58:K58"/>
    <mergeCell ref="L58:N58"/>
    <mergeCell ref="T58:U58"/>
    <mergeCell ref="I59:K59"/>
    <mergeCell ref="L59:N59"/>
    <mergeCell ref="I60:N60"/>
    <mergeCell ref="A63:A65"/>
    <mergeCell ref="R63:R88"/>
    <mergeCell ref="B64:B65"/>
    <mergeCell ref="C64:D64"/>
    <mergeCell ref="E64:G64"/>
    <mergeCell ref="H64:H65"/>
    <mergeCell ref="I64:I65"/>
    <mergeCell ref="J64:K65"/>
    <mergeCell ref="L64:L65"/>
    <mergeCell ref="M64:N65"/>
    <mergeCell ref="O64:P64"/>
    <mergeCell ref="T64:AD64"/>
    <mergeCell ref="F68:G68"/>
    <mergeCell ref="J68:K68"/>
    <mergeCell ref="M68:N68"/>
    <mergeCell ref="F69:G69"/>
    <mergeCell ref="J69:K69"/>
    <mergeCell ref="AE64:AE65"/>
    <mergeCell ref="AF64:AP64"/>
    <mergeCell ref="AQ64:AQ65"/>
    <mergeCell ref="AR64:AX64"/>
    <mergeCell ref="F65:G65"/>
    <mergeCell ref="F66:G66"/>
    <mergeCell ref="J66:K66"/>
    <mergeCell ref="M66:N66"/>
    <mergeCell ref="F67:G67"/>
    <mergeCell ref="J67:K67"/>
    <mergeCell ref="M67:N67"/>
    <mergeCell ref="M69:N69"/>
    <mergeCell ref="F70:G70"/>
    <mergeCell ref="J70:K70"/>
    <mergeCell ref="M70:N70"/>
    <mergeCell ref="F71:G71"/>
    <mergeCell ref="J71:K71"/>
    <mergeCell ref="M71:N71"/>
    <mergeCell ref="F72:G72"/>
    <mergeCell ref="J72:K72"/>
    <mergeCell ref="M72:N72"/>
    <mergeCell ref="F73:G73"/>
    <mergeCell ref="J73:K73"/>
    <mergeCell ref="M73:N73"/>
    <mergeCell ref="F74:G74"/>
    <mergeCell ref="J74:K74"/>
    <mergeCell ref="M74:N74"/>
    <mergeCell ref="F75:G75"/>
    <mergeCell ref="J75:K75"/>
    <mergeCell ref="M75:N75"/>
    <mergeCell ref="F76:G76"/>
    <mergeCell ref="J76:K76"/>
    <mergeCell ref="M76:N76"/>
    <mergeCell ref="F77:G77"/>
    <mergeCell ref="J77:K77"/>
    <mergeCell ref="M77:N77"/>
    <mergeCell ref="F78:G78"/>
    <mergeCell ref="J78:K78"/>
    <mergeCell ref="M78:N78"/>
    <mergeCell ref="F79:G79"/>
    <mergeCell ref="J79:K79"/>
    <mergeCell ref="M79:N79"/>
    <mergeCell ref="F80:G80"/>
    <mergeCell ref="J80:K80"/>
    <mergeCell ref="M80:N80"/>
    <mergeCell ref="F81:G81"/>
    <mergeCell ref="J81:K81"/>
    <mergeCell ref="M81:N81"/>
    <mergeCell ref="F82:G82"/>
    <mergeCell ref="J82:K82"/>
    <mergeCell ref="M82:N82"/>
    <mergeCell ref="F83:G83"/>
    <mergeCell ref="J83:K83"/>
    <mergeCell ref="M83:N83"/>
    <mergeCell ref="F84:G84"/>
    <mergeCell ref="J84:K84"/>
    <mergeCell ref="M84:N84"/>
    <mergeCell ref="F85:G85"/>
    <mergeCell ref="J85:K85"/>
    <mergeCell ref="M85:N85"/>
    <mergeCell ref="M86:N86"/>
    <mergeCell ref="R89:R97"/>
    <mergeCell ref="A91:Q93"/>
    <mergeCell ref="B97:D97"/>
    <mergeCell ref="E97:I97"/>
    <mergeCell ref="R98:R100"/>
    <mergeCell ref="R101:R127"/>
    <mergeCell ref="B103:B113"/>
    <mergeCell ref="C103:C108"/>
    <mergeCell ref="H103:H108"/>
    <mergeCell ref="C109:C112"/>
    <mergeCell ref="H109:H112"/>
    <mergeCell ref="B115:E115"/>
    <mergeCell ref="B116:E116"/>
    <mergeCell ref="B117:E117"/>
  </mergeCells>
  <conditionalFormatting sqref="H103 H109 H113">
    <cfRule type="containsText" dxfId="165" priority="1" operator="containsText" text="No">
      <formula>NOT(ISERROR(SEARCH("No",H103)))</formula>
    </cfRule>
    <cfRule type="containsText" dxfId="164" priority="2" operator="containsText" text="Yes">
      <formula>NOT(ISERROR(SEARCH("Yes",H103)))</formula>
    </cfRule>
  </conditionalFormatting>
  <conditionalFormatting sqref="P1:P5 I60:N60 J66:K85">
    <cfRule type="containsText" dxfId="163" priority="3" operator="containsText" text="▲">
      <formula>NOT(ISERROR(SEARCH("▲",P1)))</formula>
    </cfRule>
  </conditionalFormatting>
  <conditionalFormatting sqref="F66:G85">
    <cfRule type="containsText" dxfId="162" priority="4" operator="containsText" text="not possible">
      <formula>NOT(ISERROR(SEARCH("not possible",F66)))</formula>
    </cfRule>
    <cfRule type="expression" dxfId="161" priority="37">
      <formula>$D66=""</formula>
    </cfRule>
  </conditionalFormatting>
  <conditionalFormatting sqref="M66:N85">
    <cfRule type="containsText" dxfId="160" priority="5" operator="containsText" text="Error">
      <formula>NOT(ISERROR(SEARCH("Error",M66)))</formula>
    </cfRule>
  </conditionalFormatting>
  <conditionalFormatting sqref="I59:K59">
    <cfRule type="cellIs" dxfId="159" priority="6" operator="greaterThan">
      <formula>5000</formula>
    </cfRule>
  </conditionalFormatting>
  <conditionalFormatting sqref="I60:N60">
    <cfRule type="containsText" dxfId="158" priority="7" operator="containsText" text="✓">
      <formula>NOT(ISERROR(SEARCH("✓",I60)))</formula>
    </cfRule>
  </conditionalFormatting>
  <conditionalFormatting sqref="I33:N33">
    <cfRule type="containsText" dxfId="157" priority="8" operator="containsText" text="▲">
      <formula>NOT(ISERROR(SEARCH("▲",I33)))</formula>
    </cfRule>
    <cfRule type="containsText" dxfId="156" priority="9" operator="containsText" text="✓">
      <formula>NOT(ISERROR(SEARCH("✓",I33)))</formula>
    </cfRule>
  </conditionalFormatting>
  <conditionalFormatting sqref="L66:L85">
    <cfRule type="containsText" dxfId="155" priority="10" operator="containsText" text="▲">
      <formula>NOT(ISERROR(SEARCH("▲",L66)))</formula>
    </cfRule>
    <cfRule type="cellIs" dxfId="154" priority="11" operator="equal">
      <formula>"Alternative Compensation"</formula>
    </cfRule>
    <cfRule type="cellIs" dxfId="153" priority="12" operator="equal">
      <formula>"Unacceptable Loss"</formula>
    </cfRule>
    <cfRule type="cellIs" dxfId="152" priority="13" operator="equal">
      <formula>"Compensation Agreed"</formula>
    </cfRule>
    <cfRule type="cellIs" dxfId="151" priority="14" operator="equal">
      <formula>"Unacceptable Loss"</formula>
    </cfRule>
    <cfRule type="cellIs" dxfId="150" priority="15" operator="equal">
      <formula>"Compensation Agreed"</formula>
    </cfRule>
    <cfRule type="cellIs" dxfId="149" priority="16" operator="equal">
      <formula>"Unacceptable Loss"</formula>
    </cfRule>
  </conditionalFormatting>
  <conditionalFormatting sqref="L39:N58">
    <cfRule type="containsText" dxfId="148" priority="17" operator="containsText" text="▲">
      <formula>NOT(ISERROR(SEARCH("▲",L39)))</formula>
    </cfRule>
    <cfRule type="containsText" dxfId="147" priority="18" operator="containsText" text="value">
      <formula>NOT(ISERROR(SEARCH("value",L39)))</formula>
    </cfRule>
  </conditionalFormatting>
  <conditionalFormatting sqref="L39:M58">
    <cfRule type="cellIs" dxfId="146" priority="19" operator="equal">
      <formula>"Alternative Compensation"</formula>
    </cfRule>
    <cfRule type="cellIs" dxfId="145" priority="20" operator="equal">
      <formula>"Unacceptable Loss"</formula>
    </cfRule>
    <cfRule type="cellIs" dxfId="144" priority="21" operator="equal">
      <formula>"Compensation Agreed"</formula>
    </cfRule>
    <cfRule type="cellIs" dxfId="143" priority="22" operator="equal">
      <formula>"Unacceptable Loss"</formula>
    </cfRule>
    <cfRule type="cellIs" dxfId="142" priority="23" operator="equal">
      <formula>"Compensation Agreed"</formula>
    </cfRule>
    <cfRule type="cellIs" dxfId="141" priority="24" operator="equal">
      <formula>"Unacceptable Loss"</formula>
    </cfRule>
  </conditionalFormatting>
  <conditionalFormatting sqref="L11:L30 N11:N30">
    <cfRule type="containsText" dxfId="140" priority="25" operator="containsText" text="▲">
      <formula>NOT(ISERROR(SEARCH("▲",L11)))</formula>
    </cfRule>
  </conditionalFormatting>
  <conditionalFormatting sqref="L11:L30">
    <cfRule type="containsText" dxfId="139" priority="26" operator="containsText" text="value">
      <formula>NOT(ISERROR(SEARCH("value",L11)))</formula>
    </cfRule>
  </conditionalFormatting>
  <conditionalFormatting sqref="M11:N30">
    <cfRule type="containsText" dxfId="138" priority="27" operator="containsText" text="error">
      <formula>NOT(ISERROR(SEARCH("error",M11)))</formula>
    </cfRule>
  </conditionalFormatting>
  <conditionalFormatting sqref="N11:N30">
    <cfRule type="cellIs" dxfId="137" priority="28" operator="equal">
      <formula>"Alternative Compensation"</formula>
    </cfRule>
    <cfRule type="cellIs" dxfId="136" priority="29" operator="equal">
      <formula>"Unacceptable Loss"</formula>
    </cfRule>
    <cfRule type="cellIs" dxfId="135" priority="30" operator="equal">
      <formula>"Compensation Agreed"</formula>
    </cfRule>
    <cfRule type="cellIs" dxfId="134" priority="31" operator="equal">
      <formula>"Unacceptable Loss"</formula>
    </cfRule>
    <cfRule type="cellIs" dxfId="133" priority="32" operator="equal">
      <formula>"Compensation Agreed"</formula>
    </cfRule>
    <cfRule type="cellIs" dxfId="132" priority="33" operator="equal">
      <formula>"Unacceptable Loss"</formula>
    </cfRule>
  </conditionalFormatting>
  <conditionalFormatting sqref="L11:M30">
    <cfRule type="cellIs" dxfId="131" priority="34" operator="equal">
      <formula>"Any loss Unacceptable"</formula>
    </cfRule>
    <cfRule type="expression" dxfId="130" priority="35">
      <formula>"p18=""Avoid"""</formula>
    </cfRule>
  </conditionalFormatting>
  <conditionalFormatting sqref="AJ66:AJ85">
    <cfRule type="cellIs" dxfId="129" priority="36" operator="equal">
      <formula>"Not Possible"</formula>
    </cfRule>
  </conditionalFormatting>
  <conditionalFormatting sqref="E66:E85">
    <cfRule type="cellIs" dxfId="128" priority="38" operator="equal">
      <formula>"Enhancement not possible"</formula>
    </cfRule>
  </conditionalFormatting>
  <conditionalFormatting sqref="M66:M85">
    <cfRule type="cellIs" dxfId="127" priority="39" operator="equal">
      <formula>"Alternative Compensation"</formula>
    </cfRule>
    <cfRule type="cellIs" dxfId="126" priority="40" operator="equal">
      <formula>"Unacceptable Loss"</formula>
    </cfRule>
    <cfRule type="cellIs" dxfId="125" priority="41" operator="equal">
      <formula>"Compensation Agreed"</formula>
    </cfRule>
    <cfRule type="cellIs" dxfId="124" priority="42" operator="equal">
      <formula>"Unacceptable Loss"</formula>
    </cfRule>
    <cfRule type="cellIs" dxfId="123" priority="43" operator="equal">
      <formula>"Compensation Agreed"</formula>
    </cfRule>
    <cfRule type="cellIs" dxfId="122" priority="44" operator="equal">
      <formula>"Unacceptable Loss"</formula>
    </cfRule>
  </conditionalFormatting>
  <conditionalFormatting sqref="F43:F58">
    <cfRule type="containsBlanks" dxfId="121" priority="45" stopIfTrue="1">
      <formula>LEN(TRIM(F43))=0</formula>
    </cfRule>
    <cfRule type="expression" dxfId="120" priority="46">
      <formula>ISNUMBER(SEARCH(F43,E43,1))</formula>
    </cfRule>
  </conditionalFormatting>
  <conditionalFormatting sqref="J2">
    <cfRule type="containsText" dxfId="119" priority="47" operator="containsText" text="Technical">
      <formula>NOT(ISERROR(SEARCH("Technical",J2)))</formula>
    </cfRule>
  </conditionalFormatting>
  <conditionalFormatting sqref="I32:N32">
    <cfRule type="containsText" dxfId="118" priority="48" operator="containsText" text="error">
      <formula>NOT(ISERROR(SEARCH("error",I32)))</formula>
    </cfRule>
    <cfRule type="containsText" dxfId="117" priority="49" operator="containsText" text="acceptable">
      <formula>NOT(ISERROR(SEARCH("acceptable",I32)))</formula>
    </cfRule>
  </conditionalFormatting>
  <conditionalFormatting sqref="K11:K30">
    <cfRule type="expression" dxfId="116" priority="50">
      <formula>$AI11="Enhancement not possible"</formula>
    </cfRule>
  </conditionalFormatting>
  <conditionalFormatting sqref="L86:M86">
    <cfRule type="cellIs" dxfId="115" priority="51" operator="equal">
      <formula>"Any loss Unacceptable"</formula>
    </cfRule>
    <cfRule type="expression" dxfId="114" priority="52">
      <formula>"p18=""Avoid"""</formula>
    </cfRule>
  </conditionalFormatting>
  <conditionalFormatting sqref="I86">
    <cfRule type="cellIs" dxfId="113" priority="53" operator="equal">
      <formula>"Any loss Unacceptable"</formula>
    </cfRule>
    <cfRule type="expression" dxfId="112" priority="54">
      <formula>"p18=""Avoid"""</formula>
    </cfRule>
  </conditionalFormatting>
  <conditionalFormatting sqref="X39:X58">
    <cfRule type="cellIs" dxfId="111" priority="55" operator="equal">
      <formula>"Not Possible"</formula>
    </cfRule>
  </conditionalFormatting>
  <conditionalFormatting sqref="J2 O6:P6">
    <cfRule type="containsText" dxfId="110" priority="56" operator="containsText" text="Errors Present On Sheet">
      <formula>NOT(ISERROR(SEARCH("Errors Present On Sheet",J2)))</formula>
    </cfRule>
  </conditionalFormatting>
  <conditionalFormatting sqref="E97">
    <cfRule type="containsText" dxfId="109" priority="57" operator="containsText" text="Trading Rules Satisfied">
      <formula>NOT(ISERROR(SEARCH("Trading Rules Satisfied",E97)))</formula>
    </cfRule>
    <cfRule type="containsText" dxfId="108" priority="58" operator="containsText" text="Error - Trading Rules Not Satisfied">
      <formula>NOT(ISERROR(SEARCH("Error - Trading Rules Not Satisfied",E97)))</formula>
    </cfRule>
  </conditionalFormatting>
  <conditionalFormatting sqref="I31">
    <cfRule type="cellIs" dxfId="107" priority="59" operator="greaterThan">
      <formula>5000</formula>
    </cfRule>
  </conditionalFormatting>
  <conditionalFormatting sqref="AG11:AG30">
    <cfRule type="cellIs" dxfId="106" priority="60" operator="equal">
      <formula>"Unacceptable Loss"</formula>
    </cfRule>
  </conditionalFormatting>
  <conditionalFormatting sqref="X11:X30">
    <cfRule type="cellIs" dxfId="105" priority="61" operator="equal">
      <formula>"Not Possible"</formula>
    </cfRule>
  </conditionalFormatting>
  <conditionalFormatting sqref="F39">
    <cfRule type="containsBlanks" dxfId="104" priority="62" stopIfTrue="1">
      <formula>LEN(TRIM(F39))=0</formula>
    </cfRule>
    <cfRule type="expression" dxfId="103" priority="63">
      <formula>ISNUMBER(SEARCH(F39,E39,1))</formula>
    </cfRule>
  </conditionalFormatting>
  <conditionalFormatting sqref="F40:F42">
    <cfRule type="containsBlanks" dxfId="102" priority="64" stopIfTrue="1">
      <formula>LEN(TRIM(F40))=0</formula>
    </cfRule>
    <cfRule type="expression" dxfId="101" priority="65">
      <formula>ISNUMBER(SEARCH(F40,E40,1))</formula>
    </cfRule>
  </conditionalFormatting>
  <dataValidations count="2">
    <dataValidation type="list" allowBlank="1" showInputMessage="1" showErrorMessage="1" sqref="D11:E30 D39:D58" xr:uid="{00000000-0002-0000-0500-000000000000}">
      <formula1>INDIRECT(SUBSTITUTE(C11," ",""))</formula1>
    </dataValidation>
    <dataValidation type="list" allowBlank="1" showInputMessage="1" showErrorMessage="1" sqref="F66:G85" xr:uid="{00000000-0002-0000-0500-000001000000}">
      <formula1>INDIRECT(BV66)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6D46-9318-4FB5-8390-2A31F88ADFD5}">
  <sheetPr codeName="Sheet4">
    <tabColor rgb="FF0033CC"/>
    <pageSetUpPr fitToPage="1"/>
  </sheetPr>
  <dimension ref="A1:CC130"/>
  <sheetViews>
    <sheetView zoomScale="80" zoomScaleNormal="80" workbookViewId="0"/>
  </sheetViews>
  <sheetFormatPr defaultColWidth="0" defaultRowHeight="14.45" zeroHeight="1"/>
  <cols>
    <col min="1" max="1" width="4.5703125" customWidth="1"/>
    <col min="2" max="2" width="14.7109375" customWidth="1"/>
    <col min="3" max="3" width="24.42578125" customWidth="1"/>
    <col min="4" max="4" width="40.28515625" customWidth="1"/>
    <col min="5" max="5" width="27" customWidth="1"/>
    <col min="6" max="6" width="20.5703125" customWidth="1"/>
    <col min="7" max="7" width="33.28515625" customWidth="1"/>
    <col min="8" max="8" width="35.28515625"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7.28515625" customWidth="1"/>
    <col min="20" max="20" width="14.42578125" customWidth="1"/>
    <col min="21" max="21" width="14.7109375" customWidth="1"/>
    <col min="22" max="22" width="20.7109375" bestFit="1" customWidth="1"/>
    <col min="23" max="23" width="23.7109375" customWidth="1"/>
    <col min="24" max="24" width="16.7109375" bestFit="1" customWidth="1"/>
    <col min="25" max="25" width="14" hidden="1" customWidth="1"/>
    <col min="26" max="26" width="21.28515625"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35.7109375" customWidth="1"/>
    <col min="35" max="35" width="76.28515625" customWidth="1"/>
    <col min="36" max="36" width="23.5703125" style="459" customWidth="1"/>
    <col min="37" max="37" width="4.42578125" style="459" hidden="1" customWidth="1"/>
    <col min="38" max="38" width="5.28515625" style="459" hidden="1" customWidth="1"/>
    <col min="39" max="39" width="6.7109375" style="459" hidden="1" customWidth="1"/>
    <col min="40" max="40" width="12.28515625" style="459" customWidth="1"/>
    <col min="41" max="41" width="34.28515625" bestFit="1" customWidth="1"/>
    <col min="42" max="42" width="19.7109375" bestFit="1" customWidth="1"/>
    <col min="43" max="43" width="16.28515625" bestFit="1" customWidth="1"/>
    <col min="44" max="47" width="27.28515625" customWidth="1"/>
    <col min="48" max="48" width="21.28515625" bestFit="1" customWidth="1"/>
    <col min="49" max="49" width="37.5703125" customWidth="1"/>
    <col min="50" max="50" width="68.28515625" customWidth="1"/>
    <col min="51" max="51" width="26.5703125" customWidth="1"/>
    <col min="52" max="52" width="24.42578125" customWidth="1"/>
    <col min="53" max="81" width="8.7109375" customWidth="1"/>
    <col min="82" max="82" width="8.7109375" hidden="1" customWidth="1"/>
    <col min="83" max="16384" width="8.7109375" hidden="1"/>
  </cols>
  <sheetData>
    <row r="1" spans="1:44" s="99" customFormat="1" ht="15.75" customHeight="1">
      <c r="I1" s="116"/>
      <c r="J1" s="116"/>
      <c r="K1" s="116"/>
      <c r="L1" s="116"/>
      <c r="M1" s="116"/>
      <c r="N1" s="116"/>
      <c r="O1" s="69" t="s">
        <v>81</v>
      </c>
      <c r="P1" s="298">
        <f>IFERROR(SUM(AE11:AE30), "Error ▲")</f>
        <v>0</v>
      </c>
      <c r="R1" s="655" t="s">
        <v>82</v>
      </c>
      <c r="T1" s="100"/>
      <c r="AJ1" s="199"/>
      <c r="AK1" s="199"/>
      <c r="AL1" s="199"/>
      <c r="AM1" s="199"/>
      <c r="AN1" s="199"/>
    </row>
    <row r="2" spans="1:44" s="99" customFormat="1" ht="19.899999999999999" customHeight="1">
      <c r="B2" s="141" t="s">
        <v>83</v>
      </c>
      <c r="C2" s="833" t="str">
        <f>IF('2. Site Details'!D4="","Enter site name on 2. Site Details",'2. Site Details'!D4)</f>
        <v>8 cliffe lane</v>
      </c>
      <c r="D2" s="834"/>
      <c r="F2" s="835" t="s">
        <v>278</v>
      </c>
      <c r="G2" s="836"/>
      <c r="H2" s="837"/>
      <c r="I2" s="142"/>
      <c r="J2" s="844" t="str" cm="1">
        <f t="array" aca="1" ref="J2" ca="1">IFERROR(IF(OR((ISNUMBER(SEARCH("▲",A7:Q101)))),"Input Errors Present On Sheet - Red Cells Or ▲ Highlight Errors","All Key Rules Satisfied ✓ "),"Technical Errors On Sheet ▲")</f>
        <v xml:space="preserve">All Key Rules Satisfied ✓ </v>
      </c>
      <c r="K2" s="844"/>
      <c r="L2" s="844"/>
      <c r="M2" s="844"/>
      <c r="N2" s="142"/>
      <c r="O2" s="144" t="s">
        <v>85</v>
      </c>
      <c r="P2" s="298">
        <f>IFERROR(N31, "Error ▲")</f>
        <v>0</v>
      </c>
      <c r="R2" s="655"/>
      <c r="T2" s="100"/>
      <c r="AJ2" s="199"/>
      <c r="AK2" s="199"/>
      <c r="AL2" s="199"/>
      <c r="AM2" s="199"/>
      <c r="AN2" s="199"/>
    </row>
    <row r="3" spans="1:44" s="99" customFormat="1" ht="19.899999999999999" customHeight="1">
      <c r="B3" s="143" t="s">
        <v>16</v>
      </c>
      <c r="C3" s="845" t="s">
        <v>279</v>
      </c>
      <c r="D3" s="846"/>
      <c r="F3" s="838"/>
      <c r="G3" s="839"/>
      <c r="H3" s="840"/>
      <c r="I3" s="142"/>
      <c r="J3" s="844"/>
      <c r="K3" s="844"/>
      <c r="L3" s="844"/>
      <c r="M3" s="844"/>
      <c r="N3" s="142"/>
      <c r="O3" s="144" t="s">
        <v>87</v>
      </c>
      <c r="P3" s="298">
        <f>IFERROR(L59, "Error ▲")</f>
        <v>0</v>
      </c>
      <c r="R3" s="655"/>
      <c r="T3" s="100"/>
      <c r="AJ3" s="199"/>
      <c r="AK3" s="199"/>
      <c r="AL3" s="199"/>
      <c r="AM3" s="199"/>
      <c r="AN3" s="199"/>
    </row>
    <row r="4" spans="1:44" s="99" customFormat="1" ht="19.899999999999999" customHeight="1">
      <c r="B4" s="145"/>
      <c r="C4" s="145"/>
      <c r="D4" s="145"/>
      <c r="F4" s="838"/>
      <c r="G4" s="839"/>
      <c r="H4" s="840"/>
      <c r="I4" s="142"/>
      <c r="J4" s="844"/>
      <c r="K4" s="844"/>
      <c r="L4" s="844"/>
      <c r="M4" s="844"/>
      <c r="N4" s="142"/>
      <c r="O4" s="144" t="s">
        <v>88</v>
      </c>
      <c r="P4" s="298">
        <f>IFERROR(L86, "Error ▲")</f>
        <v>0</v>
      </c>
      <c r="R4" s="655"/>
      <c r="T4" s="100"/>
      <c r="AJ4" s="199"/>
      <c r="AK4" s="199"/>
      <c r="AL4" s="199"/>
      <c r="AM4" s="199"/>
      <c r="AN4" s="199"/>
    </row>
    <row r="5" spans="1:44" s="99" customFormat="1" ht="19.899999999999999" customHeight="1">
      <c r="A5" s="12"/>
      <c r="F5" s="838"/>
      <c r="G5" s="839"/>
      <c r="H5" s="840"/>
      <c r="I5" s="142"/>
      <c r="J5" s="844"/>
      <c r="K5" s="844"/>
      <c r="L5" s="844"/>
      <c r="M5" s="844"/>
      <c r="N5" s="142"/>
      <c r="O5" s="146" t="s">
        <v>89</v>
      </c>
      <c r="P5" s="299">
        <f>IFERROR(P1+L59+L86-L31, "Error ▲")</f>
        <v>0</v>
      </c>
      <c r="R5" s="655"/>
      <c r="T5" s="100"/>
      <c r="AJ5" s="199"/>
      <c r="AK5" s="199"/>
      <c r="AL5" s="199"/>
      <c r="AM5" s="199"/>
      <c r="AN5" s="199"/>
    </row>
    <row r="6" spans="1:44" s="99" customFormat="1" ht="13.15" customHeight="1">
      <c r="A6" s="12"/>
      <c r="F6" s="841"/>
      <c r="G6" s="842"/>
      <c r="H6" s="843"/>
      <c r="I6" s="116"/>
      <c r="J6" s="116"/>
      <c r="K6" s="100"/>
      <c r="L6" s="116"/>
      <c r="M6" s="116"/>
      <c r="N6" s="116"/>
      <c r="O6" s="147"/>
      <c r="P6" s="100"/>
      <c r="R6" s="655"/>
      <c r="T6" s="100"/>
      <c r="AJ6" s="199"/>
      <c r="AK6" s="199"/>
      <c r="AL6" s="199"/>
      <c r="AM6" s="199"/>
      <c r="AN6" s="199"/>
      <c r="AR6" s="199"/>
    </row>
    <row r="7" spans="1:44" s="99" customFormat="1" ht="19.149999999999999" customHeight="1">
      <c r="B7" s="121" t="s">
        <v>90</v>
      </c>
      <c r="D7" s="148"/>
      <c r="H7" s="100"/>
      <c r="K7" s="100"/>
      <c r="L7" s="485"/>
      <c r="M7" s="104"/>
      <c r="N7" s="104"/>
      <c r="R7" s="655"/>
      <c r="T7" s="100"/>
      <c r="AJ7" s="199"/>
      <c r="AK7" s="199"/>
      <c r="AL7" s="199"/>
      <c r="AM7" s="199"/>
      <c r="AN7" s="199"/>
      <c r="AR7" s="199"/>
    </row>
    <row r="8" spans="1:44" s="99" customFormat="1" ht="10.9" customHeight="1">
      <c r="A8" s="149"/>
      <c r="R8" s="655"/>
      <c r="AJ8" s="199"/>
      <c r="AK8" s="199"/>
      <c r="AL8" s="199"/>
      <c r="AM8" s="199"/>
      <c r="AN8" s="199"/>
      <c r="AR8" s="199"/>
    </row>
    <row r="9" spans="1:44" s="99" customFormat="1" ht="29.65" customHeight="1">
      <c r="A9" s="149"/>
      <c r="B9" s="814" t="s">
        <v>76</v>
      </c>
      <c r="C9" s="771" t="s">
        <v>91</v>
      </c>
      <c r="D9" s="772"/>
      <c r="E9" s="773"/>
      <c r="F9" s="721" t="s">
        <v>92</v>
      </c>
      <c r="G9" s="817"/>
      <c r="H9" s="722"/>
      <c r="I9" s="771" t="s">
        <v>280</v>
      </c>
      <c r="J9" s="772"/>
      <c r="K9" s="773"/>
      <c r="L9" s="847" t="s">
        <v>94</v>
      </c>
      <c r="M9" s="848"/>
      <c r="N9" s="849"/>
      <c r="O9" s="847" t="s">
        <v>95</v>
      </c>
      <c r="P9" s="849"/>
      <c r="R9" s="655"/>
      <c r="T9" s="769" t="s">
        <v>96</v>
      </c>
      <c r="U9" s="779"/>
      <c r="V9" s="770"/>
      <c r="W9" s="963" t="s">
        <v>97</v>
      </c>
      <c r="X9" s="964"/>
      <c r="Y9" s="803"/>
      <c r="Z9" s="803"/>
      <c r="AA9" s="803"/>
      <c r="AB9" s="963" t="s">
        <v>98</v>
      </c>
      <c r="AC9" s="965"/>
      <c r="AD9" s="964"/>
      <c r="AE9" s="769" t="s">
        <v>99</v>
      </c>
      <c r="AF9" s="779"/>
      <c r="AG9" s="770"/>
      <c r="AH9" s="769" t="s">
        <v>100</v>
      </c>
      <c r="AI9" s="905" t="s">
        <v>101</v>
      </c>
      <c r="AJ9" s="977" t="s">
        <v>281</v>
      </c>
      <c r="AK9" s="199"/>
      <c r="AL9" s="199"/>
      <c r="AM9" s="199"/>
      <c r="AN9" s="424"/>
      <c r="AR9" s="199"/>
    </row>
    <row r="10" spans="1:44" s="99" customFormat="1" ht="31.9" customHeight="1">
      <c r="A10" s="149"/>
      <c r="B10" s="734"/>
      <c r="C10" s="146" t="s">
        <v>102</v>
      </c>
      <c r="D10" s="914" t="s">
        <v>103</v>
      </c>
      <c r="E10" s="915"/>
      <c r="F10" s="978"/>
      <c r="G10" s="979"/>
      <c r="H10" s="980"/>
      <c r="I10" s="146" t="s">
        <v>252</v>
      </c>
      <c r="J10" s="54" t="s">
        <v>253</v>
      </c>
      <c r="K10" s="42" t="s">
        <v>254</v>
      </c>
      <c r="L10" s="146" t="s">
        <v>255</v>
      </c>
      <c r="M10" s="54" t="s">
        <v>256</v>
      </c>
      <c r="N10" s="42" t="s">
        <v>109</v>
      </c>
      <c r="O10" s="146" t="s">
        <v>110</v>
      </c>
      <c r="P10" s="42" t="s">
        <v>111</v>
      </c>
      <c r="R10" s="655"/>
      <c r="T10" s="804" t="s">
        <v>112</v>
      </c>
      <c r="U10" s="805"/>
      <c r="V10" s="43" t="s">
        <v>113</v>
      </c>
      <c r="W10" s="372" t="s">
        <v>114</v>
      </c>
      <c r="X10" s="368" t="s">
        <v>113</v>
      </c>
      <c r="Y10" s="370"/>
      <c r="Z10" s="365"/>
      <c r="AA10" s="365"/>
      <c r="AB10" s="357" t="s">
        <v>98</v>
      </c>
      <c r="AC10" s="357" t="s">
        <v>98</v>
      </c>
      <c r="AD10" s="368" t="s">
        <v>115</v>
      </c>
      <c r="AE10" s="65" t="s">
        <v>116</v>
      </c>
      <c r="AF10" s="64" t="s">
        <v>117</v>
      </c>
      <c r="AG10" s="43" t="s">
        <v>118</v>
      </c>
      <c r="AH10" s="804"/>
      <c r="AI10" s="976"/>
      <c r="AJ10" s="977"/>
      <c r="AK10" s="199"/>
      <c r="AL10" s="199"/>
      <c r="AM10" s="199"/>
      <c r="AO10" s="424"/>
      <c r="AR10" s="199" t="s">
        <v>282</v>
      </c>
    </row>
    <row r="11" spans="1:44" s="99" customFormat="1" ht="15.6" customHeight="1">
      <c r="A11" s="149"/>
      <c r="B11" s="291">
        <v>1</v>
      </c>
      <c r="C11" s="539" t="s">
        <v>283</v>
      </c>
      <c r="D11" s="739"/>
      <c r="E11" s="739"/>
      <c r="F11" s="974"/>
      <c r="G11" s="974"/>
      <c r="H11" s="974"/>
      <c r="I11" s="460"/>
      <c r="J11" s="316"/>
      <c r="K11" s="317"/>
      <c r="L11" s="52" t="str">
        <f>IF(D11="","",IFERROR(IF(I11="","",((I11/1000)*V11*X11)*AD11*AJ11),"This intervention is not permitted within the SSM ▲"))</f>
        <v/>
      </c>
      <c r="M11" s="401" t="str">
        <f>IF(I11="","",IF(J11+K11&gt;I11,"Length Error ▲",I11-J11-K11))</f>
        <v/>
      </c>
      <c r="N11" s="52" t="str">
        <f>IFERROR(IF(I11="","",IF(M11="Length Error ▲","Length Error ▲",((M11/1000)*V11*X11)*AD11*AJ11)),"This intervention is not permitted within the SSM ▲")</f>
        <v/>
      </c>
      <c r="O11" s="132"/>
      <c r="P11" s="188"/>
      <c r="R11" s="655"/>
      <c r="T11" s="791" t="str">
        <f>IF(D11="","",VLOOKUP(D11,'9. All Habitats + Multipliers'!$C$4:$K$102,5,FALSE))</f>
        <v/>
      </c>
      <c r="U11" s="792"/>
      <c r="V11" s="151" t="str">
        <f>IF(T11="","",VLOOKUP(T11,'11. Lists'!$B$47:$D$49,2,FALSE))</f>
        <v/>
      </c>
      <c r="W11" s="61" t="str">
        <f>IF(D11="","",VLOOKUP(D11,'10. Condition and Temporal'!$B$6:$C$103,2,FALSE))</f>
        <v/>
      </c>
      <c r="X11" s="151" t="str">
        <f>IF(W11="","",VLOOKUP(W11,'11. Lists'!$F$47:$G$51,2,FALSE))</f>
        <v/>
      </c>
      <c r="Y11" s="371"/>
      <c r="Z11" s="349"/>
      <c r="AA11" s="369"/>
      <c r="AB11" s="60" t="str">
        <f>IF(F11="","",F11)</f>
        <v/>
      </c>
      <c r="AC11" s="60" t="str">
        <f>IF(AB11="","",VLOOKUP(AB11,'11. Lists'!$F$36:$H$38,2,FALSE))</f>
        <v/>
      </c>
      <c r="AD11" s="150" t="str">
        <f>IF(AB11="","",VLOOKUP(AB11,'11. Lists'!$F$36:$H$38,3,FALSE))</f>
        <v/>
      </c>
      <c r="AE11" s="311" t="str">
        <f>IF(D11="","",((J11/1000)*V11*X11)*AD11)</f>
        <v/>
      </c>
      <c r="AF11" s="312" t="str">
        <f>IF(D11="","",((K11/1000)*V11*X11)*AD11*AJ11)</f>
        <v/>
      </c>
      <c r="AG11" s="313" t="str">
        <f>IF(D11="","",M11)</f>
        <v/>
      </c>
      <c r="AH11" s="61" t="str">
        <f>IF(T11="","",VLOOKUP(T11,'11. Lists'!$B$47:$D$49,3,FALSE))</f>
        <v/>
      </c>
      <c r="AI11" s="350" t="str">
        <f>IF(D11="","",VLOOKUP(D11,'10. Condition and Temporal'!$B$6:$L$103,4,FALSE))</f>
        <v/>
      </c>
      <c r="AJ11" s="464" t="str" cm="1">
        <f t="array" ref="AJ11:AK30">IF($D$11:$E$30="Culvert","0.68","1")</f>
        <v>1</v>
      </c>
      <c r="AK11" s="199" t="str">
        <v>1</v>
      </c>
      <c r="AL11" s="199"/>
      <c r="AM11" s="199"/>
      <c r="AN11" s="424"/>
      <c r="AR11" s="199" t="str">
        <f>IF(D11="","",IFERROR(IF(I11="","",((I11/1000)*V11*X11)*AD11),"This intervention is not permitted within the SSM ▲"))</f>
        <v/>
      </c>
    </row>
    <row r="12" spans="1:44" s="99" customFormat="1" ht="15.6" customHeight="1">
      <c r="B12" s="285">
        <v>2</v>
      </c>
      <c r="C12" s="540" t="s">
        <v>283</v>
      </c>
      <c r="D12" s="739"/>
      <c r="E12" s="739"/>
      <c r="F12" s="974"/>
      <c r="G12" s="974"/>
      <c r="H12" s="974"/>
      <c r="I12" s="461"/>
      <c r="J12" s="319"/>
      <c r="K12" s="320"/>
      <c r="L12" s="24" t="str">
        <f>IF(D12="","",IFERROR(IF(I12="","",((I12/1000)*V12*X12)*AD12*AJ12),"This intervention is not permitted within the SSM ▲"))</f>
        <v/>
      </c>
      <c r="M12" s="314" t="str">
        <f>IF(I12="","",IF(J12+K12&gt;I12,"Length Error ▲",I12-J12-K12))</f>
        <v/>
      </c>
      <c r="N12" s="24" t="str">
        <f>IFERROR(IF(I12="","",IF(M12="Length Error ▲","Length Error ▲",((M12/1000)*V12*X12)*AD12*AJ12)),"This intervention is not permitted within the SSM ▲")</f>
        <v/>
      </c>
      <c r="O12" s="132"/>
      <c r="P12" s="79"/>
      <c r="R12" s="655"/>
      <c r="T12" s="791" t="str">
        <f>IF(D12="","",VLOOKUP(D12,'9. All Habitats + Multipliers'!$C$4:$K$102,5,FALSE))</f>
        <v/>
      </c>
      <c r="U12" s="792"/>
      <c r="V12" s="151" t="str">
        <f>IF(T12="","",VLOOKUP(T12,'11. Lists'!$B$47:$D$49,2,FALSE))</f>
        <v/>
      </c>
      <c r="W12" s="61" t="str">
        <f>IF(D12="","",VLOOKUP(D12,'10. Condition and Temporal'!$B$6:$C$103,2,FALSE))</f>
        <v/>
      </c>
      <c r="X12" s="151" t="str">
        <f>IF(W12="","",VLOOKUP(W12,'11. Lists'!$F$47:$G$51,2,FALSE))</f>
        <v/>
      </c>
      <c r="Y12" s="371"/>
      <c r="Z12" s="349"/>
      <c r="AA12" s="369"/>
      <c r="AB12" s="60" t="str">
        <f>IF(F12="","",F12)</f>
        <v/>
      </c>
      <c r="AC12" s="60" t="str">
        <f>IF(AB12="","",VLOOKUP(AB12,'11. Lists'!$F$36:$H$38,2,FALSE))</f>
        <v/>
      </c>
      <c r="AD12" s="150" t="str">
        <f>IF(AB12="","",VLOOKUP(AB12,'11. Lists'!$F$36:$H$38,3,FALSE))</f>
        <v/>
      </c>
      <c r="AE12" s="311" t="str">
        <f>IF(D12="","",((J12/1000)*V12*X12)*AD12)</f>
        <v/>
      </c>
      <c r="AF12" s="312" t="str">
        <f>IF(D12="","",((K12/1000)*V12*X12)*AD12*AJ12)</f>
        <v/>
      </c>
      <c r="AG12" s="313" t="str">
        <f>IF(D12="","",M12)</f>
        <v/>
      </c>
      <c r="AH12" s="61" t="str">
        <f>IF(T12="","",VLOOKUP(T12,'11. Lists'!$B$47:$D$49,3,FALSE))</f>
        <v/>
      </c>
      <c r="AI12" s="350" t="str">
        <f>IF(D12="","",VLOOKUP(D12,'10. Condition and Temporal'!$B$6:$L$103,4,FALSE))</f>
        <v/>
      </c>
      <c r="AJ12" s="464" t="str">
        <v>1</v>
      </c>
      <c r="AK12" s="199" t="str">
        <v>1</v>
      </c>
      <c r="AL12" s="199"/>
      <c r="AM12" s="199"/>
      <c r="AN12" s="424"/>
      <c r="AR12" s="199" t="str">
        <f>IF(D12="","",IFERROR(IF(I12="","",((I12/1000)*V12*X12)*AD12),"This intervention is not permitted within the SSM ▲"))</f>
        <v/>
      </c>
    </row>
    <row r="13" spans="1:44" s="99" customFormat="1" ht="15.6" customHeight="1">
      <c r="B13" s="285">
        <v>3</v>
      </c>
      <c r="C13" s="540" t="s">
        <v>283</v>
      </c>
      <c r="D13" s="739"/>
      <c r="E13" s="739"/>
      <c r="F13" s="974"/>
      <c r="G13" s="974"/>
      <c r="H13" s="974"/>
      <c r="I13" s="461"/>
      <c r="J13" s="319"/>
      <c r="K13" s="320"/>
      <c r="L13" s="24" t="str">
        <f>IF(D13="","",IFERROR(IF(I13="","",((I13/1000)*V13*X13)*AD13*AJ13),"This intervention is not permitted within the SSM ▲"))</f>
        <v/>
      </c>
      <c r="M13" s="314" t="str">
        <f>IF(I13="","",IF(J13+K13&gt;I13,"Length Error ▲",I13-J13-K13))</f>
        <v/>
      </c>
      <c r="N13" s="24" t="str">
        <f>IFERROR(IF(I13="","",IF(M13="Length Error ▲","Length Error ▲",((M13/1000)*V13*X13)*AD13*AJ13)),"This intervention is not permitted within the SSM ▲")</f>
        <v/>
      </c>
      <c r="O13" s="132"/>
      <c r="P13" s="79"/>
      <c r="R13" s="655"/>
      <c r="T13" s="791" t="str">
        <f>IF(D13="","",VLOOKUP(D13,'9. All Habitats + Multipliers'!$C$4:$K$102,5,FALSE))</f>
        <v/>
      </c>
      <c r="U13" s="792"/>
      <c r="V13" s="151" t="str">
        <f>IF(T13="","",VLOOKUP(T13,'11. Lists'!$B$47:$D$49,2,FALSE))</f>
        <v/>
      </c>
      <c r="W13" s="61" t="str">
        <f>IF(D13="","",VLOOKUP(D13,'10. Condition and Temporal'!$B$6:$C$103,2,FALSE))</f>
        <v/>
      </c>
      <c r="X13" s="151" t="str">
        <f>IF(W13="","",VLOOKUP(W13,'11. Lists'!$F$47:$G$51,2,FALSE))</f>
        <v/>
      </c>
      <c r="Y13" s="371"/>
      <c r="Z13" s="349"/>
      <c r="AA13" s="369"/>
      <c r="AB13" s="60" t="str">
        <f>IF(F13="","",F13)</f>
        <v/>
      </c>
      <c r="AC13" s="60" t="str">
        <f>IF(AB13="","",VLOOKUP(AB13,'11. Lists'!$F$36:$H$38,2,FALSE))</f>
        <v/>
      </c>
      <c r="AD13" s="150" t="str">
        <f>IF(AB13="","",VLOOKUP(AB13,'11. Lists'!$F$36:$H$38,3,FALSE))</f>
        <v/>
      </c>
      <c r="AE13" s="311" t="str">
        <f>IF(D13="","",((J13/1000)*V13*X13)*AD13)</f>
        <v/>
      </c>
      <c r="AF13" s="312" t="str">
        <f>IF(D13="","",((K13/1000)*V13*X13)*AD13*AJ13)</f>
        <v/>
      </c>
      <c r="AG13" s="313" t="str">
        <f>IF(D13="","",M13)</f>
        <v/>
      </c>
      <c r="AH13" s="61" t="str">
        <f>IF(T13="","",VLOOKUP(T13,'11. Lists'!$B$47:$D$49,3,FALSE))</f>
        <v/>
      </c>
      <c r="AI13" s="350" t="str">
        <f>IF(D13="","",VLOOKUP(D13,'10. Condition and Temporal'!$B$6:$L$103,4,FALSE))</f>
        <v/>
      </c>
      <c r="AJ13" s="464" t="str">
        <v>1</v>
      </c>
      <c r="AK13" s="199" t="str">
        <v>1</v>
      </c>
      <c r="AL13" s="199"/>
      <c r="AM13" s="199"/>
      <c r="AN13" s="424"/>
      <c r="AR13" s="199" t="str">
        <f>IF(D13="","",IFERROR(IF(I13="","",((I13/1000)*V13*X13)*AD13),"This intervention is not permitted within the SSM ▲"))</f>
        <v/>
      </c>
    </row>
    <row r="14" spans="1:44" s="99" customFormat="1" ht="15.6" customHeight="1">
      <c r="B14" s="285">
        <v>4</v>
      </c>
      <c r="C14" s="540" t="s">
        <v>283</v>
      </c>
      <c r="D14" s="739"/>
      <c r="E14" s="739"/>
      <c r="F14" s="974"/>
      <c r="G14" s="974"/>
      <c r="H14" s="974"/>
      <c r="I14" s="461"/>
      <c r="J14" s="319"/>
      <c r="K14" s="320"/>
      <c r="L14" s="24" t="str">
        <f>IF(D14="","",IFERROR(IF(I14="","",((I14/1000)*V14*X14)*AD14*AJ14),"This intervention is not permitted within the SSM ▲"))</f>
        <v/>
      </c>
      <c r="M14" s="314" t="str">
        <f>IF(I14="","",IF(J14+K14&gt;I14,"Length Error ▲",I14-J14-K14))</f>
        <v/>
      </c>
      <c r="N14" s="24" t="str">
        <f>IFERROR(IF(I14="","",IF(M14="Length Error ▲","Length Error ▲",((M14/1000)*V14*X14)*AD14*AJ14)),"This intervention is not permitted within the SSM ▲")</f>
        <v/>
      </c>
      <c r="O14" s="132"/>
      <c r="P14" s="79"/>
      <c r="R14" s="655"/>
      <c r="T14" s="791" t="str">
        <f>IF(D14="","",VLOOKUP(D14,'9. All Habitats + Multipliers'!$C$4:$K$102,5,FALSE))</f>
        <v/>
      </c>
      <c r="U14" s="792"/>
      <c r="V14" s="151" t="str">
        <f>IF(T14="","",VLOOKUP(T14,'11. Lists'!$B$47:$D$49,2,FALSE))</f>
        <v/>
      </c>
      <c r="W14" s="61" t="str">
        <f>IF(D14="","",VLOOKUP(D14,'10. Condition and Temporal'!$B$6:$C$103,2,FALSE))</f>
        <v/>
      </c>
      <c r="X14" s="151" t="str">
        <f>IF(W14="","",VLOOKUP(W14,'11. Lists'!$F$47:$G$51,2,FALSE))</f>
        <v/>
      </c>
      <c r="Y14" s="371"/>
      <c r="Z14" s="349"/>
      <c r="AA14" s="369"/>
      <c r="AB14" s="60" t="str">
        <f>IF(F14="","",F14)</f>
        <v/>
      </c>
      <c r="AC14" s="60" t="str">
        <f>IF(AB14="","",VLOOKUP(AB14,'11. Lists'!$F$36:$H$38,2,FALSE))</f>
        <v/>
      </c>
      <c r="AD14" s="150" t="str">
        <f>IF(AB14="","",VLOOKUP(AB14,'11. Lists'!$F$36:$H$38,3,FALSE))</f>
        <v/>
      </c>
      <c r="AE14" s="311" t="str">
        <f>IF(D14="","",((J14/1000)*V14*X14)*AD14)</f>
        <v/>
      </c>
      <c r="AF14" s="312" t="str">
        <f>IF(D14="","",((K14/1000)*V14*X14)*AD14*AJ14)</f>
        <v/>
      </c>
      <c r="AG14" s="313" t="str">
        <f>IF(D14="","",M14)</f>
        <v/>
      </c>
      <c r="AH14" s="61" t="str">
        <f>IF(T14="","",VLOOKUP(T14,'11. Lists'!$B$47:$D$49,3,FALSE))</f>
        <v/>
      </c>
      <c r="AI14" s="350" t="str">
        <f>IF(D14="","",VLOOKUP(D14,'10. Condition and Temporal'!$B$6:$L$103,4,FALSE))</f>
        <v/>
      </c>
      <c r="AJ14" s="464" t="str">
        <v>1</v>
      </c>
      <c r="AK14" s="199" t="str">
        <v>1</v>
      </c>
      <c r="AL14" s="199"/>
      <c r="AM14" s="199"/>
      <c r="AN14" s="424"/>
      <c r="AR14" s="199" t="str">
        <f>IF(D14="","",IFERROR(IF(I14="","",((I14/1000)*V14*X14)*AD14),"This intervention is not permitted within the SSM ▲"))</f>
        <v/>
      </c>
    </row>
    <row r="15" spans="1:44" s="99" customFormat="1" ht="15.6" customHeight="1">
      <c r="B15" s="285">
        <v>5</v>
      </c>
      <c r="C15" s="540" t="s">
        <v>283</v>
      </c>
      <c r="D15" s="739"/>
      <c r="E15" s="739"/>
      <c r="F15" s="974"/>
      <c r="G15" s="974"/>
      <c r="H15" s="974"/>
      <c r="I15" s="461"/>
      <c r="J15" s="319"/>
      <c r="K15" s="320"/>
      <c r="L15" s="24" t="str">
        <f>IF(D15="","",IFERROR(IF(I15="","",((I15/1000)*V15*X15)*AD15*AJ15),"This intervention is not permitted within the SSM ▲"))</f>
        <v/>
      </c>
      <c r="M15" s="314" t="str">
        <f>IF(I15="","",IF(J15+K15&gt;I15,"Length Error ▲",I15-J15-K15))</f>
        <v/>
      </c>
      <c r="N15" s="24" t="str">
        <f>IFERROR(IF(I15="","",IF(M15="Length Error ▲","Length Error ▲",((M15/1000)*V15*X15)*AD15*AJ15)),"This intervention is not permitted within the SSM ▲")</f>
        <v/>
      </c>
      <c r="O15" s="132"/>
      <c r="P15" s="79"/>
      <c r="R15" s="655"/>
      <c r="T15" s="791" t="str">
        <f>IF(D15="","",VLOOKUP(D15,'9. All Habitats + Multipliers'!$C$4:$K$102,5,FALSE))</f>
        <v/>
      </c>
      <c r="U15" s="792"/>
      <c r="V15" s="151" t="str">
        <f>IF(T15="","",VLOOKUP(T15,'11. Lists'!$B$47:$D$49,2,FALSE))</f>
        <v/>
      </c>
      <c r="W15" s="61" t="str">
        <f>IF(D15="","",VLOOKUP(D15,'10. Condition and Temporal'!$B$6:$C$103,2,FALSE))</f>
        <v/>
      </c>
      <c r="X15" s="151" t="str">
        <f>IF(W15="","",VLOOKUP(W15,'11. Lists'!$F$47:$G$51,2,FALSE))</f>
        <v/>
      </c>
      <c r="Y15" s="371"/>
      <c r="Z15" s="349"/>
      <c r="AA15" s="369"/>
      <c r="AB15" s="60" t="str">
        <f>IF(F15="","",F15)</f>
        <v/>
      </c>
      <c r="AC15" s="60" t="str">
        <f>IF(AB15="","",VLOOKUP(AB15,'11. Lists'!$F$36:$H$38,2,FALSE))</f>
        <v/>
      </c>
      <c r="AD15" s="150" t="str">
        <f>IF(AB15="","",VLOOKUP(AB15,'11. Lists'!$F$36:$H$38,3,FALSE))</f>
        <v/>
      </c>
      <c r="AE15" s="311" t="str">
        <f>IF(D15="","",((J15/1000)*V15*X15)*AD15)</f>
        <v/>
      </c>
      <c r="AF15" s="312" t="str">
        <f>IF(D15="","",((K15/1000)*V15*X15)*AD15*AJ15)</f>
        <v/>
      </c>
      <c r="AG15" s="313" t="str">
        <f>IF(D15="","",M15)</f>
        <v/>
      </c>
      <c r="AH15" s="61" t="str">
        <f>IF(T15="","",VLOOKUP(T15,'11. Lists'!$B$47:$D$49,3,FALSE))</f>
        <v/>
      </c>
      <c r="AI15" s="350" t="str">
        <f>IF(D15="","",VLOOKUP(D15,'10. Condition and Temporal'!$B$6:$L$103,4,FALSE))</f>
        <v/>
      </c>
      <c r="AJ15" s="464" t="str">
        <v>1</v>
      </c>
      <c r="AK15" s="199" t="str">
        <v>1</v>
      </c>
      <c r="AL15" s="199"/>
      <c r="AM15" s="199"/>
      <c r="AN15" s="424"/>
      <c r="AR15" s="199" t="str">
        <f>IF(D15="","",IFERROR(IF(I15="","",((I15/1000)*V15*X15)*AD15),"This intervention is not permitted within the SSM ▲"))</f>
        <v/>
      </c>
    </row>
    <row r="16" spans="1:44" s="99" customFormat="1" ht="15.6" customHeight="1">
      <c r="B16" s="285">
        <v>6</v>
      </c>
      <c r="C16" s="540" t="s">
        <v>283</v>
      </c>
      <c r="D16" s="739"/>
      <c r="E16" s="739"/>
      <c r="F16" s="974"/>
      <c r="G16" s="974"/>
      <c r="H16" s="974"/>
      <c r="I16" s="461"/>
      <c r="J16" s="319"/>
      <c r="K16" s="320"/>
      <c r="L16" s="24" t="str">
        <f>IF(D16="","",IFERROR(IF(I16="","",((I16/1000)*V16*X16)*AD16*AJ16),"This intervention is not permitted within the SSM ▲"))</f>
        <v/>
      </c>
      <c r="M16" s="314" t="str">
        <f>IF(I16="","",IF(J16+K16&gt;I16,"Length Error ▲",I16-J16-K16))</f>
        <v/>
      </c>
      <c r="N16" s="24" t="str">
        <f>IFERROR(IF(I16="","",IF(M16="Length Error ▲","Length Error ▲",((M16/1000)*V16*X16)*AD16*AJ16)),"This intervention is not permitted within the SSM ▲")</f>
        <v/>
      </c>
      <c r="O16" s="132"/>
      <c r="P16" s="79"/>
      <c r="R16" s="655"/>
      <c r="T16" s="791" t="str">
        <f>IF(D16="","",VLOOKUP(D16,'9. All Habitats + Multipliers'!$C$4:$K$102,5,FALSE))</f>
        <v/>
      </c>
      <c r="U16" s="792"/>
      <c r="V16" s="151" t="str">
        <f>IF(T16="","",VLOOKUP(T16,'11. Lists'!$B$47:$D$49,2,FALSE))</f>
        <v/>
      </c>
      <c r="W16" s="61" t="str">
        <f>IF(D16="","",VLOOKUP(D16,'10. Condition and Temporal'!$B$6:$C$103,2,FALSE))</f>
        <v/>
      </c>
      <c r="X16" s="151" t="str">
        <f>IF(W16="","",VLOOKUP(W16,'11. Lists'!$F$47:$G$51,2,FALSE))</f>
        <v/>
      </c>
      <c r="Y16" s="371"/>
      <c r="Z16" s="349"/>
      <c r="AA16" s="369"/>
      <c r="AB16" s="60" t="str">
        <f>IF(F16="","",F16)</f>
        <v/>
      </c>
      <c r="AC16" s="60" t="str">
        <f>IF(AB16="","",VLOOKUP(AB16,'11. Lists'!$F$36:$H$38,2,FALSE))</f>
        <v/>
      </c>
      <c r="AD16" s="150" t="str">
        <f>IF(AB16="","",VLOOKUP(AB16,'11. Lists'!$F$36:$H$38,3,FALSE))</f>
        <v/>
      </c>
      <c r="AE16" s="311" t="str">
        <f>IF(D16="","",((J16/1000)*V16*X16)*AD16)</f>
        <v/>
      </c>
      <c r="AF16" s="312" t="str">
        <f>IF(D16="","",((K16/1000)*V16*X16)*AD16*AJ16)</f>
        <v/>
      </c>
      <c r="AG16" s="313" t="str">
        <f>IF(D16="","",M16)</f>
        <v/>
      </c>
      <c r="AH16" s="61" t="str">
        <f>IF(T16="","",VLOOKUP(T16,'11. Lists'!$B$47:$D$49,3,FALSE))</f>
        <v/>
      </c>
      <c r="AI16" s="350" t="str">
        <f>IF(D16="","",VLOOKUP(D16,'10. Condition and Temporal'!$B$6:$L$103,4,FALSE))</f>
        <v/>
      </c>
      <c r="AJ16" s="464" t="str">
        <v>1</v>
      </c>
      <c r="AK16" s="199" t="str">
        <v>1</v>
      </c>
      <c r="AL16" s="199"/>
      <c r="AM16" s="199"/>
      <c r="AN16" s="424"/>
      <c r="AR16" s="199" t="str">
        <f>IF(D16="","",IFERROR(IF(I16="","",((I16/1000)*V16*X16)*AD16),"This intervention is not permitted within the SSM ▲"))</f>
        <v/>
      </c>
    </row>
    <row r="17" spans="2:44" s="99" customFormat="1" ht="15.6" customHeight="1">
      <c r="B17" s="285">
        <v>7</v>
      </c>
      <c r="C17" s="540" t="s">
        <v>283</v>
      </c>
      <c r="D17" s="739"/>
      <c r="E17" s="739"/>
      <c r="F17" s="974"/>
      <c r="G17" s="974"/>
      <c r="H17" s="974"/>
      <c r="I17" s="461"/>
      <c r="J17" s="319"/>
      <c r="K17" s="320"/>
      <c r="L17" s="24" t="str">
        <f>IF(D17="","",IFERROR(IF(I17="","",((I17/1000)*V17*X17)*AD17*AJ17),"This intervention is not permitted within the SSM ▲"))</f>
        <v/>
      </c>
      <c r="M17" s="314" t="str">
        <f>IF(I17="","",IF(J17+K17&gt;I17,"Length Error ▲",I17-J17-K17))</f>
        <v/>
      </c>
      <c r="N17" s="24" t="str">
        <f>IFERROR(IF(I17="","",IF(M17="Length Error ▲","Length Error ▲",((M17/1000)*V17*X17)*AD17*AJ17)),"This intervention is not permitted within the SSM ▲")</f>
        <v/>
      </c>
      <c r="O17" s="132"/>
      <c r="P17" s="79"/>
      <c r="R17" s="655"/>
      <c r="T17" s="791" t="str">
        <f>IF(D17="","",VLOOKUP(D17,'9. All Habitats + Multipliers'!$C$4:$K$102,5,FALSE))</f>
        <v/>
      </c>
      <c r="U17" s="792"/>
      <c r="V17" s="151" t="str">
        <f>IF(T17="","",VLOOKUP(T17,'11. Lists'!$B$47:$D$49,2,FALSE))</f>
        <v/>
      </c>
      <c r="W17" s="61" t="str">
        <f>IF(D17="","",VLOOKUP(D17,'10. Condition and Temporal'!$B$6:$C$103,2,FALSE))</f>
        <v/>
      </c>
      <c r="X17" s="151" t="str">
        <f>IF(W17="","",VLOOKUP(W17,'11. Lists'!$F$47:$G$51,2,FALSE))</f>
        <v/>
      </c>
      <c r="Y17" s="371"/>
      <c r="Z17" s="349"/>
      <c r="AA17" s="369"/>
      <c r="AB17" s="60" t="str">
        <f>IF(F17="","",F17)</f>
        <v/>
      </c>
      <c r="AC17" s="60" t="str">
        <f>IF(AB17="","",VLOOKUP(AB17,'11. Lists'!$F$36:$H$38,2,FALSE))</f>
        <v/>
      </c>
      <c r="AD17" s="150" t="str">
        <f>IF(AB17="","",VLOOKUP(AB17,'11. Lists'!$F$36:$H$38,3,FALSE))</f>
        <v/>
      </c>
      <c r="AE17" s="311" t="str">
        <f>IF(D17="","",((J17/1000)*V17*X17)*AD17)</f>
        <v/>
      </c>
      <c r="AF17" s="312" t="str">
        <f>IF(D17="","",((K17/1000)*V17*X17)*AD17*AJ17)</f>
        <v/>
      </c>
      <c r="AG17" s="313" t="str">
        <f>IF(D17="","",M17)</f>
        <v/>
      </c>
      <c r="AH17" s="61" t="str">
        <f>IF(T17="","",VLOOKUP(T17,'11. Lists'!$B$47:$D$49,3,FALSE))</f>
        <v/>
      </c>
      <c r="AI17" s="350" t="str">
        <f>IF(D17="","",VLOOKUP(D17,'10. Condition and Temporal'!$B$6:$L$103,4,FALSE))</f>
        <v/>
      </c>
      <c r="AJ17" s="464" t="str">
        <v>1</v>
      </c>
      <c r="AK17" s="199" t="str">
        <v>1</v>
      </c>
      <c r="AL17" s="199"/>
      <c r="AM17" s="199"/>
      <c r="AN17" s="424"/>
      <c r="AR17" s="199" t="str">
        <f>IF(D17="","",IFERROR(IF(I17="","",((I17/1000)*V17*X17)*AD17),"This intervention is not permitted within the SSM ▲"))</f>
        <v/>
      </c>
    </row>
    <row r="18" spans="2:44" s="99" customFormat="1" ht="15.6" customHeight="1">
      <c r="B18" s="285">
        <v>8</v>
      </c>
      <c r="C18" s="540" t="s">
        <v>283</v>
      </c>
      <c r="D18" s="739"/>
      <c r="E18" s="739"/>
      <c r="F18" s="974"/>
      <c r="G18" s="974"/>
      <c r="H18" s="974"/>
      <c r="I18" s="461"/>
      <c r="J18" s="319"/>
      <c r="K18" s="320"/>
      <c r="L18" s="24" t="str">
        <f>IF(D18="","",IFERROR(IF(I18="","",((I18/1000)*V18*X18)*AD18*AJ18),"This intervention is not permitted within the SSM ▲"))</f>
        <v/>
      </c>
      <c r="M18" s="314" t="str">
        <f>IF(I18="","",IF(J18+K18&gt;I18,"Length Error ▲",I18-J18-K18))</f>
        <v/>
      </c>
      <c r="N18" s="24" t="str">
        <f>IFERROR(IF(I18="","",IF(M18="Length Error ▲","Length Error ▲",((M18/1000)*V18*X18)*AD18*AJ18)),"This intervention is not permitted within the SSM ▲")</f>
        <v/>
      </c>
      <c r="O18" s="132"/>
      <c r="P18" s="79"/>
      <c r="R18" s="655"/>
      <c r="T18" s="791" t="str">
        <f>IF(D18="","",VLOOKUP(D18,'9. All Habitats + Multipliers'!$C$4:$K$102,5,FALSE))</f>
        <v/>
      </c>
      <c r="U18" s="792"/>
      <c r="V18" s="151" t="str">
        <f>IF(T18="","",VLOOKUP(T18,'11. Lists'!$B$47:$D$49,2,FALSE))</f>
        <v/>
      </c>
      <c r="W18" s="61" t="str">
        <f>IF(D18="","",VLOOKUP(D18,'10. Condition and Temporal'!$B$6:$C$103,2,FALSE))</f>
        <v/>
      </c>
      <c r="X18" s="151" t="str">
        <f>IF(W18="","",VLOOKUP(W18,'11. Lists'!$F$47:$G$51,2,FALSE))</f>
        <v/>
      </c>
      <c r="Y18" s="371"/>
      <c r="Z18" s="349"/>
      <c r="AA18" s="369"/>
      <c r="AB18" s="60" t="str">
        <f>IF(F18="","",F18)</f>
        <v/>
      </c>
      <c r="AC18" s="60" t="str">
        <f>IF(AB18="","",VLOOKUP(AB18,'11. Lists'!$F$36:$H$38,2,FALSE))</f>
        <v/>
      </c>
      <c r="AD18" s="150" t="str">
        <f>IF(AB18="","",VLOOKUP(AB18,'11. Lists'!$F$36:$H$38,3,FALSE))</f>
        <v/>
      </c>
      <c r="AE18" s="311" t="str">
        <f>IF(D18="","",((J18/1000)*V18*X18)*AD18)</f>
        <v/>
      </c>
      <c r="AF18" s="312" t="str">
        <f>IF(D18="","",((K18/1000)*V18*X18)*AD18*AJ18)</f>
        <v/>
      </c>
      <c r="AG18" s="313" t="str">
        <f>IF(D18="","",M18)</f>
        <v/>
      </c>
      <c r="AH18" s="61" t="str">
        <f>IF(T18="","",VLOOKUP(T18,'11. Lists'!$B$47:$D$49,3,FALSE))</f>
        <v/>
      </c>
      <c r="AI18" s="350" t="str">
        <f>IF(D18="","",VLOOKUP(D18,'10. Condition and Temporal'!$B$6:$L$103,4,FALSE))</f>
        <v/>
      </c>
      <c r="AJ18" s="464" t="str">
        <v>1</v>
      </c>
      <c r="AK18" s="199" t="str">
        <v>1</v>
      </c>
      <c r="AL18" s="199"/>
      <c r="AM18" s="199"/>
      <c r="AN18" s="424"/>
      <c r="AR18" s="199" t="str">
        <f>IF(D18="","",IFERROR(IF(I18="","",((I18/1000)*V18*X18)*AD18),"This intervention is not permitted within the SSM ▲"))</f>
        <v/>
      </c>
    </row>
    <row r="19" spans="2:44" s="99" customFormat="1" ht="15.6" customHeight="1">
      <c r="B19" s="285">
        <v>9</v>
      </c>
      <c r="C19" s="540" t="s">
        <v>283</v>
      </c>
      <c r="D19" s="739"/>
      <c r="E19" s="739"/>
      <c r="F19" s="974"/>
      <c r="G19" s="974"/>
      <c r="H19" s="974"/>
      <c r="I19" s="461"/>
      <c r="J19" s="319"/>
      <c r="K19" s="320"/>
      <c r="L19" s="24" t="str">
        <f>IF(D19="","",IFERROR(IF(I19="","",((I19/1000)*V19*X19)*AD19*AJ19),"This intervention is not permitted within the SSM ▲"))</f>
        <v/>
      </c>
      <c r="M19" s="314" t="str">
        <f>IF(I19="","",IF(J19+K19&gt;I19,"Length Error ▲",I19-J19-K19))</f>
        <v/>
      </c>
      <c r="N19" s="24" t="str">
        <f>IFERROR(IF(I19="","",IF(M19="Length Error ▲","Length Error ▲",((M19/1000)*V19*X19)*AD19*AJ19)),"This intervention is not permitted within the SSM ▲")</f>
        <v/>
      </c>
      <c r="O19" s="132"/>
      <c r="P19" s="79"/>
      <c r="R19" s="655"/>
      <c r="T19" s="791" t="str">
        <f>IF(D19="","",VLOOKUP(D19,'9. All Habitats + Multipliers'!$C$4:$K$102,5,FALSE))</f>
        <v/>
      </c>
      <c r="U19" s="792"/>
      <c r="V19" s="151" t="str">
        <f>IF(T19="","",VLOOKUP(T19,'11. Lists'!$B$47:$D$49,2,FALSE))</f>
        <v/>
      </c>
      <c r="W19" s="61" t="str">
        <f>IF(D19="","",VLOOKUP(D19,'10. Condition and Temporal'!$B$6:$C$103,2,FALSE))</f>
        <v/>
      </c>
      <c r="X19" s="151" t="str">
        <f>IF(W19="","",VLOOKUP(W19,'11. Lists'!$F$47:$G$51,2,FALSE))</f>
        <v/>
      </c>
      <c r="Y19" s="371"/>
      <c r="Z19" s="349"/>
      <c r="AA19" s="369"/>
      <c r="AB19" s="60" t="str">
        <f>IF(F19="","",F19)</f>
        <v/>
      </c>
      <c r="AC19" s="60" t="str">
        <f>IF(AB19="","",VLOOKUP(AB19,'11. Lists'!$F$36:$H$38,2,FALSE))</f>
        <v/>
      </c>
      <c r="AD19" s="150" t="str">
        <f>IF(AB19="","",VLOOKUP(AB19,'11. Lists'!$F$36:$H$38,3,FALSE))</f>
        <v/>
      </c>
      <c r="AE19" s="311" t="str">
        <f>IF(D19="","",((J19/1000)*V19*X19)*AD19)</f>
        <v/>
      </c>
      <c r="AF19" s="312" t="str">
        <f>IF(D19="","",((K19/1000)*V19*X19)*AD19*AJ19)</f>
        <v/>
      </c>
      <c r="AG19" s="313" t="str">
        <f>IF(D19="","",M19)</f>
        <v/>
      </c>
      <c r="AH19" s="61" t="str">
        <f>IF(T19="","",VLOOKUP(T19,'11. Lists'!$B$47:$D$49,3,FALSE))</f>
        <v/>
      </c>
      <c r="AI19" s="350" t="str">
        <f>IF(D19="","",VLOOKUP(D19,'10. Condition and Temporal'!$B$6:$L$103,4,FALSE))</f>
        <v/>
      </c>
      <c r="AJ19" s="464" t="str">
        <v>1</v>
      </c>
      <c r="AK19" s="199" t="str">
        <v>1</v>
      </c>
      <c r="AL19" s="199"/>
      <c r="AM19" s="199"/>
      <c r="AN19" s="424"/>
      <c r="AR19" s="199" t="str">
        <f>IF(D19="","",IFERROR(IF(I19="","",((I19/1000)*V19*X19)*AD19),"This intervention is not permitted within the SSM ▲"))</f>
        <v/>
      </c>
    </row>
    <row r="20" spans="2:44" s="99" customFormat="1" ht="15.6" customHeight="1">
      <c r="B20" s="285">
        <v>10</v>
      </c>
      <c r="C20" s="540" t="s">
        <v>283</v>
      </c>
      <c r="D20" s="739"/>
      <c r="E20" s="739"/>
      <c r="F20" s="974"/>
      <c r="G20" s="974"/>
      <c r="H20" s="974"/>
      <c r="I20" s="461"/>
      <c r="J20" s="319"/>
      <c r="K20" s="320"/>
      <c r="L20" s="24" t="str">
        <f>IF(D20="","",IFERROR(IF(I20="","",((I20/1000)*V20*X20)*AD20*AJ20),"This intervention is not permitted within the SSM ▲"))</f>
        <v/>
      </c>
      <c r="M20" s="314" t="str">
        <f>IF(I20="","",IF(J20+K20&gt;I20,"Length Error ▲",I20-J20-K20))</f>
        <v/>
      </c>
      <c r="N20" s="24" t="str">
        <f>IFERROR(IF(I20="","",IF(M20="Length Error ▲","Length Error ▲",((M20/1000)*V20*X20)*AD20*AJ20)),"This intervention is not permitted within the SSM ▲")</f>
        <v/>
      </c>
      <c r="O20" s="132"/>
      <c r="P20" s="83"/>
      <c r="R20" s="655"/>
      <c r="T20" s="791" t="str">
        <f>IF(D20="","",VLOOKUP(D20,'9. All Habitats + Multipliers'!$C$4:$K$102,5,FALSE))</f>
        <v/>
      </c>
      <c r="U20" s="792"/>
      <c r="V20" s="151" t="str">
        <f>IF(T20="","",VLOOKUP(T20,'11. Lists'!$B$47:$D$49,2,FALSE))</f>
        <v/>
      </c>
      <c r="W20" s="61" t="str">
        <f>IF(D20="","",VLOOKUP(D20,'10. Condition and Temporal'!$B$6:$C$103,2,FALSE))</f>
        <v/>
      </c>
      <c r="X20" s="151" t="str">
        <f>IF(W20="","",VLOOKUP(W20,'11. Lists'!$F$47:$G$51,2,FALSE))</f>
        <v/>
      </c>
      <c r="Y20" s="371"/>
      <c r="Z20" s="349"/>
      <c r="AA20" s="369"/>
      <c r="AB20" s="60" t="str">
        <f>IF(F20="","",F20)</f>
        <v/>
      </c>
      <c r="AC20" s="60" t="str">
        <f>IF(AB20="","",VLOOKUP(AB20,'11. Lists'!$F$36:$H$38,2,FALSE))</f>
        <v/>
      </c>
      <c r="AD20" s="150" t="str">
        <f>IF(AB20="","",VLOOKUP(AB20,'11. Lists'!$F$36:$H$38,3,FALSE))</f>
        <v/>
      </c>
      <c r="AE20" s="311" t="str">
        <f>IF(D20="","",((J20/1000)*V20*X20)*AD20)</f>
        <v/>
      </c>
      <c r="AF20" s="312" t="str">
        <f>IF(D20="","",((K20/1000)*V20*X20)*AD20*AJ20)</f>
        <v/>
      </c>
      <c r="AG20" s="313" t="str">
        <f>IF(D20="","",M20)</f>
        <v/>
      </c>
      <c r="AH20" s="61" t="str">
        <f>IF(T20="","",VLOOKUP(T20,'11. Lists'!$B$47:$D$49,3,FALSE))</f>
        <v/>
      </c>
      <c r="AI20" s="350" t="str">
        <f>IF(D20="","",VLOOKUP(D20,'10. Condition and Temporal'!$B$6:$L$103,4,FALSE))</f>
        <v/>
      </c>
      <c r="AJ20" s="464" t="str">
        <v>1</v>
      </c>
      <c r="AK20" s="199" t="str">
        <v>1</v>
      </c>
      <c r="AL20" s="199"/>
      <c r="AM20" s="199"/>
      <c r="AN20" s="424"/>
      <c r="AR20" s="199" t="str">
        <f>IF(D20="","",IFERROR(IF(I20="","",((I20/1000)*V20*X20)*AD20),"This intervention is not permitted within the SSM ▲"))</f>
        <v/>
      </c>
    </row>
    <row r="21" spans="2:44" s="99" customFormat="1" ht="15.6" customHeight="1">
      <c r="B21" s="285">
        <v>11</v>
      </c>
      <c r="C21" s="540" t="s">
        <v>283</v>
      </c>
      <c r="D21" s="739"/>
      <c r="E21" s="739"/>
      <c r="F21" s="974"/>
      <c r="G21" s="974"/>
      <c r="H21" s="974"/>
      <c r="I21" s="461"/>
      <c r="J21" s="319"/>
      <c r="K21" s="320"/>
      <c r="L21" s="24" t="str">
        <f>IF(D21="","",IFERROR(IF(I21="","",((I21/1000)*V21*X21)*AD21*AJ21),"This intervention is not permitted within the SSM ▲"))</f>
        <v/>
      </c>
      <c r="M21" s="314" t="str">
        <f>IF(I21="","",IF(J21+K21&gt;I21,"Length Error ▲",I21-J21-K21))</f>
        <v/>
      </c>
      <c r="N21" s="24" t="str">
        <f>IFERROR(IF(I21="","",IF(M21="Length Error ▲","Length Error ▲",((M21/1000)*V21*X21)*AD21*AJ21)),"This intervention is not permitted within the SSM ▲")</f>
        <v/>
      </c>
      <c r="O21" s="132"/>
      <c r="P21" s="83"/>
      <c r="R21" s="655"/>
      <c r="T21" s="791" t="str">
        <f>IF(D21="","",VLOOKUP(D21,'9. All Habitats + Multipliers'!$C$4:$K$102,5,FALSE))</f>
        <v/>
      </c>
      <c r="U21" s="792"/>
      <c r="V21" s="151" t="str">
        <f>IF(T21="","",VLOOKUP(T21,'11. Lists'!$B$47:$D$49,2,FALSE))</f>
        <v/>
      </c>
      <c r="W21" s="61" t="str">
        <f>IF(D21="","",VLOOKUP(D21,'10. Condition and Temporal'!$B$6:$C$103,2,FALSE))</f>
        <v/>
      </c>
      <c r="X21" s="151" t="str">
        <f>IF(W21="","",VLOOKUP(W21,'11. Lists'!$F$47:$G$51,2,FALSE))</f>
        <v/>
      </c>
      <c r="Y21" s="371"/>
      <c r="Z21" s="349"/>
      <c r="AA21" s="369"/>
      <c r="AB21" s="60" t="str">
        <f>IF(F21="","",F21)</f>
        <v/>
      </c>
      <c r="AC21" s="60" t="str">
        <f>IF(AB21="","",VLOOKUP(AB21,'11. Lists'!$F$36:$H$38,2,FALSE))</f>
        <v/>
      </c>
      <c r="AD21" s="150" t="str">
        <f>IF(AB21="","",VLOOKUP(AB21,'11. Lists'!$F$36:$H$38,3,FALSE))</f>
        <v/>
      </c>
      <c r="AE21" s="311" t="str">
        <f>IF(D21="","",((J21/1000)*V21*X21)*AD21)</f>
        <v/>
      </c>
      <c r="AF21" s="312" t="str">
        <f>IF(D21="","",((K21/1000)*V21*X21)*AD21*AJ21)</f>
        <v/>
      </c>
      <c r="AG21" s="313" t="str">
        <f>IF(D21="","",M21)</f>
        <v/>
      </c>
      <c r="AH21" s="61" t="str">
        <f>IF(T21="","",VLOOKUP(T21,'11. Lists'!$B$47:$D$49,3,FALSE))</f>
        <v/>
      </c>
      <c r="AI21" s="350" t="str">
        <f>IF(D21="","",VLOOKUP(D21,'10. Condition and Temporal'!$B$6:$L$103,4,FALSE))</f>
        <v/>
      </c>
      <c r="AJ21" s="464" t="str">
        <v>1</v>
      </c>
      <c r="AK21" s="199" t="str">
        <v>1</v>
      </c>
      <c r="AL21" s="199"/>
      <c r="AM21" s="199"/>
      <c r="AN21" s="424"/>
      <c r="AR21" s="199" t="str">
        <f>IF(D21="","",IFERROR(IF(I21="","",((I21/1000)*V21*X21)*AD21),"This intervention is not permitted within the SSM ▲"))</f>
        <v/>
      </c>
    </row>
    <row r="22" spans="2:44" s="99" customFormat="1" ht="15.6" customHeight="1">
      <c r="B22" s="285">
        <v>12</v>
      </c>
      <c r="C22" s="540" t="s">
        <v>283</v>
      </c>
      <c r="D22" s="739"/>
      <c r="E22" s="739"/>
      <c r="F22" s="974"/>
      <c r="G22" s="974"/>
      <c r="H22" s="974"/>
      <c r="I22" s="461"/>
      <c r="J22" s="319"/>
      <c r="K22" s="320"/>
      <c r="L22" s="24" t="str">
        <f>IF(D22="","",IFERROR(IF(I22="","",((I22/1000)*V22*X22)*AD22*AJ22),"This intervention is not permitted within the SSM ▲"))</f>
        <v/>
      </c>
      <c r="M22" s="314" t="str">
        <f>IF(I22="","",IF(J22+K22&gt;I22,"Length Error ▲",I22-J22-K22))</f>
        <v/>
      </c>
      <c r="N22" s="24" t="str">
        <f>IFERROR(IF(I22="","",IF(M22="Length Error ▲","Length Error ▲",((M22/1000)*V22*X22)*AD22*AJ22)),"This intervention is not permitted within the SSM ▲")</f>
        <v/>
      </c>
      <c r="O22" s="132"/>
      <c r="P22" s="83"/>
      <c r="R22" s="655"/>
      <c r="T22" s="791" t="str">
        <f>IF(D22="","",VLOOKUP(D22,'9. All Habitats + Multipliers'!$C$4:$K$102,5,FALSE))</f>
        <v/>
      </c>
      <c r="U22" s="792"/>
      <c r="V22" s="151" t="str">
        <f>IF(T22="","",VLOOKUP(T22,'11. Lists'!$B$47:$D$49,2,FALSE))</f>
        <v/>
      </c>
      <c r="W22" s="61" t="str">
        <f>IF(D22="","",VLOOKUP(D22,'10. Condition and Temporal'!$B$6:$C$103,2,FALSE))</f>
        <v/>
      </c>
      <c r="X22" s="151" t="str">
        <f>IF(W22="","",VLOOKUP(W22,'11. Lists'!$F$47:$G$51,2,FALSE))</f>
        <v/>
      </c>
      <c r="Y22" s="371"/>
      <c r="Z22" s="349"/>
      <c r="AA22" s="369"/>
      <c r="AB22" s="60" t="str">
        <f>IF(F22="","",F22)</f>
        <v/>
      </c>
      <c r="AC22" s="60" t="str">
        <f>IF(AB22="","",VLOOKUP(AB22,'11. Lists'!$F$36:$H$38,2,FALSE))</f>
        <v/>
      </c>
      <c r="AD22" s="150" t="str">
        <f>IF(AB22="","",VLOOKUP(AB22,'11. Lists'!$F$36:$H$38,3,FALSE))</f>
        <v/>
      </c>
      <c r="AE22" s="311" t="str">
        <f>IF(D22="","",((J22/1000)*V22*X22)*AD22)</f>
        <v/>
      </c>
      <c r="AF22" s="312" t="str">
        <f>IF(D22="","",((K22/1000)*V22*X22)*AD22*AJ22)</f>
        <v/>
      </c>
      <c r="AG22" s="313" t="str">
        <f>IF(D22="","",M22)</f>
        <v/>
      </c>
      <c r="AH22" s="61" t="str">
        <f>IF(T22="","",VLOOKUP(T22,'11. Lists'!$B$47:$D$49,3,FALSE))</f>
        <v/>
      </c>
      <c r="AI22" s="350" t="str">
        <f>IF(D22="","",VLOOKUP(D22,'10. Condition and Temporal'!$B$6:$L$103,4,FALSE))</f>
        <v/>
      </c>
      <c r="AJ22" s="464" t="str">
        <v>1</v>
      </c>
      <c r="AK22" s="199" t="str">
        <v>1</v>
      </c>
      <c r="AL22" s="199"/>
      <c r="AM22" s="199"/>
      <c r="AN22" s="424"/>
      <c r="AR22" s="199" t="str">
        <f>IF(D22="","",IFERROR(IF(I22="","",((I22/1000)*V22*X22)*AD22),"This intervention is not permitted within the SSM ▲"))</f>
        <v/>
      </c>
    </row>
    <row r="23" spans="2:44" s="99" customFormat="1" ht="15.6" customHeight="1">
      <c r="B23" s="285">
        <v>13</v>
      </c>
      <c r="C23" s="540" t="s">
        <v>283</v>
      </c>
      <c r="D23" s="739"/>
      <c r="E23" s="739"/>
      <c r="F23" s="974"/>
      <c r="G23" s="974"/>
      <c r="H23" s="974"/>
      <c r="I23" s="461"/>
      <c r="J23" s="319"/>
      <c r="K23" s="320"/>
      <c r="L23" s="24" t="str">
        <f>IF(D23="","",IFERROR(IF(I23="","",((I23/1000)*V23*X23)*AD23*AJ23),"This intervention is not permitted within the SSM ▲"))</f>
        <v/>
      </c>
      <c r="M23" s="314" t="str">
        <f>IF(I23="","",IF(J23+K23&gt;I23,"Length Error ▲",I23-J23-K23))</f>
        <v/>
      </c>
      <c r="N23" s="24" t="str">
        <f>IFERROR(IF(I23="","",IF(M23="Length Error ▲","Length Error ▲",((M23/1000)*V23*X23)*AD23*AJ23)),"This intervention is not permitted within the SSM ▲")</f>
        <v/>
      </c>
      <c r="O23" s="132"/>
      <c r="P23" s="83"/>
      <c r="R23" s="655"/>
      <c r="T23" s="791" t="str">
        <f>IF(D23="","",VLOOKUP(D23,'9. All Habitats + Multipliers'!$C$4:$K$102,5,FALSE))</f>
        <v/>
      </c>
      <c r="U23" s="792"/>
      <c r="V23" s="151" t="str">
        <f>IF(T23="","",VLOOKUP(T23,'11. Lists'!$B$47:$D$49,2,FALSE))</f>
        <v/>
      </c>
      <c r="W23" s="61" t="str">
        <f>IF(D23="","",VLOOKUP(D23,'10. Condition and Temporal'!$B$6:$C$103,2,FALSE))</f>
        <v/>
      </c>
      <c r="X23" s="151" t="str">
        <f>IF(W23="","",VLOOKUP(W23,'11. Lists'!$F$47:$G$51,2,FALSE))</f>
        <v/>
      </c>
      <c r="Y23" s="371"/>
      <c r="Z23" s="349"/>
      <c r="AA23" s="369"/>
      <c r="AB23" s="60" t="str">
        <f>IF(F23="","",F23)</f>
        <v/>
      </c>
      <c r="AC23" s="60" t="str">
        <f>IF(AB23="","",VLOOKUP(AB23,'11. Lists'!$F$36:$H$38,2,FALSE))</f>
        <v/>
      </c>
      <c r="AD23" s="150" t="str">
        <f>IF(AB23="","",VLOOKUP(AB23,'11. Lists'!$F$36:$H$38,3,FALSE))</f>
        <v/>
      </c>
      <c r="AE23" s="311" t="str">
        <f>IF(D23="","",((J23/1000)*V23*X23)*AD23)</f>
        <v/>
      </c>
      <c r="AF23" s="312" t="str">
        <f>IF(D23="","",((K23/1000)*V23*X23)*AD23*AJ23)</f>
        <v/>
      </c>
      <c r="AG23" s="313" t="str">
        <f>IF(D23="","",M23)</f>
        <v/>
      </c>
      <c r="AH23" s="61" t="str">
        <f>IF(T23="","",VLOOKUP(T23,'11. Lists'!$B$47:$D$49,3,FALSE))</f>
        <v/>
      </c>
      <c r="AI23" s="350" t="str">
        <f>IF(D23="","",VLOOKUP(D23,'10. Condition and Temporal'!$B$6:$L$103,4,FALSE))</f>
        <v/>
      </c>
      <c r="AJ23" s="464" t="str">
        <v>1</v>
      </c>
      <c r="AK23" s="199" t="str">
        <v>1</v>
      </c>
      <c r="AL23" s="199"/>
      <c r="AM23" s="199"/>
      <c r="AN23" s="424"/>
      <c r="AR23" s="199" t="str">
        <f>IF(D23="","",IFERROR(IF(I23="","",((I23/1000)*V23*X23)*AD23),"This intervention is not permitted within the SSM ▲"))</f>
        <v/>
      </c>
    </row>
    <row r="24" spans="2:44" s="99" customFormat="1" ht="15.6" customHeight="1">
      <c r="B24" s="285">
        <v>14</v>
      </c>
      <c r="C24" s="540" t="s">
        <v>283</v>
      </c>
      <c r="D24" s="739"/>
      <c r="E24" s="739"/>
      <c r="F24" s="974"/>
      <c r="G24" s="974"/>
      <c r="H24" s="974"/>
      <c r="I24" s="461"/>
      <c r="J24" s="319"/>
      <c r="K24" s="320"/>
      <c r="L24" s="24" t="str">
        <f>IF(D24="","",IFERROR(IF(I24="","",((I24/1000)*V24*X24)*AD24*AJ24),"This intervention is not permitted within the SSM ▲"))</f>
        <v/>
      </c>
      <c r="M24" s="314" t="str">
        <f>IF(I24="","",IF(J24+K24&gt;I24,"Length Error ▲",I24-J24-K24))</f>
        <v/>
      </c>
      <c r="N24" s="24" t="str">
        <f>IFERROR(IF(I24="","",IF(M24="Length Error ▲","Length Error ▲",((M24/1000)*V24*X24)*AD24*AJ24)),"This intervention is not permitted within the SSM ▲")</f>
        <v/>
      </c>
      <c r="O24" s="132"/>
      <c r="P24" s="83"/>
      <c r="R24" s="655"/>
      <c r="T24" s="791" t="str">
        <f>IF(D24="","",VLOOKUP(D24,'9. All Habitats + Multipliers'!$C$4:$K$102,5,FALSE))</f>
        <v/>
      </c>
      <c r="U24" s="792"/>
      <c r="V24" s="151" t="str">
        <f>IF(T24="","",VLOOKUP(T24,'11. Lists'!$B$47:$D$49,2,FALSE))</f>
        <v/>
      </c>
      <c r="W24" s="61" t="str">
        <f>IF(D24="","",VLOOKUP(D24,'10. Condition and Temporal'!$B$6:$C$103,2,FALSE))</f>
        <v/>
      </c>
      <c r="X24" s="151" t="str">
        <f>IF(W24="","",VLOOKUP(W24,'11. Lists'!$F$47:$G$51,2,FALSE))</f>
        <v/>
      </c>
      <c r="Y24" s="371"/>
      <c r="Z24" s="349"/>
      <c r="AA24" s="369"/>
      <c r="AB24" s="60" t="str">
        <f>IF(F24="","",F24)</f>
        <v/>
      </c>
      <c r="AC24" s="60" t="str">
        <f>IF(AB24="","",VLOOKUP(AB24,'11. Lists'!$F$36:$H$38,2,FALSE))</f>
        <v/>
      </c>
      <c r="AD24" s="150" t="str">
        <f>IF(AB24="","",VLOOKUP(AB24,'11. Lists'!$F$36:$H$38,3,FALSE))</f>
        <v/>
      </c>
      <c r="AE24" s="311" t="str">
        <f>IF(D24="","",((J24/1000)*V24*X24)*AD24)</f>
        <v/>
      </c>
      <c r="AF24" s="312" t="str">
        <f>IF(D24="","",((K24/1000)*V24*X24)*AD24*AJ24)</f>
        <v/>
      </c>
      <c r="AG24" s="313" t="str">
        <f>IF(D24="","",M24)</f>
        <v/>
      </c>
      <c r="AH24" s="61" t="str">
        <f>IF(T24="","",VLOOKUP(T24,'11. Lists'!$B$47:$D$49,3,FALSE))</f>
        <v/>
      </c>
      <c r="AI24" s="350" t="str">
        <f>IF(D24="","",VLOOKUP(D24,'10. Condition and Temporal'!$B$6:$L$103,4,FALSE))</f>
        <v/>
      </c>
      <c r="AJ24" s="464" t="str">
        <v>1</v>
      </c>
      <c r="AK24" s="199" t="str">
        <v>1</v>
      </c>
      <c r="AL24" s="199"/>
      <c r="AM24" s="199"/>
      <c r="AN24" s="424"/>
      <c r="AR24" s="199" t="str">
        <f>IF(D24="","",IFERROR(IF(I24="","",((I24/1000)*V24*X24)*AD24),"This intervention is not permitted within the SSM ▲"))</f>
        <v/>
      </c>
    </row>
    <row r="25" spans="2:44" s="99" customFormat="1" ht="15.6" customHeight="1">
      <c r="B25" s="285">
        <v>15</v>
      </c>
      <c r="C25" s="540" t="s">
        <v>283</v>
      </c>
      <c r="D25" s="739"/>
      <c r="E25" s="739"/>
      <c r="F25" s="974"/>
      <c r="G25" s="974"/>
      <c r="H25" s="974"/>
      <c r="I25" s="461"/>
      <c r="J25" s="319"/>
      <c r="K25" s="320"/>
      <c r="L25" s="24" t="str">
        <f>IF(D25="","",IFERROR(IF(I25="","",((I25/1000)*V25*X25)*AD25*AJ25),"This intervention is not permitted within the SSM ▲"))</f>
        <v/>
      </c>
      <c r="M25" s="314" t="str">
        <f>IF(I25="","",IF(J25+K25&gt;I25,"Length Error ▲",I25-J25-K25))</f>
        <v/>
      </c>
      <c r="N25" s="24" t="str">
        <f>IFERROR(IF(I25="","",IF(M25="Length Error ▲","Length Error ▲",((M25/1000)*V25*X25)*AD25*AJ25)),"This intervention is not permitted within the SSM ▲")</f>
        <v/>
      </c>
      <c r="O25" s="132"/>
      <c r="P25" s="83"/>
      <c r="R25" s="655"/>
      <c r="T25" s="791" t="str">
        <f>IF(D25="","",VLOOKUP(D25,'9. All Habitats + Multipliers'!$C$4:$K$102,5,FALSE))</f>
        <v/>
      </c>
      <c r="U25" s="792"/>
      <c r="V25" s="151" t="str">
        <f>IF(T25="","",VLOOKUP(T25,'11. Lists'!$B$47:$D$49,2,FALSE))</f>
        <v/>
      </c>
      <c r="W25" s="61" t="str">
        <f>IF(D25="","",VLOOKUP(D25,'10. Condition and Temporal'!$B$6:$C$103,2,FALSE))</f>
        <v/>
      </c>
      <c r="X25" s="151" t="str">
        <f>IF(W25="","",VLOOKUP(W25,'11. Lists'!$F$47:$G$51,2,FALSE))</f>
        <v/>
      </c>
      <c r="Y25" s="371"/>
      <c r="Z25" s="349"/>
      <c r="AA25" s="369"/>
      <c r="AB25" s="60" t="str">
        <f>IF(F25="","",F25)</f>
        <v/>
      </c>
      <c r="AC25" s="60" t="str">
        <f>IF(AB25="","",VLOOKUP(AB25,'11. Lists'!$F$36:$H$38,2,FALSE))</f>
        <v/>
      </c>
      <c r="AD25" s="150" t="str">
        <f>IF(AB25="","",VLOOKUP(AB25,'11. Lists'!$F$36:$H$38,3,FALSE))</f>
        <v/>
      </c>
      <c r="AE25" s="311" t="str">
        <f>IF(D25="","",((J25/1000)*V25*X25)*AD25)</f>
        <v/>
      </c>
      <c r="AF25" s="312" t="str">
        <f>IF(D25="","",((K25/1000)*V25*X25)*AD25*AJ25)</f>
        <v/>
      </c>
      <c r="AG25" s="313" t="str">
        <f>IF(D25="","",M25)</f>
        <v/>
      </c>
      <c r="AH25" s="61" t="str">
        <f>IF(T25="","",VLOOKUP(T25,'11. Lists'!$B$47:$D$49,3,FALSE))</f>
        <v/>
      </c>
      <c r="AI25" s="350" t="str">
        <f>IF(D25="","",VLOOKUP(D25,'10. Condition and Temporal'!$B$6:$L$103,4,FALSE))</f>
        <v/>
      </c>
      <c r="AJ25" s="464" t="str">
        <v>1</v>
      </c>
      <c r="AK25" s="199" t="str">
        <v>1</v>
      </c>
      <c r="AL25" s="199"/>
      <c r="AM25" s="199"/>
      <c r="AN25" s="424"/>
      <c r="AR25" s="199" t="str">
        <f>IF(D25="","",IFERROR(IF(I25="","",((I25/1000)*V25*X25)*AD25),"This intervention is not permitted within the SSM ▲"))</f>
        <v/>
      </c>
    </row>
    <row r="26" spans="2:44" s="99" customFormat="1" ht="15.6" customHeight="1">
      <c r="B26" s="285">
        <v>16</v>
      </c>
      <c r="C26" s="540" t="s">
        <v>283</v>
      </c>
      <c r="D26" s="739"/>
      <c r="E26" s="739"/>
      <c r="F26" s="974"/>
      <c r="G26" s="974"/>
      <c r="H26" s="974"/>
      <c r="I26" s="461"/>
      <c r="J26" s="319"/>
      <c r="K26" s="320"/>
      <c r="L26" s="24" t="str">
        <f>IF(D26="","",IFERROR(IF(I26="","",((I26/1000)*V26*X26)*AD26*AJ26),"This intervention is not permitted within the SSM ▲"))</f>
        <v/>
      </c>
      <c r="M26" s="314" t="str">
        <f>IF(I26="","",IF(J26+K26&gt;I26,"Length Error ▲",I26-J26-K26))</f>
        <v/>
      </c>
      <c r="N26" s="24" t="str">
        <f>IFERROR(IF(I26="","",IF(M26="Length Error ▲","Length Error ▲",((M26/1000)*V26*X26)*AD26*AJ26)),"This intervention is not permitted within the SSM ▲")</f>
        <v/>
      </c>
      <c r="O26" s="132"/>
      <c r="P26" s="83"/>
      <c r="R26" s="655"/>
      <c r="T26" s="791" t="str">
        <f>IF(D26="","",VLOOKUP(D26,'9. All Habitats + Multipliers'!$C$4:$K$102,5,FALSE))</f>
        <v/>
      </c>
      <c r="U26" s="792"/>
      <c r="V26" s="151" t="str">
        <f>IF(T26="","",VLOOKUP(T26,'11. Lists'!$B$47:$D$49,2,FALSE))</f>
        <v/>
      </c>
      <c r="W26" s="61" t="str">
        <f>IF(D26="","",VLOOKUP(D26,'10. Condition and Temporal'!$B$6:$C$103,2,FALSE))</f>
        <v/>
      </c>
      <c r="X26" s="151" t="str">
        <f>IF(W26="","",VLOOKUP(W26,'11. Lists'!$F$47:$G$51,2,FALSE))</f>
        <v/>
      </c>
      <c r="Y26" s="371"/>
      <c r="Z26" s="349"/>
      <c r="AA26" s="369"/>
      <c r="AB26" s="60" t="str">
        <f>IF(F26="","",F26)</f>
        <v/>
      </c>
      <c r="AC26" s="60" t="str">
        <f>IF(AB26="","",VLOOKUP(AB26,'11. Lists'!$F$36:$H$38,2,FALSE))</f>
        <v/>
      </c>
      <c r="AD26" s="150" t="str">
        <f>IF(AB26="","",VLOOKUP(AB26,'11. Lists'!$F$36:$H$38,3,FALSE))</f>
        <v/>
      </c>
      <c r="AE26" s="311" t="str">
        <f>IF(D26="","",((J26/1000)*V26*X26)*AD26)</f>
        <v/>
      </c>
      <c r="AF26" s="312" t="str">
        <f>IF(D26="","",((K26/1000)*V26*X26)*AD26*AJ26)</f>
        <v/>
      </c>
      <c r="AG26" s="313" t="str">
        <f>IF(D26="","",M26)</f>
        <v/>
      </c>
      <c r="AH26" s="61" t="str">
        <f>IF(T26="","",VLOOKUP(T26,'11. Lists'!$B$47:$D$49,3,FALSE))</f>
        <v/>
      </c>
      <c r="AI26" s="350" t="str">
        <f>IF(D26="","",VLOOKUP(D26,'10. Condition and Temporal'!$B$6:$L$103,4,FALSE))</f>
        <v/>
      </c>
      <c r="AJ26" s="464" t="str">
        <v>1</v>
      </c>
      <c r="AK26" s="199" t="str">
        <v>1</v>
      </c>
      <c r="AL26" s="199"/>
      <c r="AM26" s="199"/>
      <c r="AN26" s="424"/>
      <c r="AR26" s="199" t="str">
        <f>IF(D26="","",IFERROR(IF(I26="","",((I26/1000)*V26*X26)*AD26),"This intervention is not permitted within the SSM ▲"))</f>
        <v/>
      </c>
    </row>
    <row r="27" spans="2:44" s="99" customFormat="1" ht="15.6" customHeight="1">
      <c r="B27" s="285">
        <v>17</v>
      </c>
      <c r="C27" s="540" t="s">
        <v>283</v>
      </c>
      <c r="D27" s="739"/>
      <c r="E27" s="739"/>
      <c r="F27" s="974"/>
      <c r="G27" s="974"/>
      <c r="H27" s="974"/>
      <c r="I27" s="461"/>
      <c r="J27" s="319"/>
      <c r="K27" s="320"/>
      <c r="L27" s="24" t="str">
        <f>IF(D27="","",IFERROR(IF(I27="","",((I27/1000)*V27*X27)*AD27*AJ27),"This intervention is not permitted within the SSM ▲"))</f>
        <v/>
      </c>
      <c r="M27" s="314" t="str">
        <f>IF(I27="","",IF(J27+K27&gt;I27,"Length Error ▲",I27-J27-K27))</f>
        <v/>
      </c>
      <c r="N27" s="24" t="str">
        <f>IFERROR(IF(I27="","",IF(M27="Length Error ▲","Length Error ▲",((M27/1000)*V27*X27)*AD27*AJ27)),"This intervention is not permitted within the SSM ▲")</f>
        <v/>
      </c>
      <c r="O27" s="132"/>
      <c r="P27" s="83"/>
      <c r="R27" s="655"/>
      <c r="T27" s="791" t="str">
        <f>IF(D27="","",VLOOKUP(D27,'9. All Habitats + Multipliers'!$C$4:$K$102,5,FALSE))</f>
        <v/>
      </c>
      <c r="U27" s="792"/>
      <c r="V27" s="151" t="str">
        <f>IF(T27="","",VLOOKUP(T27,'11. Lists'!$B$47:$D$49,2,FALSE))</f>
        <v/>
      </c>
      <c r="W27" s="61" t="str">
        <f>IF(D27="","",VLOOKUP(D27,'10. Condition and Temporal'!$B$6:$C$103,2,FALSE))</f>
        <v/>
      </c>
      <c r="X27" s="151" t="str">
        <f>IF(W27="","",VLOOKUP(W27,'11. Lists'!$F$47:$G$51,2,FALSE))</f>
        <v/>
      </c>
      <c r="Y27" s="371"/>
      <c r="Z27" s="349"/>
      <c r="AA27" s="369"/>
      <c r="AB27" s="60" t="str">
        <f>IF(F27="","",F27)</f>
        <v/>
      </c>
      <c r="AC27" s="60" t="str">
        <f>IF(AB27="","",VLOOKUP(AB27,'11. Lists'!$F$36:$H$38,2,FALSE))</f>
        <v/>
      </c>
      <c r="AD27" s="150" t="str">
        <f>IF(AB27="","",VLOOKUP(AB27,'11. Lists'!$F$36:$H$38,3,FALSE))</f>
        <v/>
      </c>
      <c r="AE27" s="311" t="str">
        <f>IF(D27="","",((J27/1000)*V27*X27)*AD27)</f>
        <v/>
      </c>
      <c r="AF27" s="312" t="str">
        <f>IF(D27="","",((K27/1000)*V27*X27)*AD27*AJ27)</f>
        <v/>
      </c>
      <c r="AG27" s="313" t="str">
        <f>IF(D27="","",M27)</f>
        <v/>
      </c>
      <c r="AH27" s="61" t="str">
        <f>IF(T27="","",VLOOKUP(T27,'11. Lists'!$B$47:$D$49,3,FALSE))</f>
        <v/>
      </c>
      <c r="AI27" s="350" t="str">
        <f>IF(D27="","",VLOOKUP(D27,'10. Condition and Temporal'!$B$6:$L$103,4,FALSE))</f>
        <v/>
      </c>
      <c r="AJ27" s="464" t="str">
        <v>1</v>
      </c>
      <c r="AK27" s="199" t="str">
        <v>1</v>
      </c>
      <c r="AL27" s="199"/>
      <c r="AM27" s="199"/>
      <c r="AN27" s="424"/>
      <c r="AR27" s="199" t="str">
        <f>IF(D27="","",IFERROR(IF(I27="","",((I27/1000)*V27*X27)*AD27),"This intervention is not permitted within the SSM ▲"))</f>
        <v/>
      </c>
    </row>
    <row r="28" spans="2:44" s="99" customFormat="1" ht="15.6" customHeight="1">
      <c r="B28" s="285">
        <v>18</v>
      </c>
      <c r="C28" s="540" t="s">
        <v>283</v>
      </c>
      <c r="D28" s="739"/>
      <c r="E28" s="739"/>
      <c r="F28" s="974"/>
      <c r="G28" s="974"/>
      <c r="H28" s="974"/>
      <c r="I28" s="461"/>
      <c r="J28" s="319"/>
      <c r="K28" s="320"/>
      <c r="L28" s="24" t="str">
        <f>IF(D28="","",IFERROR(IF(I28="","",((I28/1000)*V28*X28)*AD28*AJ28),"This intervention is not permitted within the SSM ▲"))</f>
        <v/>
      </c>
      <c r="M28" s="314" t="str">
        <f>IF(I28="","",IF(J28+K28&gt;I28,"Length Error ▲",I28-J28-K28))</f>
        <v/>
      </c>
      <c r="N28" s="24" t="str">
        <f>IFERROR(IF(I28="","",IF(M28="Length Error ▲","Length Error ▲",((M28/1000)*V28*X28)*AD28*AJ28)),"This intervention is not permitted within the SSM ▲")</f>
        <v/>
      </c>
      <c r="O28" s="132"/>
      <c r="P28" s="83"/>
      <c r="R28" s="655"/>
      <c r="T28" s="791" t="str">
        <f>IF(D28="","",VLOOKUP(D28,'9. All Habitats + Multipliers'!$C$4:$K$102,5,FALSE))</f>
        <v/>
      </c>
      <c r="U28" s="792"/>
      <c r="V28" s="151" t="str">
        <f>IF(T28="","",VLOOKUP(T28,'11. Lists'!$B$47:$D$49,2,FALSE))</f>
        <v/>
      </c>
      <c r="W28" s="61" t="str">
        <f>IF(D28="","",VLOOKUP(D28,'10. Condition and Temporal'!$B$6:$C$103,2,FALSE))</f>
        <v/>
      </c>
      <c r="X28" s="151" t="str">
        <f>IF(W28="","",VLOOKUP(W28,'11. Lists'!$F$47:$G$51,2,FALSE))</f>
        <v/>
      </c>
      <c r="Y28" s="371"/>
      <c r="Z28" s="349"/>
      <c r="AA28" s="369"/>
      <c r="AB28" s="60" t="str">
        <f>IF(F28="","",F28)</f>
        <v/>
      </c>
      <c r="AC28" s="60" t="str">
        <f>IF(AB28="","",VLOOKUP(AB28,'11. Lists'!$F$36:$H$38,2,FALSE))</f>
        <v/>
      </c>
      <c r="AD28" s="150" t="str">
        <f>IF(AB28="","",VLOOKUP(AB28,'11. Lists'!$F$36:$H$38,3,FALSE))</f>
        <v/>
      </c>
      <c r="AE28" s="311" t="str">
        <f>IF(D28="","",((J28/1000)*V28*X28)*AD28)</f>
        <v/>
      </c>
      <c r="AF28" s="312" t="str">
        <f>IF(D28="","",((K28/1000)*V28*X28)*AD28*AJ28)</f>
        <v/>
      </c>
      <c r="AG28" s="313" t="str">
        <f>IF(D28="","",M28)</f>
        <v/>
      </c>
      <c r="AH28" s="61" t="str">
        <f>IF(T28="","",VLOOKUP(T28,'11. Lists'!$B$47:$D$49,3,FALSE))</f>
        <v/>
      </c>
      <c r="AI28" s="350" t="str">
        <f>IF(D28="","",VLOOKUP(D28,'10. Condition and Temporal'!$B$6:$L$103,4,FALSE))</f>
        <v/>
      </c>
      <c r="AJ28" s="464" t="str">
        <v>1</v>
      </c>
      <c r="AK28" s="199" t="str">
        <v>1</v>
      </c>
      <c r="AL28" s="199"/>
      <c r="AM28" s="199"/>
      <c r="AN28" s="424"/>
      <c r="AR28" s="199" t="str">
        <f>IF(D28="","",IFERROR(IF(I28="","",((I28/1000)*V28*X28)*AD28),"This intervention is not permitted within the SSM ▲"))</f>
        <v/>
      </c>
    </row>
    <row r="29" spans="2:44" s="99" customFormat="1" ht="15.6" customHeight="1">
      <c r="B29" s="285">
        <v>19</v>
      </c>
      <c r="C29" s="540" t="s">
        <v>283</v>
      </c>
      <c r="D29" s="739"/>
      <c r="E29" s="739"/>
      <c r="F29" s="974"/>
      <c r="G29" s="974"/>
      <c r="H29" s="974"/>
      <c r="I29" s="461"/>
      <c r="J29" s="319"/>
      <c r="K29" s="320"/>
      <c r="L29" s="24" t="str">
        <f>IF(D29="","",IFERROR(IF(I29="","",((I29/1000)*V29*X29)*AD29*AJ29),"This intervention is not permitted within the SSM ▲"))</f>
        <v/>
      </c>
      <c r="M29" s="314" t="str">
        <f>IF(I29="","",IF(J29+K29&gt;I29,"Length Error ▲",I29-J29-K29))</f>
        <v/>
      </c>
      <c r="N29" s="24" t="str">
        <f>IFERROR(IF(I29="","",IF(M29="Length Error ▲","Length Error ▲",((M29/1000)*V29*X29)*AD29*AJ29)),"This intervention is not permitted within the SSM ▲")</f>
        <v/>
      </c>
      <c r="O29" s="132"/>
      <c r="P29" s="83"/>
      <c r="R29" s="655"/>
      <c r="T29" s="791" t="str">
        <f>IF(D29="","",VLOOKUP(D29,'9. All Habitats + Multipliers'!$C$4:$K$102,5,FALSE))</f>
        <v/>
      </c>
      <c r="U29" s="792"/>
      <c r="V29" s="151" t="str">
        <f>IF(T29="","",VLOOKUP(T29,'11. Lists'!$B$47:$D$49,2,FALSE))</f>
        <v/>
      </c>
      <c r="W29" s="61" t="str">
        <f>IF(D29="","",VLOOKUP(D29,'10. Condition and Temporal'!$B$6:$C$103,2,FALSE))</f>
        <v/>
      </c>
      <c r="X29" s="151" t="str">
        <f>IF(W29="","",VLOOKUP(W29,'11. Lists'!$F$47:$G$51,2,FALSE))</f>
        <v/>
      </c>
      <c r="Y29" s="371"/>
      <c r="Z29" s="349"/>
      <c r="AA29" s="369"/>
      <c r="AB29" s="60" t="str">
        <f>IF(F29="","",F29)</f>
        <v/>
      </c>
      <c r="AC29" s="60" t="str">
        <f>IF(AB29="","",VLOOKUP(AB29,'11. Lists'!$F$36:$H$38,2,FALSE))</f>
        <v/>
      </c>
      <c r="AD29" s="150" t="str">
        <f>IF(AB29="","",VLOOKUP(AB29,'11. Lists'!$F$36:$H$38,3,FALSE))</f>
        <v/>
      </c>
      <c r="AE29" s="311" t="str">
        <f>IF(D29="","",((J29/1000)*V29*X29)*AD29)</f>
        <v/>
      </c>
      <c r="AF29" s="312" t="str">
        <f>IF(D29="","",((K29/1000)*V29*X29)*AD29*AJ29)</f>
        <v/>
      </c>
      <c r="AG29" s="313" t="str">
        <f>IF(D29="","",M29)</f>
        <v/>
      </c>
      <c r="AH29" s="61" t="str">
        <f>IF(T29="","",VLOOKUP(T29,'11. Lists'!$B$47:$D$49,3,FALSE))</f>
        <v/>
      </c>
      <c r="AI29" s="350" t="str">
        <f>IF(D29="","",VLOOKUP(D29,'10. Condition and Temporal'!$B$6:$L$103,4,FALSE))</f>
        <v/>
      </c>
      <c r="AJ29" s="464" t="str">
        <v>1</v>
      </c>
      <c r="AK29" s="199" t="str">
        <v>1</v>
      </c>
      <c r="AL29" s="199"/>
      <c r="AM29" s="199"/>
      <c r="AN29" s="424"/>
      <c r="AR29" s="199" t="str">
        <f>IF(D29="","",IFERROR(IF(I29="","",((I29/1000)*V29*X29)*AD29),"This intervention is not permitted within the SSM ▲"))</f>
        <v/>
      </c>
    </row>
    <row r="30" spans="2:44" s="99" customFormat="1" ht="16.5" customHeight="1">
      <c r="B30" s="286">
        <v>20</v>
      </c>
      <c r="C30" s="541" t="s">
        <v>283</v>
      </c>
      <c r="D30" s="745"/>
      <c r="E30" s="745"/>
      <c r="F30" s="975"/>
      <c r="G30" s="975"/>
      <c r="H30" s="975"/>
      <c r="I30" s="462"/>
      <c r="J30" s="322"/>
      <c r="K30" s="323"/>
      <c r="L30" s="19" t="str">
        <f>IF(D30="","",IFERROR(IF(I30="","",((I30/1000)*V30*X30)*AD30*AJ30),"This intervention is not permitted within the SSM ▲"))</f>
        <v/>
      </c>
      <c r="M30" s="328" t="str">
        <f>IF(I30="","",IF(J30+K30&gt;I30,"Length Error ▲",I30-J30-K30))</f>
        <v/>
      </c>
      <c r="N30" s="19" t="str">
        <f>IFERROR(IF(I30="","",IF(M30="Length Error ▲","Length Error ▲",((M30/1000)*V30*X30)*AD30*AJ30)),"This intervention is not permitted within the SSM ▲")</f>
        <v/>
      </c>
      <c r="O30" s="134"/>
      <c r="P30" s="80"/>
      <c r="R30" s="655"/>
      <c r="T30" s="800" t="str">
        <f>IF(D30="","",VLOOKUP(D30,'9. All Habitats + Multipliers'!$C$4:$K$102,5,FALSE))</f>
        <v/>
      </c>
      <c r="U30" s="801"/>
      <c r="V30" s="151" t="str">
        <f>IF(T30="","",VLOOKUP(T30,'11. Lists'!$B$47:$D$49,2,FALSE))</f>
        <v/>
      </c>
      <c r="W30" s="57" t="str">
        <f>IF(D30="","",VLOOKUP(D30,'10. Condition and Temporal'!$B$6:$C$103,2,FALSE))</f>
        <v/>
      </c>
      <c r="X30" s="155" t="str">
        <f>IF(W30="","",VLOOKUP(W30,'11. Lists'!$F$47:$G$51,2,FALSE))</f>
        <v/>
      </c>
      <c r="Y30" s="371"/>
      <c r="Z30" s="349"/>
      <c r="AA30" s="369"/>
      <c r="AB30" s="60" t="str">
        <f>IF(F30="","",F30)</f>
        <v/>
      </c>
      <c r="AC30" s="60" t="str">
        <f>IF(AB30="","",VLOOKUP(AB30,'11. Lists'!$F$36:$H$38,2,FALSE))</f>
        <v/>
      </c>
      <c r="AD30" s="150" t="str">
        <f>IF(AB30="","",VLOOKUP(AB30,'11. Lists'!$F$36:$H$38,3,FALSE))</f>
        <v/>
      </c>
      <c r="AE30" s="311" t="str">
        <f>IF(D30="","",((J30/1000)*V30*X30)*AD30)</f>
        <v/>
      </c>
      <c r="AF30" s="312" t="str">
        <f>IF(D30="","",((K30/1000)*V30*X30)*AD30*AJ30)</f>
        <v/>
      </c>
      <c r="AG30" s="313" t="str">
        <f>IF(D30="","",M30)</f>
        <v/>
      </c>
      <c r="AH30" s="61" t="str">
        <f>IF(T30="","",VLOOKUP(T30,'11. Lists'!$B$47:$D$49,3,FALSE))</f>
        <v/>
      </c>
      <c r="AI30" s="350" t="str">
        <f>IF(D30="","",VLOOKUP(D30,'10. Condition and Temporal'!$B$6:$L$103,4,FALSE))</f>
        <v/>
      </c>
      <c r="AJ30" s="464" t="str">
        <v>1</v>
      </c>
      <c r="AK30" s="199" t="str">
        <v>1</v>
      </c>
      <c r="AL30" s="199"/>
      <c r="AM30" s="199"/>
      <c r="AN30" s="424"/>
      <c r="AR30" s="199" t="str">
        <f>IF(D30="","",IFERROR(IF(I30="","",((I30/1000)*V30*X30)*AD30),"This intervention is not permitted within the SSM ▲"))</f>
        <v/>
      </c>
    </row>
    <row r="31" spans="2:44" s="99" customFormat="1">
      <c r="D31" s="149"/>
      <c r="E31" s="32"/>
      <c r="F31" s="32"/>
      <c r="G31" s="32"/>
      <c r="H31" s="463" t="s">
        <v>258</v>
      </c>
      <c r="I31" s="339">
        <f>SUM(I11:I30)</f>
        <v>0</v>
      </c>
      <c r="J31" s="340">
        <f>SUM(J11:J30)</f>
        <v>0</v>
      </c>
      <c r="K31" s="341">
        <f>SUM(K11:K30)</f>
        <v>0</v>
      </c>
      <c r="L31" s="304">
        <f>SUM(L11:L30)</f>
        <v>0</v>
      </c>
      <c r="M31" s="329">
        <f>SUM(M11:M30)</f>
        <v>0</v>
      </c>
      <c r="N31" s="46">
        <f>SUM(N11:N30)</f>
        <v>0</v>
      </c>
      <c r="R31" s="655"/>
      <c r="AJ31" s="199"/>
      <c r="AK31" s="199"/>
      <c r="AL31" s="199"/>
      <c r="AM31" s="199"/>
      <c r="AN31" s="199"/>
      <c r="AR31" s="199"/>
    </row>
    <row r="32" spans="2:44" s="99" customFormat="1">
      <c r="D32" s="149"/>
      <c r="E32" s="32"/>
      <c r="F32" s="32"/>
      <c r="G32" s="32"/>
      <c r="H32" s="309" t="s">
        <v>128</v>
      </c>
      <c r="I32" s="911" t="str">
        <f>IF(I31&lt;J31+K31,"Error - Lengths Retained and Enhanced Exceed Total Length ▲","Lengths Acceptable ✓")</f>
        <v>Lengths Acceptable ✓</v>
      </c>
      <c r="J32" s="911"/>
      <c r="K32" s="911"/>
      <c r="L32" s="911"/>
      <c r="M32" s="911"/>
      <c r="N32" s="912"/>
      <c r="O32" s="199">
        <f>IFERROR(FIND("Error",#REF!),0)</f>
        <v>0</v>
      </c>
      <c r="R32" s="72"/>
      <c r="AJ32" s="199"/>
      <c r="AK32" s="199"/>
      <c r="AL32" s="199"/>
      <c r="AM32" s="199"/>
      <c r="AN32" s="199"/>
      <c r="AR32" s="199"/>
    </row>
    <row r="33" spans="2:44" s="99" customFormat="1" ht="15" customHeight="1">
      <c r="D33" s="149"/>
      <c r="E33" s="32"/>
      <c r="F33" s="32"/>
      <c r="G33" s="32"/>
      <c r="H33" s="293" t="s">
        <v>128</v>
      </c>
      <c r="I33" s="971" t="str">
        <f>IF(I31&lt;5000,"Lengths Acceptable ✓",IF(I31&gt;=5000,"Length Exceeds Length Appropriate for Small Sites Metric ▲"))</f>
        <v>Lengths Acceptable ✓</v>
      </c>
      <c r="J33" s="896"/>
      <c r="K33" s="896"/>
      <c r="L33" s="896"/>
      <c r="M33" s="896"/>
      <c r="N33" s="897"/>
      <c r="O33" s="199">
        <f>COUNTIF(L11:N30,"*"&amp;"error"&amp;"*")</f>
        <v>0</v>
      </c>
      <c r="R33" s="72"/>
      <c r="AJ33" s="199"/>
      <c r="AK33" s="199"/>
      <c r="AL33" s="199"/>
      <c r="AM33" s="199"/>
      <c r="AN33" s="199"/>
      <c r="AR33" s="199"/>
    </row>
    <row r="34" spans="2:44" s="99" customFormat="1">
      <c r="D34" s="149"/>
      <c r="E34" s="32"/>
      <c r="F34" s="32"/>
      <c r="G34" s="32"/>
      <c r="H34" s="32"/>
      <c r="I34" s="32"/>
      <c r="J34" s="32"/>
      <c r="K34" s="32"/>
      <c r="L34" s="32"/>
      <c r="M34" s="32"/>
      <c r="N34" s="32"/>
      <c r="O34" s="100"/>
      <c r="R34" s="655" t="s">
        <v>82</v>
      </c>
      <c r="AJ34" s="199"/>
      <c r="AK34" s="199"/>
      <c r="AL34" s="199"/>
      <c r="AM34" s="199"/>
      <c r="AN34" s="199"/>
      <c r="AR34" s="199"/>
    </row>
    <row r="35" spans="2:44" s="99" customFormat="1" ht="21" customHeight="1">
      <c r="B35" s="121" t="s">
        <v>131</v>
      </c>
      <c r="D35" s="148"/>
      <c r="E35" s="32"/>
      <c r="F35" s="32"/>
      <c r="G35" s="32"/>
      <c r="I35" s="100"/>
      <c r="R35" s="655"/>
      <c r="AJ35" s="199"/>
      <c r="AK35" s="199"/>
      <c r="AL35" s="199"/>
      <c r="AM35" s="199"/>
      <c r="AN35" s="199"/>
      <c r="AR35" s="199"/>
    </row>
    <row r="36" spans="2:44" s="99" customFormat="1" ht="15.75" customHeight="1">
      <c r="R36" s="655"/>
      <c r="AJ36" s="199"/>
      <c r="AK36" s="199"/>
      <c r="AL36" s="199"/>
      <c r="AM36" s="199"/>
      <c r="AN36" s="199"/>
      <c r="AR36" s="199"/>
    </row>
    <row r="37" spans="2:44" s="99" customFormat="1" ht="16.149999999999999" customHeight="1">
      <c r="B37" s="814" t="s">
        <v>76</v>
      </c>
      <c r="C37" s="772"/>
      <c r="D37" s="815"/>
      <c r="E37" s="771" t="s">
        <v>132</v>
      </c>
      <c r="F37" s="816"/>
      <c r="G37" s="773"/>
      <c r="H37" s="816" t="s">
        <v>133</v>
      </c>
      <c r="I37" s="721" t="s">
        <v>259</v>
      </c>
      <c r="J37" s="817"/>
      <c r="K37" s="817"/>
      <c r="L37" s="771" t="s">
        <v>284</v>
      </c>
      <c r="M37" s="772"/>
      <c r="N37" s="773"/>
      <c r="O37" s="819" t="s">
        <v>95</v>
      </c>
      <c r="P37" s="773"/>
      <c r="R37" s="655"/>
      <c r="T37" s="960" t="s">
        <v>96</v>
      </c>
      <c r="U37" s="961"/>
      <c r="V37" s="962"/>
      <c r="W37" s="963" t="s">
        <v>97</v>
      </c>
      <c r="X37" s="964"/>
      <c r="Y37" s="803"/>
      <c r="Z37" s="803"/>
      <c r="AA37" s="803"/>
      <c r="AB37" s="963" t="s">
        <v>98</v>
      </c>
      <c r="AC37" s="965"/>
      <c r="AD37" s="964"/>
      <c r="AE37" s="966" t="s">
        <v>136</v>
      </c>
      <c r="AF37" s="967"/>
      <c r="AG37" s="966" t="s">
        <v>137</v>
      </c>
      <c r="AH37" s="967"/>
      <c r="AI37" s="968" t="s">
        <v>285</v>
      </c>
      <c r="AJ37" s="199"/>
      <c r="AK37" s="199"/>
      <c r="AL37" s="199"/>
      <c r="AM37" s="199"/>
      <c r="AN37" s="199"/>
      <c r="AR37" s="199"/>
    </row>
    <row r="38" spans="2:44" s="99" customFormat="1" ht="31.9" customHeight="1">
      <c r="B38" s="734"/>
      <c r="C38" s="54" t="s">
        <v>102</v>
      </c>
      <c r="D38" s="53" t="s">
        <v>138</v>
      </c>
      <c r="E38" s="146" t="s">
        <v>139</v>
      </c>
      <c r="F38" s="737" t="s">
        <v>140</v>
      </c>
      <c r="G38" s="738"/>
      <c r="H38" s="735"/>
      <c r="I38" s="723"/>
      <c r="J38" s="818"/>
      <c r="K38" s="818"/>
      <c r="L38" s="913"/>
      <c r="M38" s="914"/>
      <c r="N38" s="915"/>
      <c r="O38" s="55" t="s">
        <v>110</v>
      </c>
      <c r="P38" s="42" t="s">
        <v>111</v>
      </c>
      <c r="R38" s="655"/>
      <c r="T38" s="966" t="s">
        <v>112</v>
      </c>
      <c r="U38" s="970"/>
      <c r="V38" s="26" t="s">
        <v>113</v>
      </c>
      <c r="W38" s="31" t="s">
        <v>114</v>
      </c>
      <c r="X38" s="30" t="s">
        <v>113</v>
      </c>
      <c r="Y38" s="370"/>
      <c r="Z38" s="365"/>
      <c r="AA38" s="512"/>
      <c r="AB38" s="31" t="s">
        <v>98</v>
      </c>
      <c r="AC38" s="29" t="s">
        <v>98</v>
      </c>
      <c r="AD38" s="30" t="s">
        <v>115</v>
      </c>
      <c r="AE38" s="31" t="s">
        <v>141</v>
      </c>
      <c r="AF38" s="30" t="s">
        <v>142</v>
      </c>
      <c r="AG38" s="31" t="s">
        <v>143</v>
      </c>
      <c r="AH38" s="30" t="s">
        <v>144</v>
      </c>
      <c r="AI38" s="969"/>
      <c r="AJ38" s="199"/>
      <c r="AK38" s="199"/>
      <c r="AL38" s="199"/>
      <c r="AM38" s="199"/>
      <c r="AN38" s="199"/>
      <c r="AR38" s="199"/>
    </row>
    <row r="39" spans="2:44" s="99" customFormat="1" ht="15.6" customHeight="1">
      <c r="B39" s="291">
        <v>1</v>
      </c>
      <c r="C39" s="539" t="s">
        <v>283</v>
      </c>
      <c r="D39" s="41"/>
      <c r="E39" s="185" t="str">
        <f>IF(D39="","",VLOOKUP(D39,'10. Condition and Temporal'!$B$6:$D$103,3,FALSE))</f>
        <v/>
      </c>
      <c r="F39" s="806"/>
      <c r="G39" s="807"/>
      <c r="H39" s="40"/>
      <c r="I39" s="972"/>
      <c r="J39" s="973"/>
      <c r="K39" s="973"/>
      <c r="L39" s="952" t="str">
        <f>IF(D39="","",IFERROR(IF(I39="","",((I39/1000)*(V39*X39))*(AH39*AF39)*AD39*AI39),"This intervention is not permitted within the SSM ▲"))</f>
        <v/>
      </c>
      <c r="M39" s="933"/>
      <c r="N39" s="934"/>
      <c r="O39" s="246"/>
      <c r="P39" s="186"/>
      <c r="Q39" s="157"/>
      <c r="R39" s="655"/>
      <c r="T39" s="958" t="str">
        <f>IF(D39="","",VLOOKUP(D39,'9. All Habitats + Multipliers'!$C$4:$K$102,5,FALSE))</f>
        <v/>
      </c>
      <c r="U39" s="959"/>
      <c r="V39" s="363" t="str">
        <f>IF(T39="","",VLOOKUP(T39,'11. Lists'!$B$47:$D$49,2,FALSE))</f>
        <v/>
      </c>
      <c r="W39" s="22" t="str">
        <f>IF(F39="","",F39)</f>
        <v/>
      </c>
      <c r="X39" s="363" t="str">
        <f>IF(W39="","",VLOOKUP(W39,'11. Lists'!$F$47:$G$51,2,FALSE))</f>
        <v/>
      </c>
      <c r="Y39" s="371"/>
      <c r="Z39" s="349"/>
      <c r="AA39" s="494"/>
      <c r="AB39" s="161" t="str">
        <f>IF(H39="","",H39)</f>
        <v/>
      </c>
      <c r="AC39" s="163" t="str">
        <f>IF(AB39="","",VLOOKUP(AB39,'11. Lists'!$F$36:$H$38,2,FALSE))</f>
        <v/>
      </c>
      <c r="AD39" s="162" t="str">
        <f>IF(AB39="","",VLOOKUP(AB39,'11. Lists'!$F$36:$H$38,3,FALSE))</f>
        <v/>
      </c>
      <c r="AE39" s="22"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506" t="str">
        <f>IF(AE39="","",VLOOKUP(AE39,'11. Lists'!$I$47:$K$80,3,FALSE))</f>
        <v/>
      </c>
      <c r="AG39" s="22" t="str">
        <f>IF(D39="","",VLOOKUP(D39,'9. All Habitats + Multipliers'!$C$4:$K$102,7,FALSE))</f>
        <v/>
      </c>
      <c r="AH39" s="363" t="str">
        <f>IF(AG39="","",VLOOKUP(AG39,'11. Lists'!$J$35:$K$38,2,FALSE))</f>
        <v/>
      </c>
      <c r="AI39" s="513" t="str" cm="1">
        <f t="array" ref="AI39:AI58">IF($D$39:$D$58="Culvert","0.68","1")</f>
        <v>1</v>
      </c>
      <c r="AJ39" s="199"/>
      <c r="AK39" s="199"/>
      <c r="AL39" s="199"/>
      <c r="AM39" s="199"/>
      <c r="AN39" s="199"/>
      <c r="AR39" s="199"/>
    </row>
    <row r="40" spans="2:44" s="99" customFormat="1" ht="15.6" customHeight="1">
      <c r="B40" s="285">
        <v>2</v>
      </c>
      <c r="C40" s="540" t="s">
        <v>283</v>
      </c>
      <c r="D40" s="63"/>
      <c r="E40" s="156" t="str">
        <f>IF(D40="","",VLOOKUP(D40,'10. Condition and Temporal'!$B$6:$D$103,3,FALSE))</f>
        <v/>
      </c>
      <c r="F40" s="784"/>
      <c r="G40" s="785"/>
      <c r="H40" s="39"/>
      <c r="I40" s="786"/>
      <c r="J40" s="787"/>
      <c r="K40" s="787"/>
      <c r="L40" s="952" t="str">
        <f>IF(D40="","",IFERROR(IF(I40="","",((I40/1000)*(V40*X40))*(AH40*AF40)*AD40*AI40),"This intervention is not permitted within the SSM ▲"))</f>
        <v/>
      </c>
      <c r="M40" s="933"/>
      <c r="N40" s="934"/>
      <c r="O40" s="135"/>
      <c r="P40" s="87"/>
      <c r="Q40" s="157"/>
      <c r="R40" s="655"/>
      <c r="T40" s="791" t="str">
        <f>IF(D40="","",VLOOKUP(D40,'9. All Habitats + Multipliers'!$C$4:$K$102,5,FALSE))</f>
        <v/>
      </c>
      <c r="U40" s="792"/>
      <c r="V40" s="150" t="str">
        <f>IF(T40="","",VLOOKUP(T40,'11. Lists'!$B$47:$D$49,2,FALSE))</f>
        <v/>
      </c>
      <c r="W40" s="61" t="str">
        <f>IF(F40="","",F40)</f>
        <v/>
      </c>
      <c r="X40" s="150" t="str">
        <f>IF(W40="","",VLOOKUP(W40,'11. Lists'!$F$47:$G$51,2,FALSE))</f>
        <v/>
      </c>
      <c r="Y40" s="371"/>
      <c r="Z40" s="349"/>
      <c r="AA40" s="494"/>
      <c r="AB40" s="61" t="str">
        <f>IF(H40="","",H40)</f>
        <v/>
      </c>
      <c r="AC40" s="60" t="str">
        <f>IF(AB40="","",VLOOKUP(AB40,'11. Lists'!$F$36:$H$38,2,FALSE))</f>
        <v/>
      </c>
      <c r="AD40" s="150" t="str">
        <f>IF(AB40="","",VLOOKUP(AB40,'11. Lists'!$F$36:$H$38,3,FALSE))</f>
        <v/>
      </c>
      <c r="AE40" s="61"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58" t="str">
        <f>IF(AE40="","",VLOOKUP(AE40,'11. Lists'!$I$47:$K$80,3,FALSE))</f>
        <v/>
      </c>
      <c r="AG40" s="61" t="str">
        <f>IF(D40="","",VLOOKUP(D40,'9. All Habitats + Multipliers'!$C$4:$K$102,7,FALSE))</f>
        <v/>
      </c>
      <c r="AH40" s="150" t="str">
        <f>IF(AG40="","",VLOOKUP(AG40,'11. Lists'!$J$35:$K$38,2,FALSE))</f>
        <v/>
      </c>
      <c r="AI40" s="471" t="str">
        <v>1</v>
      </c>
      <c r="AJ40" s="199"/>
      <c r="AK40" s="199"/>
      <c r="AL40" s="199"/>
      <c r="AM40" s="199"/>
      <c r="AN40" s="199"/>
      <c r="AR40" s="199"/>
    </row>
    <row r="41" spans="2:44" s="99" customFormat="1" ht="15.6" customHeight="1">
      <c r="B41" s="285">
        <v>3</v>
      </c>
      <c r="C41" s="540" t="s">
        <v>283</v>
      </c>
      <c r="D41" s="63"/>
      <c r="E41" s="156" t="str">
        <f>IF(D41="","",VLOOKUP(D41,'10. Condition and Temporal'!$B$6:$D$103,3,FALSE))</f>
        <v/>
      </c>
      <c r="F41" s="784"/>
      <c r="G41" s="785"/>
      <c r="H41" s="39"/>
      <c r="I41" s="786"/>
      <c r="J41" s="787"/>
      <c r="K41" s="787"/>
      <c r="L41" s="952" t="str">
        <f>IF(D41="","",IFERROR(IF(I41="","",((I41/1000)*(V41*X41))*(AH41*AF41)*AD41*AI41),"This intervention is not permitted within the SSM ▲"))</f>
        <v/>
      </c>
      <c r="M41" s="933"/>
      <c r="N41" s="934"/>
      <c r="O41" s="135"/>
      <c r="P41" s="87"/>
      <c r="Q41" s="157"/>
      <c r="R41" s="655"/>
      <c r="T41" s="791" t="str">
        <f>IF(D41="","",VLOOKUP(D41,'9. All Habitats + Multipliers'!$C$4:$K$102,5,FALSE))</f>
        <v/>
      </c>
      <c r="U41" s="792"/>
      <c r="V41" s="150" t="str">
        <f>IF(T41="","",VLOOKUP(T41,'11. Lists'!$B$47:$D$49,2,FALSE))</f>
        <v/>
      </c>
      <c r="W41" s="61" t="str">
        <f>IF(F41="","",F41)</f>
        <v/>
      </c>
      <c r="X41" s="150" t="str">
        <f>IF(W41="","",VLOOKUP(W41,'11. Lists'!$F$47:$G$51,2,FALSE))</f>
        <v/>
      </c>
      <c r="Y41" s="371"/>
      <c r="Z41" s="349"/>
      <c r="AA41" s="494"/>
      <c r="AB41" s="61" t="str">
        <f>IF(H41="","",H41)</f>
        <v/>
      </c>
      <c r="AC41" s="60" t="str">
        <f>IF(AB41="","",VLOOKUP(AB41,'11. Lists'!$F$36:$H$38,2,FALSE))</f>
        <v/>
      </c>
      <c r="AD41" s="150" t="str">
        <f>IF(AB41="","",VLOOKUP(AB41,'11. Lists'!$F$36:$H$38,3,FALSE))</f>
        <v/>
      </c>
      <c r="AE41" s="61"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58" t="str">
        <f>IF(AE41="","",VLOOKUP(AE41,'11. Lists'!$I$47:$K$80,3,FALSE))</f>
        <v/>
      </c>
      <c r="AG41" s="61" t="str">
        <f>IF(D41="","",VLOOKUP(D41,'9. All Habitats + Multipliers'!$C$4:$K$102,7,FALSE))</f>
        <v/>
      </c>
      <c r="AH41" s="150" t="str">
        <f>IF(AG41="","",VLOOKUP(AG41,'11. Lists'!$J$35:$K$38,2,FALSE))</f>
        <v/>
      </c>
      <c r="AI41" s="471" t="str">
        <v>1</v>
      </c>
      <c r="AJ41" s="199"/>
      <c r="AK41" s="199"/>
      <c r="AL41" s="199"/>
      <c r="AM41" s="199"/>
      <c r="AN41" s="199"/>
      <c r="AR41" s="199"/>
    </row>
    <row r="42" spans="2:44" s="99" customFormat="1" ht="15.6" customHeight="1">
      <c r="B42" s="285">
        <v>4</v>
      </c>
      <c r="C42" s="540" t="s">
        <v>283</v>
      </c>
      <c r="D42" s="63"/>
      <c r="E42" s="156" t="str">
        <f>IF(D42="","",VLOOKUP(D42,'10. Condition and Temporal'!$B$6:$D$103,3,FALSE))</f>
        <v/>
      </c>
      <c r="F42" s="784"/>
      <c r="G42" s="785"/>
      <c r="H42" s="39"/>
      <c r="I42" s="786"/>
      <c r="J42" s="787"/>
      <c r="K42" s="787"/>
      <c r="L42" s="952" t="str">
        <f>IF(D42="","",IFERROR(IF(I42="","",((I42/1000)*(V42*X42))*(AH42*AF42)*AD42*AI42),"This intervention is not permitted within the SSM ▲"))</f>
        <v/>
      </c>
      <c r="M42" s="933"/>
      <c r="N42" s="934"/>
      <c r="O42" s="135"/>
      <c r="P42" s="87"/>
      <c r="Q42" s="157"/>
      <c r="R42" s="655"/>
      <c r="T42" s="791" t="str">
        <f>IF(D42="","",VLOOKUP(D42,'9. All Habitats + Multipliers'!$C$4:$K$102,5,FALSE))</f>
        <v/>
      </c>
      <c r="U42" s="792"/>
      <c r="V42" s="150" t="str">
        <f>IF(T42="","",VLOOKUP(T42,'11. Lists'!$B$47:$D$49,2,FALSE))</f>
        <v/>
      </c>
      <c r="W42" s="61" t="str">
        <f>IF(F42="","",F42)</f>
        <v/>
      </c>
      <c r="X42" s="150" t="str">
        <f>IF(W42="","",VLOOKUP(W42,'11. Lists'!$F$47:$G$51,2,FALSE))</f>
        <v/>
      </c>
      <c r="Y42" s="371"/>
      <c r="Z42" s="349"/>
      <c r="AA42" s="494"/>
      <c r="AB42" s="61" t="str">
        <f>IF(H42="","",H42)</f>
        <v/>
      </c>
      <c r="AC42" s="60" t="str">
        <f>IF(AB42="","",VLOOKUP(AB42,'11. Lists'!$F$36:$H$38,2,FALSE))</f>
        <v/>
      </c>
      <c r="AD42" s="150" t="str">
        <f>IF(AB42="","",VLOOKUP(AB42,'11. Lists'!$F$36:$H$38,3,FALSE))</f>
        <v/>
      </c>
      <c r="AE42" s="61"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58" t="str">
        <f>IF(AE42="","",VLOOKUP(AE42,'11. Lists'!$I$47:$K$80,3,FALSE))</f>
        <v/>
      </c>
      <c r="AG42" s="61" t="str">
        <f>IF(D42="","",VLOOKUP(D42,'9. All Habitats + Multipliers'!$C$4:$K$102,7,FALSE))</f>
        <v/>
      </c>
      <c r="AH42" s="150" t="str">
        <f>IF(AG42="","",VLOOKUP(AG42,'11. Lists'!$J$35:$K$38,2,FALSE))</f>
        <v/>
      </c>
      <c r="AI42" s="471" t="str">
        <v>1</v>
      </c>
      <c r="AJ42" s="199"/>
      <c r="AK42" s="199"/>
      <c r="AL42" s="199"/>
      <c r="AM42" s="199"/>
      <c r="AN42" s="199"/>
      <c r="AR42" s="199"/>
    </row>
    <row r="43" spans="2:44" s="99" customFormat="1" ht="15.6" customHeight="1">
      <c r="B43" s="285">
        <v>5</v>
      </c>
      <c r="C43" s="540" t="s">
        <v>283</v>
      </c>
      <c r="D43" s="63"/>
      <c r="E43" s="156" t="str">
        <f>IF(D43="","",VLOOKUP(D43,'10. Condition and Temporal'!$B$6:$D$103,3,FALSE))</f>
        <v/>
      </c>
      <c r="F43" s="784"/>
      <c r="G43" s="785"/>
      <c r="H43" s="39"/>
      <c r="I43" s="786"/>
      <c r="J43" s="787"/>
      <c r="K43" s="787"/>
      <c r="L43" s="952" t="str">
        <f>IF(D43="","",IFERROR(IF(I43="","",((I43/1000)*(V43*X43))*(AH43*AF43)*AD43*AI43),"This intervention is not permitted within the SSM ▲"))</f>
        <v/>
      </c>
      <c r="M43" s="933"/>
      <c r="N43" s="934"/>
      <c r="O43" s="135"/>
      <c r="P43" s="87"/>
      <c r="R43" s="655"/>
      <c r="T43" s="791" t="str">
        <f>IF(D43="","",VLOOKUP(D43,'9. All Habitats + Multipliers'!$C$4:$K$102,5,FALSE))</f>
        <v/>
      </c>
      <c r="U43" s="792"/>
      <c r="V43" s="150" t="str">
        <f>IF(T43="","",VLOOKUP(T43,'11. Lists'!$B$47:$D$49,2,FALSE))</f>
        <v/>
      </c>
      <c r="W43" s="61" t="str">
        <f>IF(F43="","",F43)</f>
        <v/>
      </c>
      <c r="X43" s="150" t="str">
        <f>IF(W43="","",VLOOKUP(W43,'11. Lists'!$F$47:$G$51,2,FALSE))</f>
        <v/>
      </c>
      <c r="Y43" s="371"/>
      <c r="Z43" s="349"/>
      <c r="AA43" s="494"/>
      <c r="AB43" s="61" t="str">
        <f>IF(H43="","",H43)</f>
        <v/>
      </c>
      <c r="AC43" s="60" t="str">
        <f>IF(AB43="","",VLOOKUP(AB43,'11. Lists'!$F$36:$H$38,2,FALSE))</f>
        <v/>
      </c>
      <c r="AD43" s="150" t="str">
        <f>IF(AB43="","",VLOOKUP(AB43,'11. Lists'!$F$36:$H$38,3,FALSE))</f>
        <v/>
      </c>
      <c r="AE43" s="61"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58" t="str">
        <f>IF(AE43="","",VLOOKUP(AE43,'11. Lists'!$I$47:$K$80,3,FALSE))</f>
        <v/>
      </c>
      <c r="AG43" s="61" t="str">
        <f>IF(D43="","",VLOOKUP(D43,'9. All Habitats + Multipliers'!$C$4:$K$102,7,FALSE))</f>
        <v/>
      </c>
      <c r="AH43" s="150" t="str">
        <f>IF(AG43="","",VLOOKUP(AG43,'11. Lists'!$J$35:$K$38,2,FALSE))</f>
        <v/>
      </c>
      <c r="AI43" s="471" t="str">
        <v>1</v>
      </c>
      <c r="AJ43" s="199"/>
      <c r="AK43" s="199"/>
      <c r="AL43" s="199"/>
      <c r="AM43" s="199"/>
      <c r="AN43" s="199"/>
      <c r="AR43" s="199"/>
    </row>
    <row r="44" spans="2:44" s="99" customFormat="1" ht="15.6" customHeight="1">
      <c r="B44" s="285">
        <v>6</v>
      </c>
      <c r="C44" s="540" t="s">
        <v>283</v>
      </c>
      <c r="D44" s="63"/>
      <c r="E44" s="156" t="str">
        <f>IF(D44="","",VLOOKUP(D44,'10. Condition and Temporal'!$B$6:$D$103,3,FALSE))</f>
        <v/>
      </c>
      <c r="F44" s="784"/>
      <c r="G44" s="785"/>
      <c r="H44" s="39"/>
      <c r="I44" s="786"/>
      <c r="J44" s="787"/>
      <c r="K44" s="787"/>
      <c r="L44" s="952" t="str">
        <f>IF(D44="","",IFERROR(IF(I44="","",((I44/1000)*(V44*X44))*(AH44*AF44)*AD44*AI44),"This intervention is not permitted within the SSM ▲"))</f>
        <v/>
      </c>
      <c r="M44" s="933"/>
      <c r="N44" s="934"/>
      <c r="O44" s="135"/>
      <c r="P44" s="87"/>
      <c r="R44" s="655"/>
      <c r="T44" s="791" t="str">
        <f>IF(D44="","",VLOOKUP(D44,'9. All Habitats + Multipliers'!$C$4:$K$102,5,FALSE))</f>
        <v/>
      </c>
      <c r="U44" s="792"/>
      <c r="V44" s="150" t="str">
        <f>IF(T44="","",VLOOKUP(T44,'11. Lists'!$B$47:$D$49,2,FALSE))</f>
        <v/>
      </c>
      <c r="W44" s="61" t="str">
        <f>IF(F44="","",F44)</f>
        <v/>
      </c>
      <c r="X44" s="150" t="str">
        <f>IF(W44="","",VLOOKUP(W44,'11. Lists'!$F$47:$G$51,2,FALSE))</f>
        <v/>
      </c>
      <c r="Y44" s="371"/>
      <c r="Z44" s="349"/>
      <c r="AA44" s="494"/>
      <c r="AB44" s="61" t="str">
        <f>IF(H44="","",H44)</f>
        <v/>
      </c>
      <c r="AC44" s="60" t="str">
        <f>IF(AB44="","",VLOOKUP(AB44,'11. Lists'!$F$36:$H$38,2,FALSE))</f>
        <v/>
      </c>
      <c r="AD44" s="150" t="str">
        <f>IF(AB44="","",VLOOKUP(AB44,'11. Lists'!$F$36:$H$38,3,FALSE))</f>
        <v/>
      </c>
      <c r="AE44" s="61"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58" t="str">
        <f>IF(AE44="","",VLOOKUP(AE44,'11. Lists'!$I$47:$K$80,3,FALSE))</f>
        <v/>
      </c>
      <c r="AG44" s="61" t="str">
        <f>IF(D44="","",VLOOKUP(D44,'9. All Habitats + Multipliers'!$C$4:$K$102,7,FALSE))</f>
        <v/>
      </c>
      <c r="AH44" s="150" t="str">
        <f>IF(AG44="","",VLOOKUP(AG44,'11. Lists'!$J$35:$K$38,2,FALSE))</f>
        <v/>
      </c>
      <c r="AI44" s="471" t="str">
        <v>1</v>
      </c>
      <c r="AJ44" s="199"/>
      <c r="AK44" s="199"/>
      <c r="AL44" s="199"/>
      <c r="AM44" s="199"/>
      <c r="AN44" s="199"/>
      <c r="AR44" s="199"/>
    </row>
    <row r="45" spans="2:44" s="99" customFormat="1" ht="15.6" customHeight="1">
      <c r="B45" s="285">
        <v>7</v>
      </c>
      <c r="C45" s="540" t="s">
        <v>283</v>
      </c>
      <c r="D45" s="63"/>
      <c r="E45" s="156" t="str">
        <f>IF(D45="","",VLOOKUP(D45,'10. Condition and Temporal'!$B$6:$D$103,3,FALSE))</f>
        <v/>
      </c>
      <c r="F45" s="784"/>
      <c r="G45" s="785"/>
      <c r="H45" s="39"/>
      <c r="I45" s="786"/>
      <c r="J45" s="787"/>
      <c r="K45" s="787"/>
      <c r="L45" s="952" t="str">
        <f>IF(D45="","",IFERROR(IF(I45="","",((I45/1000)*(V45*X45))*(AH45*AF45)*AD45*AI45),"This intervention is not permitted within the SSM ▲"))</f>
        <v/>
      </c>
      <c r="M45" s="933"/>
      <c r="N45" s="934"/>
      <c r="O45" s="135"/>
      <c r="P45" s="87"/>
      <c r="R45" s="655"/>
      <c r="T45" s="791" t="str">
        <f>IF(D45="","",VLOOKUP(D45,'9. All Habitats + Multipliers'!$C$4:$K$102,5,FALSE))</f>
        <v/>
      </c>
      <c r="U45" s="792"/>
      <c r="V45" s="150" t="str">
        <f>IF(T45="","",VLOOKUP(T45,'11. Lists'!$B$47:$D$49,2,FALSE))</f>
        <v/>
      </c>
      <c r="W45" s="61" t="str">
        <f>IF(F45="","",F45)</f>
        <v/>
      </c>
      <c r="X45" s="150" t="str">
        <f>IF(W45="","",VLOOKUP(W45,'11. Lists'!$F$47:$G$51,2,FALSE))</f>
        <v/>
      </c>
      <c r="Y45" s="371"/>
      <c r="Z45" s="349"/>
      <c r="AA45" s="494"/>
      <c r="AB45" s="61" t="str">
        <f>IF(H45="","",H45)</f>
        <v/>
      </c>
      <c r="AC45" s="60" t="str">
        <f>IF(AB45="","",VLOOKUP(AB45,'11. Lists'!$F$36:$H$38,2,FALSE))</f>
        <v/>
      </c>
      <c r="AD45" s="150" t="str">
        <f>IF(AB45="","",VLOOKUP(AB45,'11. Lists'!$F$36:$H$38,3,FALSE))</f>
        <v/>
      </c>
      <c r="AE45" s="61"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58" t="str">
        <f>IF(AE45="","",VLOOKUP(AE45,'11. Lists'!$I$47:$K$80,3,FALSE))</f>
        <v/>
      </c>
      <c r="AG45" s="61" t="str">
        <f>IF(D45="","",VLOOKUP(D45,'9. All Habitats + Multipliers'!$C$4:$K$102,7,FALSE))</f>
        <v/>
      </c>
      <c r="AH45" s="150" t="str">
        <f>IF(AG45="","",VLOOKUP(AG45,'11. Lists'!$J$35:$K$38,2,FALSE))</f>
        <v/>
      </c>
      <c r="AI45" s="471" t="str">
        <v>1</v>
      </c>
      <c r="AJ45" s="199"/>
      <c r="AK45" s="199"/>
      <c r="AL45" s="199"/>
      <c r="AM45" s="199"/>
      <c r="AN45" s="199"/>
      <c r="AR45" s="199"/>
    </row>
    <row r="46" spans="2:44" s="99" customFormat="1" ht="15.6" customHeight="1">
      <c r="B46" s="285">
        <v>8</v>
      </c>
      <c r="C46" s="540" t="s">
        <v>283</v>
      </c>
      <c r="D46" s="63"/>
      <c r="E46" s="156" t="str">
        <f>IF(D46="","",VLOOKUP(D46,'10. Condition and Temporal'!$B$6:$D$103,3,FALSE))</f>
        <v/>
      </c>
      <c r="F46" s="784"/>
      <c r="G46" s="785"/>
      <c r="H46" s="39"/>
      <c r="I46" s="786"/>
      <c r="J46" s="787"/>
      <c r="K46" s="787"/>
      <c r="L46" s="952" t="str">
        <f>IF(D46="","",IFERROR(IF(I46="","",((I46/1000)*(V46*X46))*(AH46*AF46)*AD46*AI46),"This intervention is not permitted within the SSM ▲"))</f>
        <v/>
      </c>
      <c r="M46" s="933"/>
      <c r="N46" s="934"/>
      <c r="O46" s="135"/>
      <c r="P46" s="87"/>
      <c r="R46" s="655"/>
      <c r="T46" s="791" t="str">
        <f>IF(D46="","",VLOOKUP(D46,'9. All Habitats + Multipliers'!$C$4:$K$102,5,FALSE))</f>
        <v/>
      </c>
      <c r="U46" s="792"/>
      <c r="V46" s="150" t="str">
        <f>IF(T46="","",VLOOKUP(T46,'11. Lists'!$B$47:$D$49,2,FALSE))</f>
        <v/>
      </c>
      <c r="W46" s="61" t="str">
        <f>IF(F46="","",F46)</f>
        <v/>
      </c>
      <c r="X46" s="150" t="str">
        <f>IF(W46="","",VLOOKUP(W46,'11. Lists'!$F$47:$G$51,2,FALSE))</f>
        <v/>
      </c>
      <c r="Y46" s="371"/>
      <c r="Z46" s="349"/>
      <c r="AA46" s="494"/>
      <c r="AB46" s="61" t="str">
        <f>IF(H46="","",H46)</f>
        <v/>
      </c>
      <c r="AC46" s="60" t="str">
        <f>IF(AB46="","",VLOOKUP(AB46,'11. Lists'!$F$36:$H$38,2,FALSE))</f>
        <v/>
      </c>
      <c r="AD46" s="150" t="str">
        <f>IF(AB46="","",VLOOKUP(AB46,'11. Lists'!$F$36:$H$38,3,FALSE))</f>
        <v/>
      </c>
      <c r="AE46" s="61"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58" t="str">
        <f>IF(AE46="","",VLOOKUP(AE46,'11. Lists'!$I$47:$K$80,3,FALSE))</f>
        <v/>
      </c>
      <c r="AG46" s="61" t="str">
        <f>IF(D46="","",VLOOKUP(D46,'9. All Habitats + Multipliers'!$C$4:$K$102,7,FALSE))</f>
        <v/>
      </c>
      <c r="AH46" s="150" t="str">
        <f>IF(AG46="","",VLOOKUP(AG46,'11. Lists'!$J$35:$K$38,2,FALSE))</f>
        <v/>
      </c>
      <c r="AI46" s="471" t="str">
        <v>1</v>
      </c>
      <c r="AJ46" s="199"/>
      <c r="AK46" s="199"/>
      <c r="AL46" s="199"/>
      <c r="AM46" s="199"/>
      <c r="AN46" s="199"/>
      <c r="AR46" s="199"/>
    </row>
    <row r="47" spans="2:44" s="99" customFormat="1" ht="15.6" customHeight="1">
      <c r="B47" s="285">
        <v>9</v>
      </c>
      <c r="C47" s="540" t="s">
        <v>283</v>
      </c>
      <c r="D47" s="63"/>
      <c r="E47" s="156" t="str">
        <f>IF(D47="","",VLOOKUP(D47,'10. Condition and Temporal'!$B$6:$D$103,3,FALSE))</f>
        <v/>
      </c>
      <c r="F47" s="784"/>
      <c r="G47" s="785"/>
      <c r="H47" s="39"/>
      <c r="I47" s="786"/>
      <c r="J47" s="787"/>
      <c r="K47" s="787"/>
      <c r="L47" s="952" t="str">
        <f>IF(D47="","",IFERROR(IF(I47="","",((I47/1000)*(V47*X47))*(AH47*AF47)*AD47*AI47),"This intervention is not permitted within the SSM ▲"))</f>
        <v/>
      </c>
      <c r="M47" s="933"/>
      <c r="N47" s="934"/>
      <c r="O47" s="135"/>
      <c r="P47" s="87"/>
      <c r="R47" s="655"/>
      <c r="T47" s="791" t="str">
        <f>IF(D47="","",VLOOKUP(D47,'9. All Habitats + Multipliers'!$C$4:$K$102,5,FALSE))</f>
        <v/>
      </c>
      <c r="U47" s="792"/>
      <c r="V47" s="150" t="str">
        <f>IF(T47="","",VLOOKUP(T47,'11. Lists'!$B$47:$D$49,2,FALSE))</f>
        <v/>
      </c>
      <c r="W47" s="61" t="str">
        <f>IF(F47="","",F47)</f>
        <v/>
      </c>
      <c r="X47" s="150" t="str">
        <f>IF(W47="","",VLOOKUP(W47,'11. Lists'!$F$47:$G$51,2,FALSE))</f>
        <v/>
      </c>
      <c r="Y47" s="371"/>
      <c r="Z47" s="349"/>
      <c r="AA47" s="494"/>
      <c r="AB47" s="61" t="str">
        <f>IF(H47="","",H47)</f>
        <v/>
      </c>
      <c r="AC47" s="60" t="str">
        <f>IF(AB47="","",VLOOKUP(AB47,'11. Lists'!$F$36:$H$38,2,FALSE))</f>
        <v/>
      </c>
      <c r="AD47" s="150" t="str">
        <f>IF(AB47="","",VLOOKUP(AB47,'11. Lists'!$F$36:$H$38,3,FALSE))</f>
        <v/>
      </c>
      <c r="AE47" s="61"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58" t="str">
        <f>IF(AE47="","",VLOOKUP(AE47,'11. Lists'!$I$47:$K$80,3,FALSE))</f>
        <v/>
      </c>
      <c r="AG47" s="61" t="str">
        <f>IF(D47="","",VLOOKUP(D47,'9. All Habitats + Multipliers'!$C$4:$K$102,7,FALSE))</f>
        <v/>
      </c>
      <c r="AH47" s="150" t="str">
        <f>IF(AG47="","",VLOOKUP(AG47,'11. Lists'!$J$35:$K$38,2,FALSE))</f>
        <v/>
      </c>
      <c r="AI47" s="471" t="str">
        <v>1</v>
      </c>
      <c r="AJ47" s="199"/>
      <c r="AK47" s="199"/>
      <c r="AL47" s="199"/>
      <c r="AM47" s="199"/>
      <c r="AN47" s="199"/>
      <c r="AR47" s="199"/>
    </row>
    <row r="48" spans="2:44" s="99" customFormat="1" ht="15.6" customHeight="1">
      <c r="B48" s="285">
        <v>10</v>
      </c>
      <c r="C48" s="540" t="s">
        <v>283</v>
      </c>
      <c r="D48" s="63"/>
      <c r="E48" s="156" t="str">
        <f>IF(D48="","",VLOOKUP(D48,'10. Condition and Temporal'!$B$6:$D$103,3,FALSE))</f>
        <v/>
      </c>
      <c r="F48" s="784"/>
      <c r="G48" s="785"/>
      <c r="H48" s="39"/>
      <c r="I48" s="786"/>
      <c r="J48" s="787"/>
      <c r="K48" s="787"/>
      <c r="L48" s="952" t="str">
        <f>IF(D48="","",IFERROR(IF(I48="","",((I48/1000)*(V48*X48))*(AH48*AF48)*AD48*AI48),"This intervention is not permitted within the SSM ▲"))</f>
        <v/>
      </c>
      <c r="M48" s="933"/>
      <c r="N48" s="934"/>
      <c r="O48" s="135"/>
      <c r="P48" s="87"/>
      <c r="R48" s="655"/>
      <c r="T48" s="791" t="str">
        <f>IF(D48="","",VLOOKUP(D48,'9. All Habitats + Multipliers'!$C$4:$K$102,5,FALSE))</f>
        <v/>
      </c>
      <c r="U48" s="792"/>
      <c r="V48" s="150" t="str">
        <f>IF(T48="","",VLOOKUP(T48,'11. Lists'!$B$47:$D$49,2,FALSE))</f>
        <v/>
      </c>
      <c r="W48" s="61" t="str">
        <f>IF(F48="","",F48)</f>
        <v/>
      </c>
      <c r="X48" s="150" t="str">
        <f>IF(W48="","",VLOOKUP(W48,'11. Lists'!$F$47:$G$51,2,FALSE))</f>
        <v/>
      </c>
      <c r="Y48" s="371"/>
      <c r="Z48" s="349"/>
      <c r="AA48" s="494"/>
      <c r="AB48" s="61" t="str">
        <f>IF(H48="","",H48)</f>
        <v/>
      </c>
      <c r="AC48" s="60" t="str">
        <f>IF(AB48="","",VLOOKUP(AB48,'11. Lists'!$F$36:$H$38,2,FALSE))</f>
        <v/>
      </c>
      <c r="AD48" s="150" t="str">
        <f>IF(AB48="","",VLOOKUP(AB48,'11. Lists'!$F$36:$H$38,3,FALSE))</f>
        <v/>
      </c>
      <c r="AE48" s="61"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58" t="str">
        <f>IF(AE48="","",VLOOKUP(AE48,'11. Lists'!$I$47:$K$80,3,FALSE))</f>
        <v/>
      </c>
      <c r="AG48" s="61" t="str">
        <f>IF(D48="","",VLOOKUP(D48,'9. All Habitats + Multipliers'!$C$4:$K$102,7,FALSE))</f>
        <v/>
      </c>
      <c r="AH48" s="150" t="str">
        <f>IF(AG48="","",VLOOKUP(AG48,'11. Lists'!$J$35:$K$38,2,FALSE))</f>
        <v/>
      </c>
      <c r="AI48" s="471" t="str">
        <v>1</v>
      </c>
      <c r="AJ48" s="199"/>
      <c r="AK48" s="199"/>
      <c r="AL48" s="199"/>
      <c r="AM48" s="199"/>
      <c r="AN48" s="199"/>
      <c r="AR48" s="199"/>
    </row>
    <row r="49" spans="1:73" s="99" customFormat="1" ht="15.6" customHeight="1">
      <c r="B49" s="285">
        <v>11</v>
      </c>
      <c r="C49" s="540" t="s">
        <v>283</v>
      </c>
      <c r="D49" s="63"/>
      <c r="E49" s="156" t="str">
        <f>IF(D49="","",VLOOKUP(D49,'10. Condition and Temporal'!$B$6:$D$103,3,FALSE))</f>
        <v/>
      </c>
      <c r="F49" s="784"/>
      <c r="G49" s="785"/>
      <c r="H49" s="39"/>
      <c r="I49" s="786"/>
      <c r="J49" s="787"/>
      <c r="K49" s="787"/>
      <c r="L49" s="952" t="str">
        <f>IF(D49="","",IFERROR(IF(I49="","",((I49/1000)*(V49*X49))*(AH49*AF49)*AD49*AI49),"This intervention is not permitted within the SSM ▲"))</f>
        <v/>
      </c>
      <c r="M49" s="933"/>
      <c r="N49" s="934"/>
      <c r="O49" s="135"/>
      <c r="P49" s="87"/>
      <c r="R49" s="655"/>
      <c r="T49" s="791" t="str">
        <f>IF(D49="","",VLOOKUP(D49,'9. All Habitats + Multipliers'!$C$4:$K$102,5,FALSE))</f>
        <v/>
      </c>
      <c r="U49" s="792"/>
      <c r="V49" s="150" t="str">
        <f>IF(T49="","",VLOOKUP(T49,'11. Lists'!$B$47:$D$49,2,FALSE))</f>
        <v/>
      </c>
      <c r="W49" s="61" t="str">
        <f>IF(F49="","",F49)</f>
        <v/>
      </c>
      <c r="X49" s="150" t="str">
        <f>IF(W49="","",VLOOKUP(W49,'11. Lists'!$F$47:$G$51,2,FALSE))</f>
        <v/>
      </c>
      <c r="Y49" s="371"/>
      <c r="Z49" s="349"/>
      <c r="AA49" s="494"/>
      <c r="AB49" s="61" t="str">
        <f>IF(H49="","",H49)</f>
        <v/>
      </c>
      <c r="AC49" s="60" t="str">
        <f>IF(AB49="","",VLOOKUP(AB49,'11. Lists'!$F$36:$H$38,2,FALSE))</f>
        <v/>
      </c>
      <c r="AD49" s="150" t="str">
        <f>IF(AB49="","",VLOOKUP(AB49,'11. Lists'!$F$36:$H$38,3,FALSE))</f>
        <v/>
      </c>
      <c r="AE49" s="61"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58" t="str">
        <f>IF(AE49="","",VLOOKUP(AE49,'11. Lists'!$I$47:$K$80,3,FALSE))</f>
        <v/>
      </c>
      <c r="AG49" s="61" t="str">
        <f>IF(D49="","",VLOOKUP(D49,'9. All Habitats + Multipliers'!$C$4:$K$102,7,FALSE))</f>
        <v/>
      </c>
      <c r="AH49" s="150" t="str">
        <f>IF(AG49="","",VLOOKUP(AG49,'11. Lists'!$J$35:$K$38,2,FALSE))</f>
        <v/>
      </c>
      <c r="AI49" s="471" t="str">
        <v>1</v>
      </c>
      <c r="AJ49" s="199"/>
      <c r="AK49" s="199"/>
      <c r="AL49" s="199"/>
      <c r="AM49" s="199"/>
      <c r="AN49" s="199"/>
      <c r="AR49" s="199"/>
    </row>
    <row r="50" spans="1:73" s="99" customFormat="1" ht="15.6" customHeight="1">
      <c r="B50" s="285">
        <v>12</v>
      </c>
      <c r="C50" s="540" t="s">
        <v>283</v>
      </c>
      <c r="D50" s="63"/>
      <c r="E50" s="156" t="str">
        <f>IF(D50="","",VLOOKUP(D50,'10. Condition and Temporal'!$B$6:$D$103,3,FALSE))</f>
        <v/>
      </c>
      <c r="F50" s="784"/>
      <c r="G50" s="785"/>
      <c r="H50" s="39"/>
      <c r="I50" s="786"/>
      <c r="J50" s="787"/>
      <c r="K50" s="787"/>
      <c r="L50" s="952" t="str">
        <f>IF(D50="","",IFERROR(IF(I50="","",((I50/1000)*(V50*X50))*(AH50*AF50)*AD50*AI50),"This intervention is not permitted within the SSM ▲"))</f>
        <v/>
      </c>
      <c r="M50" s="933"/>
      <c r="N50" s="934"/>
      <c r="O50" s="135"/>
      <c r="P50" s="87"/>
      <c r="R50" s="655"/>
      <c r="T50" s="791" t="str">
        <f>IF(D50="","",VLOOKUP(D50,'9. All Habitats + Multipliers'!$C$4:$K$102,5,FALSE))</f>
        <v/>
      </c>
      <c r="U50" s="792"/>
      <c r="V50" s="150" t="str">
        <f>IF(T50="","",VLOOKUP(T50,'11. Lists'!$B$47:$D$49,2,FALSE))</f>
        <v/>
      </c>
      <c r="W50" s="61" t="str">
        <f>IF(F50="","",F50)</f>
        <v/>
      </c>
      <c r="X50" s="150" t="str">
        <f>IF(W50="","",VLOOKUP(W50,'11. Lists'!$F$47:$G$51,2,FALSE))</f>
        <v/>
      </c>
      <c r="Y50" s="371"/>
      <c r="Z50" s="349"/>
      <c r="AA50" s="494"/>
      <c r="AB50" s="61" t="str">
        <f>IF(H50="","",H50)</f>
        <v/>
      </c>
      <c r="AC50" s="60" t="str">
        <f>IF(AB50="","",VLOOKUP(AB50,'11. Lists'!$F$36:$H$38,2,FALSE))</f>
        <v/>
      </c>
      <c r="AD50" s="150" t="str">
        <f>IF(AB50="","",VLOOKUP(AB50,'11. Lists'!$F$36:$H$38,3,FALSE))</f>
        <v/>
      </c>
      <c r="AE50" s="61"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58" t="str">
        <f>IF(AE50="","",VLOOKUP(AE50,'11. Lists'!$I$47:$K$80,3,FALSE))</f>
        <v/>
      </c>
      <c r="AG50" s="61" t="str">
        <f>IF(D50="","",VLOOKUP(D50,'9. All Habitats + Multipliers'!$C$4:$K$102,7,FALSE))</f>
        <v/>
      </c>
      <c r="AH50" s="150" t="str">
        <f>IF(AG50="","",VLOOKUP(AG50,'11. Lists'!$J$35:$K$38,2,FALSE))</f>
        <v/>
      </c>
      <c r="AI50" s="471" t="str">
        <v>1</v>
      </c>
      <c r="AJ50" s="199"/>
      <c r="AK50" s="199"/>
      <c r="AL50" s="199"/>
      <c r="AM50" s="199"/>
      <c r="AN50" s="199"/>
    </row>
    <row r="51" spans="1:73" s="99" customFormat="1" ht="15.6" customHeight="1">
      <c r="B51" s="285">
        <v>13</v>
      </c>
      <c r="C51" s="540" t="s">
        <v>283</v>
      </c>
      <c r="D51" s="63"/>
      <c r="E51" s="156" t="str">
        <f>IF(D51="","",VLOOKUP(D51,'10. Condition and Temporal'!$B$6:$D$103,3,FALSE))</f>
        <v/>
      </c>
      <c r="F51" s="784"/>
      <c r="G51" s="785"/>
      <c r="H51" s="39"/>
      <c r="I51" s="786"/>
      <c r="J51" s="787"/>
      <c r="K51" s="787"/>
      <c r="L51" s="952" t="str">
        <f>IF(D51="","",IFERROR(IF(I51="","",((I51/1000)*(V51*X51))*(AH51*AF51)*AD51*AI51),"This intervention is not permitted within the SSM ▲"))</f>
        <v/>
      </c>
      <c r="M51" s="933"/>
      <c r="N51" s="934"/>
      <c r="O51" s="135"/>
      <c r="P51" s="87"/>
      <c r="R51" s="655"/>
      <c r="T51" s="791" t="str">
        <f>IF(D51="","",VLOOKUP(D51,'9. All Habitats + Multipliers'!$C$4:$K$102,5,FALSE))</f>
        <v/>
      </c>
      <c r="U51" s="792"/>
      <c r="V51" s="150" t="str">
        <f>IF(T51="","",VLOOKUP(T51,'11. Lists'!$B$47:$D$49,2,FALSE))</f>
        <v/>
      </c>
      <c r="W51" s="61" t="str">
        <f>IF(F51="","",F51)</f>
        <v/>
      </c>
      <c r="X51" s="150" t="str">
        <f>IF(W51="","",VLOOKUP(W51,'11. Lists'!$F$47:$G$51,2,FALSE))</f>
        <v/>
      </c>
      <c r="Y51" s="371"/>
      <c r="Z51" s="349"/>
      <c r="AA51" s="494"/>
      <c r="AB51" s="61" t="str">
        <f>IF(H51="","",H51)</f>
        <v/>
      </c>
      <c r="AC51" s="60" t="str">
        <f>IF(AB51="","",VLOOKUP(AB51,'11. Lists'!$F$36:$H$38,2,FALSE))</f>
        <v/>
      </c>
      <c r="AD51" s="150" t="str">
        <f>IF(AB51="","",VLOOKUP(AB51,'11. Lists'!$F$36:$H$38,3,FALSE))</f>
        <v/>
      </c>
      <c r="AE51" s="61"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58" t="str">
        <f>IF(AE51="","",VLOOKUP(AE51,'11. Lists'!$I$47:$K$80,3,FALSE))</f>
        <v/>
      </c>
      <c r="AG51" s="61" t="str">
        <f>IF(D51="","",VLOOKUP(D51,'9. All Habitats + Multipliers'!$C$4:$K$102,7,FALSE))</f>
        <v/>
      </c>
      <c r="AH51" s="150" t="str">
        <f>IF(AG51="","",VLOOKUP(AG51,'11. Lists'!$J$35:$K$38,2,FALSE))</f>
        <v/>
      </c>
      <c r="AI51" s="471" t="str">
        <v>1</v>
      </c>
      <c r="AJ51" s="199"/>
      <c r="AK51" s="199"/>
      <c r="AL51" s="199"/>
      <c r="AM51" s="199"/>
      <c r="AN51" s="199"/>
    </row>
    <row r="52" spans="1:73" s="99" customFormat="1" ht="15.6" customHeight="1">
      <c r="B52" s="285">
        <v>14</v>
      </c>
      <c r="C52" s="540" t="s">
        <v>283</v>
      </c>
      <c r="D52" s="63"/>
      <c r="E52" s="156" t="str">
        <f>IF(D52="","",VLOOKUP(D52,'10. Condition and Temporal'!$B$6:$D$103,3,FALSE))</f>
        <v/>
      </c>
      <c r="F52" s="784"/>
      <c r="G52" s="785"/>
      <c r="H52" s="39"/>
      <c r="I52" s="786"/>
      <c r="J52" s="787"/>
      <c r="K52" s="787"/>
      <c r="L52" s="952" t="str">
        <f>IF(D52="","",IFERROR(IF(I52="","",((I52/1000)*(V52*X52))*(AH52*AF52)*AD52*AI52),"This intervention is not permitted within the SSM ▲"))</f>
        <v/>
      </c>
      <c r="M52" s="933"/>
      <c r="N52" s="934"/>
      <c r="O52" s="135"/>
      <c r="P52" s="87"/>
      <c r="R52" s="655"/>
      <c r="T52" s="791" t="str">
        <f>IF(D52="","",VLOOKUP(D52,'9. All Habitats + Multipliers'!$C$4:$K$102,5,FALSE))</f>
        <v/>
      </c>
      <c r="U52" s="792"/>
      <c r="V52" s="150" t="str">
        <f>IF(T52="","",VLOOKUP(T52,'11. Lists'!$B$47:$D$49,2,FALSE))</f>
        <v/>
      </c>
      <c r="W52" s="61" t="str">
        <f>IF(F52="","",F52)</f>
        <v/>
      </c>
      <c r="X52" s="150" t="str">
        <f>IF(W52="","",VLOOKUP(W52,'11. Lists'!$F$47:$G$51,2,FALSE))</f>
        <v/>
      </c>
      <c r="Y52" s="371"/>
      <c r="Z52" s="349"/>
      <c r="AA52" s="494"/>
      <c r="AB52" s="61" t="str">
        <f>IF(H52="","",H52)</f>
        <v/>
      </c>
      <c r="AC52" s="60" t="str">
        <f>IF(AB52="","",VLOOKUP(AB52,'11. Lists'!$F$36:$H$38,2,FALSE))</f>
        <v/>
      </c>
      <c r="AD52" s="150" t="str">
        <f>IF(AB52="","",VLOOKUP(AB52,'11. Lists'!$F$36:$H$38,3,FALSE))</f>
        <v/>
      </c>
      <c r="AE52" s="61"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58" t="str">
        <f>IF(AE52="","",VLOOKUP(AE52,'11. Lists'!$I$47:$K$80,3,FALSE))</f>
        <v/>
      </c>
      <c r="AG52" s="61" t="str">
        <f>IF(D52="","",VLOOKUP(D52,'9. All Habitats + Multipliers'!$C$4:$K$102,7,FALSE))</f>
        <v/>
      </c>
      <c r="AH52" s="150" t="str">
        <f>IF(AG52="","",VLOOKUP(AG52,'11. Lists'!$J$35:$K$38,2,FALSE))</f>
        <v/>
      </c>
      <c r="AI52" s="471" t="str">
        <v>1</v>
      </c>
      <c r="AJ52" s="199"/>
      <c r="AK52" s="199"/>
      <c r="AL52" s="199"/>
      <c r="AM52" s="199"/>
      <c r="AN52" s="199"/>
    </row>
    <row r="53" spans="1:73" s="99" customFormat="1" ht="15.6" customHeight="1">
      <c r="B53" s="285">
        <v>15</v>
      </c>
      <c r="C53" s="540" t="s">
        <v>283</v>
      </c>
      <c r="D53" s="63"/>
      <c r="E53" s="156" t="str">
        <f>IF(D53="","",VLOOKUP(D53,'10. Condition and Temporal'!$B$6:$D$103,3,FALSE))</f>
        <v/>
      </c>
      <c r="F53" s="784"/>
      <c r="G53" s="785"/>
      <c r="H53" s="39"/>
      <c r="I53" s="786"/>
      <c r="J53" s="787"/>
      <c r="K53" s="787"/>
      <c r="L53" s="952" t="str">
        <f>IF(D53="","",IFERROR(IF(I53="","",((I53/1000)*(V53*X53))*(AH53*AF53)*AD53*AI53),"This intervention is not permitted within the SSM ▲"))</f>
        <v/>
      </c>
      <c r="M53" s="933"/>
      <c r="N53" s="934"/>
      <c r="O53" s="135"/>
      <c r="P53" s="87"/>
      <c r="R53" s="655"/>
      <c r="T53" s="791" t="str">
        <f>IF(D53="","",VLOOKUP(D53,'9. All Habitats + Multipliers'!$C$4:$K$102,5,FALSE))</f>
        <v/>
      </c>
      <c r="U53" s="792"/>
      <c r="V53" s="150" t="str">
        <f>IF(T53="","",VLOOKUP(T53,'11. Lists'!$B$47:$D$49,2,FALSE))</f>
        <v/>
      </c>
      <c r="W53" s="61" t="str">
        <f>IF(F53="","",F53)</f>
        <v/>
      </c>
      <c r="X53" s="150" t="str">
        <f>IF(W53="","",VLOOKUP(W53,'11. Lists'!$F$47:$G$51,2,FALSE))</f>
        <v/>
      </c>
      <c r="Y53" s="371"/>
      <c r="Z53" s="349"/>
      <c r="AA53" s="494"/>
      <c r="AB53" s="61" t="str">
        <f>IF(H53="","",H53)</f>
        <v/>
      </c>
      <c r="AC53" s="60" t="str">
        <f>IF(AB53="","",VLOOKUP(AB53,'11. Lists'!$F$36:$H$38,2,FALSE))</f>
        <v/>
      </c>
      <c r="AD53" s="150" t="str">
        <f>IF(AB53="","",VLOOKUP(AB53,'11. Lists'!$F$36:$H$38,3,FALSE))</f>
        <v/>
      </c>
      <c r="AE53" s="61"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58" t="str">
        <f>IF(AE53="","",VLOOKUP(AE53,'11. Lists'!$I$47:$K$80,3,FALSE))</f>
        <v/>
      </c>
      <c r="AG53" s="61" t="str">
        <f>IF(D53="","",VLOOKUP(D53,'9. All Habitats + Multipliers'!$C$4:$K$102,7,FALSE))</f>
        <v/>
      </c>
      <c r="AH53" s="150" t="str">
        <f>IF(AG53="","",VLOOKUP(AG53,'11. Lists'!$J$35:$K$38,2,FALSE))</f>
        <v/>
      </c>
      <c r="AI53" s="471" t="str">
        <v>1</v>
      </c>
      <c r="AJ53" s="199"/>
      <c r="AK53" s="199"/>
      <c r="AL53" s="199"/>
      <c r="AM53" s="199"/>
      <c r="AN53" s="199"/>
    </row>
    <row r="54" spans="1:73" s="99" customFormat="1" ht="15.6" customHeight="1">
      <c r="B54" s="285">
        <v>16</v>
      </c>
      <c r="C54" s="540" t="s">
        <v>283</v>
      </c>
      <c r="D54" s="63"/>
      <c r="E54" s="156" t="str">
        <f>IF(D54="","",VLOOKUP(D54,'10. Condition and Temporal'!$B$6:$D$103,3,FALSE))</f>
        <v/>
      </c>
      <c r="F54" s="784"/>
      <c r="G54" s="785"/>
      <c r="H54" s="39"/>
      <c r="I54" s="786"/>
      <c r="J54" s="787"/>
      <c r="K54" s="787"/>
      <c r="L54" s="952" t="str">
        <f>IF(D54="","",IFERROR(IF(I54="","",((I54/1000)*(V54*X54))*(AH54*AF54)*AD54*AI54),"This intervention is not permitted within the SSM ▲"))</f>
        <v/>
      </c>
      <c r="M54" s="933"/>
      <c r="N54" s="934"/>
      <c r="O54" s="135"/>
      <c r="P54" s="87"/>
      <c r="R54" s="655"/>
      <c r="T54" s="791" t="str">
        <f>IF(D54="","",VLOOKUP(D54,'9. All Habitats + Multipliers'!$C$4:$K$102,5,FALSE))</f>
        <v/>
      </c>
      <c r="U54" s="792"/>
      <c r="V54" s="150" t="str">
        <f>IF(T54="","",VLOOKUP(T54,'11. Lists'!$B$47:$D$49,2,FALSE))</f>
        <v/>
      </c>
      <c r="W54" s="61" t="str">
        <f>IF(F54="","",F54)</f>
        <v/>
      </c>
      <c r="X54" s="150" t="str">
        <f>IF(W54="","",VLOOKUP(W54,'11. Lists'!$F$47:$G$51,2,FALSE))</f>
        <v/>
      </c>
      <c r="Y54" s="371"/>
      <c r="Z54" s="349"/>
      <c r="AA54" s="494"/>
      <c r="AB54" s="61" t="str">
        <f>IF(H54="","",H54)</f>
        <v/>
      </c>
      <c r="AC54" s="60" t="str">
        <f>IF(AB54="","",VLOOKUP(AB54,'11. Lists'!$F$36:$H$38,2,FALSE))</f>
        <v/>
      </c>
      <c r="AD54" s="150" t="str">
        <f>IF(AB54="","",VLOOKUP(AB54,'11. Lists'!$F$36:$H$38,3,FALSE))</f>
        <v/>
      </c>
      <c r="AE54" s="61"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58" t="str">
        <f>IF(AE54="","",VLOOKUP(AE54,'11. Lists'!$I$47:$K$80,3,FALSE))</f>
        <v/>
      </c>
      <c r="AG54" s="61" t="str">
        <f>IF(D54="","",VLOOKUP(D54,'9. All Habitats + Multipliers'!$C$4:$K$102,7,FALSE))</f>
        <v/>
      </c>
      <c r="AH54" s="150" t="str">
        <f>IF(AG54="","",VLOOKUP(AG54,'11. Lists'!$J$35:$K$38,2,FALSE))</f>
        <v/>
      </c>
      <c r="AI54" s="471" t="str">
        <v>1</v>
      </c>
      <c r="AJ54" s="199"/>
      <c r="AK54" s="199"/>
      <c r="AL54" s="199"/>
      <c r="AM54" s="199"/>
      <c r="AN54" s="199"/>
    </row>
    <row r="55" spans="1:73" s="99" customFormat="1" ht="15.6" customHeight="1">
      <c r="B55" s="285">
        <v>17</v>
      </c>
      <c r="C55" s="540" t="s">
        <v>283</v>
      </c>
      <c r="D55" s="63"/>
      <c r="E55" s="156" t="str">
        <f>IF(D55="","",VLOOKUP(D55,'10. Condition and Temporal'!$B$6:$D$103,3,FALSE))</f>
        <v/>
      </c>
      <c r="F55" s="784"/>
      <c r="G55" s="785"/>
      <c r="H55" s="39"/>
      <c r="I55" s="786"/>
      <c r="J55" s="787"/>
      <c r="K55" s="787"/>
      <c r="L55" s="952" t="str">
        <f>IF(D55="","",IFERROR(IF(I55="","",((I55/1000)*(V55*X55))*(AH55*AF55)*AD55*AI55),"This intervention is not permitted within the SSM ▲"))</f>
        <v/>
      </c>
      <c r="M55" s="933"/>
      <c r="N55" s="934"/>
      <c r="O55" s="135"/>
      <c r="P55" s="87"/>
      <c r="R55" s="655"/>
      <c r="T55" s="791" t="str">
        <f>IF(D55="","",VLOOKUP(D55,'9. All Habitats + Multipliers'!$C$4:$K$102,5,FALSE))</f>
        <v/>
      </c>
      <c r="U55" s="792"/>
      <c r="V55" s="150" t="str">
        <f>IF(T55="","",VLOOKUP(T55,'11. Lists'!$B$47:$D$49,2,FALSE))</f>
        <v/>
      </c>
      <c r="W55" s="61" t="str">
        <f>IF(F55="","",F55)</f>
        <v/>
      </c>
      <c r="X55" s="150" t="str">
        <f>IF(W55="","",VLOOKUP(W55,'11. Lists'!$F$47:$G$51,2,FALSE))</f>
        <v/>
      </c>
      <c r="Y55" s="371"/>
      <c r="Z55" s="349"/>
      <c r="AA55" s="494"/>
      <c r="AB55" s="61" t="str">
        <f>IF(H55="","",H55)</f>
        <v/>
      </c>
      <c r="AC55" s="60" t="str">
        <f>IF(AB55="","",VLOOKUP(AB55,'11. Lists'!$F$36:$H$38,2,FALSE))</f>
        <v/>
      </c>
      <c r="AD55" s="150" t="str">
        <f>IF(AB55="","",VLOOKUP(AB55,'11. Lists'!$F$36:$H$38,3,FALSE))</f>
        <v/>
      </c>
      <c r="AE55" s="61"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58" t="str">
        <f>IF(AE55="","",VLOOKUP(AE55,'11. Lists'!$I$47:$K$80,3,FALSE))</f>
        <v/>
      </c>
      <c r="AG55" s="61" t="str">
        <f>IF(D55="","",VLOOKUP(D55,'9. All Habitats + Multipliers'!$C$4:$K$102,7,FALSE))</f>
        <v/>
      </c>
      <c r="AH55" s="150" t="str">
        <f>IF(AG55="","",VLOOKUP(AG55,'11. Lists'!$J$35:$K$38,2,FALSE))</f>
        <v/>
      </c>
      <c r="AI55" s="471" t="str">
        <v>1</v>
      </c>
      <c r="AJ55" s="199"/>
      <c r="AK55" s="199"/>
      <c r="AL55" s="199"/>
      <c r="AM55" s="199"/>
      <c r="AN55" s="199"/>
    </row>
    <row r="56" spans="1:73" s="99" customFormat="1" ht="15.6" customHeight="1">
      <c r="B56" s="285">
        <v>18</v>
      </c>
      <c r="C56" s="540" t="s">
        <v>283</v>
      </c>
      <c r="D56" s="63"/>
      <c r="E56" s="156" t="str">
        <f>IF(D56="","",VLOOKUP(D56,'10. Condition and Temporal'!$B$6:$D$103,3,FALSE))</f>
        <v/>
      </c>
      <c r="F56" s="784"/>
      <c r="G56" s="785"/>
      <c r="H56" s="39"/>
      <c r="I56" s="786"/>
      <c r="J56" s="787"/>
      <c r="K56" s="787"/>
      <c r="L56" s="952" t="str">
        <f>IF(D56="","",IFERROR(IF(I56="","",((I56/1000)*(V56*X56))*(AH56*AF56)*AD56*AI56),"This intervention is not permitted within the SSM ▲"))</f>
        <v/>
      </c>
      <c r="M56" s="933"/>
      <c r="N56" s="934"/>
      <c r="O56" s="135"/>
      <c r="P56" s="87"/>
      <c r="R56" s="655"/>
      <c r="T56" s="791" t="str">
        <f>IF(D56="","",VLOOKUP(D56,'9. All Habitats + Multipliers'!$C$4:$K$102,5,FALSE))</f>
        <v/>
      </c>
      <c r="U56" s="792"/>
      <c r="V56" s="150" t="str">
        <f>IF(T56="","",VLOOKUP(T56,'11. Lists'!$B$47:$D$49,2,FALSE))</f>
        <v/>
      </c>
      <c r="W56" s="61" t="str">
        <f>IF(F56="","",F56)</f>
        <v/>
      </c>
      <c r="X56" s="150" t="str">
        <f>IF(W56="","",VLOOKUP(W56,'11. Lists'!$F$47:$G$51,2,FALSE))</f>
        <v/>
      </c>
      <c r="Y56" s="371"/>
      <c r="Z56" s="349"/>
      <c r="AA56" s="494"/>
      <c r="AB56" s="61" t="str">
        <f>IF(H56="","",H56)</f>
        <v/>
      </c>
      <c r="AC56" s="60" t="str">
        <f>IF(AB56="","",VLOOKUP(AB56,'11. Lists'!$F$36:$H$38,2,FALSE))</f>
        <v/>
      </c>
      <c r="AD56" s="150" t="str">
        <f>IF(AB56="","",VLOOKUP(AB56,'11. Lists'!$F$36:$H$38,3,FALSE))</f>
        <v/>
      </c>
      <c r="AE56" s="61"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58" t="str">
        <f>IF(AE56="","",VLOOKUP(AE56,'11. Lists'!$I$47:$K$80,3,FALSE))</f>
        <v/>
      </c>
      <c r="AG56" s="61" t="str">
        <f>IF(D56="","",VLOOKUP(D56,'9. All Habitats + Multipliers'!$C$4:$K$102,7,FALSE))</f>
        <v/>
      </c>
      <c r="AH56" s="150" t="str">
        <f>IF(AG56="","",VLOOKUP(AG56,'11. Lists'!$J$35:$K$38,2,FALSE))</f>
        <v/>
      </c>
      <c r="AI56" s="471" t="str">
        <v>1</v>
      </c>
      <c r="AJ56" s="199"/>
      <c r="AK56" s="199"/>
      <c r="AL56" s="199"/>
      <c r="AM56" s="199"/>
      <c r="AN56" s="199"/>
    </row>
    <row r="57" spans="1:73" s="99" customFormat="1" ht="15.6" customHeight="1">
      <c r="B57" s="285">
        <v>19</v>
      </c>
      <c r="C57" s="540" t="s">
        <v>283</v>
      </c>
      <c r="D57" s="63"/>
      <c r="E57" s="156" t="str">
        <f>IF(D57="","",VLOOKUP(D57,'10. Condition and Temporal'!$B$6:$D$103,3,FALSE))</f>
        <v/>
      </c>
      <c r="F57" s="784"/>
      <c r="G57" s="785"/>
      <c r="H57" s="39"/>
      <c r="I57" s="786"/>
      <c r="J57" s="787"/>
      <c r="K57" s="787"/>
      <c r="L57" s="952" t="str">
        <f>IF(D57="","",IFERROR(IF(I57="","",((I57/1000)*(V57*X57))*(AH57*AF57)*AD57*AI57),"This intervention is not permitted within the SSM ▲"))</f>
        <v/>
      </c>
      <c r="M57" s="933"/>
      <c r="N57" s="934"/>
      <c r="O57" s="135"/>
      <c r="P57" s="87"/>
      <c r="R57" s="655"/>
      <c r="T57" s="791" t="str">
        <f>IF(D57="","",VLOOKUP(D57,'9. All Habitats + Multipliers'!$C$4:$K$102,5,FALSE))</f>
        <v/>
      </c>
      <c r="U57" s="792"/>
      <c r="V57" s="150" t="str">
        <f>IF(T57="","",VLOOKUP(T57,'11. Lists'!$B$47:$D$49,2,FALSE))</f>
        <v/>
      </c>
      <c r="W57" s="61" t="str">
        <f>IF(F57="","",F57)</f>
        <v/>
      </c>
      <c r="X57" s="150" t="str">
        <f>IF(W57="","",VLOOKUP(W57,'11. Lists'!$F$47:$G$51,2,FALSE))</f>
        <v/>
      </c>
      <c r="Y57" s="371"/>
      <c r="Z57" s="349"/>
      <c r="AA57" s="494"/>
      <c r="AB57" s="61" t="str">
        <f>IF(H57="","",H57)</f>
        <v/>
      </c>
      <c r="AC57" s="60" t="str">
        <f>IF(AB57="","",VLOOKUP(AB57,'11. Lists'!$F$36:$H$38,2,FALSE))</f>
        <v/>
      </c>
      <c r="AD57" s="150" t="str">
        <f>IF(AB57="","",VLOOKUP(AB57,'11. Lists'!$F$36:$H$38,3,FALSE))</f>
        <v/>
      </c>
      <c r="AE57" s="61"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58" t="str">
        <f>IF(AE57="","",VLOOKUP(AE57,'11. Lists'!$I$47:$K$80,3,FALSE))</f>
        <v/>
      </c>
      <c r="AG57" s="61" t="str">
        <f>IF(D57="","",VLOOKUP(D57,'9. All Habitats + Multipliers'!$C$4:$K$102,7,FALSE))</f>
        <v/>
      </c>
      <c r="AH57" s="150" t="str">
        <f>IF(AG57="","",VLOOKUP(AG57,'11. Lists'!$J$35:$K$38,2,FALSE))</f>
        <v/>
      </c>
      <c r="AI57" s="471" t="str">
        <v>1</v>
      </c>
      <c r="AJ57" s="199"/>
      <c r="AK57" s="199"/>
      <c r="AL57" s="199"/>
      <c r="AM57" s="199"/>
      <c r="AN57" s="199"/>
    </row>
    <row r="58" spans="1:73" s="99" customFormat="1" ht="16.149999999999999" customHeight="1">
      <c r="B58" s="286">
        <v>20</v>
      </c>
      <c r="C58" s="541" t="s">
        <v>283</v>
      </c>
      <c r="D58" s="181"/>
      <c r="E58" s="182" t="str">
        <f>IF(D58="","",VLOOKUP(D58,'10. Condition and Temporal'!$B$6:$D$103,3,FALSE))</f>
        <v/>
      </c>
      <c r="F58" s="953"/>
      <c r="G58" s="954"/>
      <c r="H58" s="183"/>
      <c r="I58" s="955"/>
      <c r="J58" s="956"/>
      <c r="K58" s="956"/>
      <c r="L58" s="957" t="str">
        <f>IF(D58="","",IFERROR(IF(I58="","",((I58/1000)*(V58*X58))*(AH58*AF58)*AD58*AI58),"This intervention is not permitted within the SSM ▲"))</f>
        <v/>
      </c>
      <c r="M58" s="937"/>
      <c r="N58" s="938"/>
      <c r="O58" s="136"/>
      <c r="P58" s="89"/>
      <c r="R58" s="655"/>
      <c r="T58" s="800" t="str">
        <f>IF(D58="","",VLOOKUP(D58,'9. All Habitats + Multipliers'!$C$4:$K$102,5,FALSE))</f>
        <v/>
      </c>
      <c r="U58" s="801"/>
      <c r="V58" s="153" t="str">
        <f>IF(T58="","",VLOOKUP(T58,'11. Lists'!$B$47:$D$49,2,FALSE))</f>
        <v/>
      </c>
      <c r="W58" s="57" t="str">
        <f>IF(F58="","",F58)</f>
        <v/>
      </c>
      <c r="X58" s="153" t="str">
        <f>IF(W58="","",VLOOKUP(W58,'11. Lists'!$F$47:$G$51,2,FALSE))</f>
        <v/>
      </c>
      <c r="Y58" s="371"/>
      <c r="Z58" s="349"/>
      <c r="AA58" s="494"/>
      <c r="AB58" s="57" t="str">
        <f>IF(H58="","",H58)</f>
        <v/>
      </c>
      <c r="AC58" s="56" t="str">
        <f>IF(AB58="","",VLOOKUP(AB58,'11. Lists'!$F$36:$H$38,2,FALSE))</f>
        <v/>
      </c>
      <c r="AD58" s="153" t="str">
        <f>IF(AB58="","",VLOOKUP(AB58,'11. Lists'!$F$36:$H$38,3,FALSE))</f>
        <v/>
      </c>
      <c r="AE58" s="57"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59" t="str">
        <f>IF(AE58="","",VLOOKUP(AE58,'11. Lists'!$I$47:$K$80,3,FALSE))</f>
        <v/>
      </c>
      <c r="AG58" s="57" t="str">
        <f>IF(D58="","",VLOOKUP(D58,'9. All Habitats + Multipliers'!$C$4:$K$102,7,FALSE))</f>
        <v/>
      </c>
      <c r="AH58" s="153" t="str">
        <f>IF(AG58="","",VLOOKUP(AG58,'11. Lists'!$J$35:$K$38,2,FALSE))</f>
        <v/>
      </c>
      <c r="AI58" s="472" t="str">
        <v>1</v>
      </c>
      <c r="AJ58" s="199"/>
      <c r="AK58" s="199"/>
      <c r="AL58" s="199"/>
      <c r="AM58" s="199"/>
      <c r="AN58" s="199"/>
    </row>
    <row r="59" spans="1:73" s="99" customFormat="1" ht="15" customHeight="1">
      <c r="H59" s="290" t="s">
        <v>258</v>
      </c>
      <c r="I59" s="760">
        <f>SUM(I39:K58)</f>
        <v>0</v>
      </c>
      <c r="J59" s="761"/>
      <c r="K59" s="762"/>
      <c r="L59" s="871">
        <f>SUM(L39:N58)</f>
        <v>0</v>
      </c>
      <c r="M59" s="895"/>
      <c r="N59" s="870"/>
      <c r="R59" s="655"/>
      <c r="AJ59" s="199"/>
      <c r="AK59" s="199"/>
      <c r="AL59" s="199"/>
      <c r="AM59" s="199"/>
      <c r="AN59" s="199"/>
    </row>
    <row r="60" spans="1:73" s="99" customFormat="1">
      <c r="R60" s="655"/>
      <c r="AJ60" s="199"/>
      <c r="AK60" s="199"/>
      <c r="AL60" s="199"/>
      <c r="AM60" s="199"/>
      <c r="AN60" s="199"/>
    </row>
    <row r="61" spans="1:73" s="99" customFormat="1">
      <c r="R61" s="655"/>
      <c r="AJ61" s="199"/>
      <c r="AK61" s="199"/>
      <c r="AL61" s="199"/>
      <c r="AM61" s="199"/>
      <c r="AN61" s="199"/>
      <c r="BA61" s="114" t="s">
        <v>149</v>
      </c>
    </row>
    <row r="62" spans="1:73" s="99" customFormat="1" ht="21" customHeight="1">
      <c r="B62" s="121" t="s">
        <v>150</v>
      </c>
      <c r="D62" s="148"/>
      <c r="H62" s="100"/>
      <c r="R62" s="655"/>
      <c r="AJ62" s="199"/>
      <c r="AK62" s="199"/>
      <c r="AL62" s="199"/>
      <c r="AM62" s="199"/>
      <c r="AN62" s="199"/>
      <c r="BA62" s="114" t="s">
        <v>151</v>
      </c>
    </row>
    <row r="63" spans="1:73" s="99" customFormat="1" ht="15" customHeight="1">
      <c r="A63" s="898"/>
      <c r="R63" s="655"/>
      <c r="AJ63" s="199"/>
      <c r="AK63" s="199"/>
      <c r="AL63" s="199"/>
      <c r="AM63" s="199"/>
      <c r="AN63" s="199"/>
      <c r="BA63" s="939" t="s">
        <v>164</v>
      </c>
    </row>
    <row r="64" spans="1:73" s="99" customFormat="1" ht="16.149999999999999" customHeight="1">
      <c r="A64" s="898"/>
      <c r="B64" s="767" t="s">
        <v>152</v>
      </c>
      <c r="C64" s="769" t="s">
        <v>153</v>
      </c>
      <c r="D64" s="770"/>
      <c r="E64" s="771" t="s">
        <v>286</v>
      </c>
      <c r="F64" s="772"/>
      <c r="G64" s="773"/>
      <c r="H64" s="754" t="s">
        <v>155</v>
      </c>
      <c r="I64" s="754" t="s">
        <v>287</v>
      </c>
      <c r="J64" s="756" t="s">
        <v>157</v>
      </c>
      <c r="K64" s="756"/>
      <c r="L64" s="769" t="s">
        <v>158</v>
      </c>
      <c r="M64" s="779" t="s">
        <v>159</v>
      </c>
      <c r="N64" s="770"/>
      <c r="O64" s="782" t="s">
        <v>95</v>
      </c>
      <c r="P64" s="783"/>
      <c r="R64" s="655"/>
      <c r="T64" s="751" t="s">
        <v>160</v>
      </c>
      <c r="U64" s="752"/>
      <c r="V64" s="752"/>
      <c r="W64" s="752"/>
      <c r="X64" s="752"/>
      <c r="Y64" s="752"/>
      <c r="Z64" s="752"/>
      <c r="AA64" s="752"/>
      <c r="AB64" s="752"/>
      <c r="AC64" s="752"/>
      <c r="AD64" s="753"/>
      <c r="AE64" s="754" t="s">
        <v>161</v>
      </c>
      <c r="AF64" s="751" t="s">
        <v>162</v>
      </c>
      <c r="AG64" s="752"/>
      <c r="AH64" s="752"/>
      <c r="AI64" s="752"/>
      <c r="AJ64" s="752"/>
      <c r="AK64" s="752"/>
      <c r="AL64" s="752"/>
      <c r="AM64" s="752"/>
      <c r="AN64" s="752"/>
      <c r="AO64" s="752"/>
      <c r="AP64" s="753"/>
      <c r="AQ64" s="774" t="s">
        <v>163</v>
      </c>
      <c r="AR64" s="751" t="s">
        <v>162</v>
      </c>
      <c r="AS64" s="752"/>
      <c r="AT64" s="752"/>
      <c r="AU64" s="752"/>
      <c r="AV64" s="753"/>
      <c r="BA64" s="939"/>
      <c r="BB64" s="531">
        <f>COUNTIF(BB66:BB85,"?*")</f>
        <v>0</v>
      </c>
      <c r="BC64" s="225">
        <f>COUNTIF(BC66:BC85,"?*")</f>
        <v>0</v>
      </c>
      <c r="BD64" s="225">
        <f>COUNTIF(BD66:BD85,"?*")</f>
        <v>0</v>
      </c>
      <c r="BE64" s="225">
        <f>COUNTIF(BE66:BE85,"?*")</f>
        <v>0</v>
      </c>
      <c r="BF64" s="225">
        <f>COUNTIF(BF66:BF85,"?*")</f>
        <v>0</v>
      </c>
      <c r="BG64" s="225">
        <f>COUNTIF(BG66:BG85,"?*")</f>
        <v>0</v>
      </c>
      <c r="BH64" s="225">
        <f>COUNTIF(BH66:BH85,"?*")</f>
        <v>0</v>
      </c>
      <c r="BI64" s="225">
        <f>COUNTIF(BI66:BI85,"?*")</f>
        <v>0</v>
      </c>
      <c r="BJ64" s="225">
        <f>COUNTIF(BJ66:BJ85,"?*")</f>
        <v>0</v>
      </c>
      <c r="BK64" s="225">
        <f>COUNTIF(BK66:BK85,"?*")</f>
        <v>0</v>
      </c>
      <c r="BL64" s="225">
        <f>COUNTIF(BL66:BL85,"?*")</f>
        <v>0</v>
      </c>
      <c r="BM64" s="225">
        <f>COUNTIF(BM66:BM85,"?*")</f>
        <v>0</v>
      </c>
      <c r="BN64" s="225">
        <f>COUNTIF(BN66:BN85,"?*")</f>
        <v>0</v>
      </c>
      <c r="BO64" s="225">
        <f>COUNTIF(BO66:BO85,"?*")</f>
        <v>0</v>
      </c>
      <c r="BP64" s="225">
        <f>COUNTIF(BP66:BP85,"?*")</f>
        <v>0</v>
      </c>
      <c r="BQ64" s="225">
        <f>COUNTIF(BQ66:BQ85,"?*")</f>
        <v>0</v>
      </c>
      <c r="BR64" s="225">
        <f>COUNTIF(BR66:BR85,"?*")</f>
        <v>0</v>
      </c>
      <c r="BS64" s="225">
        <f>COUNTIF(BS66:BS85,"?*")</f>
        <v>0</v>
      </c>
      <c r="BT64" s="225">
        <f>COUNTIF(BT66:BT85,"?*")</f>
        <v>0</v>
      </c>
      <c r="BU64" s="225">
        <f>COUNTIF(BU66:BU85,"?*")</f>
        <v>0</v>
      </c>
    </row>
    <row r="65" spans="1:76" s="99" customFormat="1" ht="45.6" customHeight="1">
      <c r="A65" s="898"/>
      <c r="B65" s="940"/>
      <c r="C65" s="418" t="s">
        <v>165</v>
      </c>
      <c r="D65" s="36" t="s">
        <v>166</v>
      </c>
      <c r="E65" s="38" t="s">
        <v>167</v>
      </c>
      <c r="F65" s="948" t="s">
        <v>168</v>
      </c>
      <c r="G65" s="949"/>
      <c r="H65" s="941"/>
      <c r="I65" s="941"/>
      <c r="J65" s="942"/>
      <c r="K65" s="942"/>
      <c r="L65" s="943"/>
      <c r="M65" s="944"/>
      <c r="N65" s="945"/>
      <c r="O65" s="389" t="s">
        <v>110</v>
      </c>
      <c r="P65" s="36" t="s">
        <v>111</v>
      </c>
      <c r="R65" s="655"/>
      <c r="T65" s="216" t="s">
        <v>169</v>
      </c>
      <c r="U65" s="31" t="s">
        <v>170</v>
      </c>
      <c r="V65" s="30" t="s">
        <v>171</v>
      </c>
      <c r="W65" s="27" t="s">
        <v>172</v>
      </c>
      <c r="X65" s="68" t="s">
        <v>173</v>
      </c>
      <c r="Y65" s="366"/>
      <c r="Z65" s="366"/>
      <c r="AA65" s="366"/>
      <c r="AB65" s="67" t="s">
        <v>174</v>
      </c>
      <c r="AC65" s="367" t="s">
        <v>175</v>
      </c>
      <c r="AD65" s="30" t="s">
        <v>176</v>
      </c>
      <c r="AE65" s="946"/>
      <c r="AF65" s="48" t="s">
        <v>169</v>
      </c>
      <c r="AG65" s="16" t="s">
        <v>112</v>
      </c>
      <c r="AH65" s="355" t="s">
        <v>113</v>
      </c>
      <c r="AI65" s="16" t="s">
        <v>114</v>
      </c>
      <c r="AJ65" s="457" t="s">
        <v>113</v>
      </c>
      <c r="AK65" s="458"/>
      <c r="AL65" s="458"/>
      <c r="AM65" s="458"/>
      <c r="AN65" s="457" t="s">
        <v>98</v>
      </c>
      <c r="AO65" s="356" t="s">
        <v>98</v>
      </c>
      <c r="AP65" s="355" t="s">
        <v>115</v>
      </c>
      <c r="AQ65" s="947"/>
      <c r="AR65" s="355" t="s">
        <v>177</v>
      </c>
      <c r="AS65" s="16" t="s">
        <v>178</v>
      </c>
      <c r="AT65" s="355" t="s">
        <v>179</v>
      </c>
      <c r="AU65" s="47" t="s">
        <v>180</v>
      </c>
      <c r="AV65" s="355" t="s">
        <v>181</v>
      </c>
      <c r="AW65" s="221" t="s">
        <v>182</v>
      </c>
      <c r="AX65" s="469" t="s">
        <v>183</v>
      </c>
      <c r="AY65" s="470" t="s">
        <v>288</v>
      </c>
      <c r="BA65" s="144" t="s">
        <v>185</v>
      </c>
      <c r="BB65" s="209">
        <v>1</v>
      </c>
      <c r="BC65" s="209">
        <v>2</v>
      </c>
      <c r="BD65" s="209">
        <v>3</v>
      </c>
      <c r="BE65" s="209">
        <v>4</v>
      </c>
      <c r="BF65" s="209">
        <v>5</v>
      </c>
      <c r="BG65" s="209">
        <v>6</v>
      </c>
      <c r="BH65" s="209">
        <v>7</v>
      </c>
      <c r="BI65" s="209">
        <v>8</v>
      </c>
      <c r="BJ65" s="209">
        <v>9</v>
      </c>
      <c r="BK65" s="209">
        <v>10</v>
      </c>
      <c r="BL65" s="209">
        <v>11</v>
      </c>
      <c r="BM65" s="209">
        <v>12</v>
      </c>
      <c r="BN65" s="209">
        <v>13</v>
      </c>
      <c r="BO65" s="209">
        <v>14</v>
      </c>
      <c r="BP65" s="209">
        <v>15</v>
      </c>
      <c r="BQ65" s="209">
        <v>16</v>
      </c>
      <c r="BR65" s="209">
        <v>17</v>
      </c>
      <c r="BS65" s="209">
        <v>18</v>
      </c>
      <c r="BT65" s="209">
        <v>19</v>
      </c>
      <c r="BU65" s="209">
        <v>20</v>
      </c>
      <c r="BV65" s="223" t="s">
        <v>186</v>
      </c>
      <c r="BW65" s="209" t="s">
        <v>187</v>
      </c>
      <c r="BX65" s="209" t="s">
        <v>188</v>
      </c>
    </row>
    <row r="66" spans="1:76" s="99" customFormat="1" ht="15.6" customHeight="1">
      <c r="B66" s="291">
        <v>1</v>
      </c>
      <c r="C66" s="408" t="str">
        <f>IF(D66="","",C11)</f>
        <v/>
      </c>
      <c r="D66" s="409" t="str">
        <f>IF(OR(K11="", K11=0),"",D11)</f>
        <v/>
      </c>
      <c r="E66" s="410" t="str">
        <f>IF(AX66="","",AX66)</f>
        <v/>
      </c>
      <c r="F66" s="882"/>
      <c r="G66" s="883"/>
      <c r="H66" s="411" t="str">
        <f>IF(D66="","",AB66)</f>
        <v/>
      </c>
      <c r="I66" s="416" t="str">
        <f>IF(OR(K11="",K11=0),"",K11)</f>
        <v/>
      </c>
      <c r="J66" s="950" t="str">
        <f>IF(F66="","",VLOOKUP(F66,'10. Condition and Temporal'!$B$6:$F$103,5,FALSE))</f>
        <v/>
      </c>
      <c r="K66" s="951"/>
      <c r="L66" s="35" t="str">
        <f>IFERROR(IF(D66="","",IF(AX66="Distinctiveness",(((((I66*AH66*AJ66*AY66)-(I66*V66*X66))*(AV66*AT66))+(I66*V66*X66))*AP66)/1000,((((I66*AH66*AJ66*AY66)-(I66*V66*X66*AJ11))*(AV66*AR66))+(I66*V66*X66*AJ11))*AP66/1000)),"This intervention is not permitted within the SSM ▲")</f>
        <v/>
      </c>
      <c r="M66" s="909" t="str">
        <f>IFERROR(IF(F66="","",L66-AD66), "Error ▲")</f>
        <v/>
      </c>
      <c r="N66" s="910"/>
      <c r="O66" s="246"/>
      <c r="P66" s="186"/>
      <c r="R66" s="655"/>
      <c r="T66" s="217" t="str">
        <f>IF(D66="","",K11)</f>
        <v/>
      </c>
      <c r="U66" s="161" t="str">
        <f>IF($D66="","",T11)</f>
        <v/>
      </c>
      <c r="V66" s="162" t="str">
        <f>IF($D66="","",V11)</f>
        <v/>
      </c>
      <c r="W66" s="160" t="str">
        <f>IF($D66="","",W11)</f>
        <v/>
      </c>
      <c r="X66" s="61" t="str">
        <f>IF($D66="","",X11)</f>
        <v/>
      </c>
      <c r="Y66" s="349"/>
      <c r="Z66" s="349"/>
      <c r="AA66" s="349"/>
      <c r="AB66" s="150" t="str">
        <f>IF($D66="","",AB11)</f>
        <v/>
      </c>
      <c r="AC66" s="164" t="str">
        <f>IF($D66="","",AD11)</f>
        <v/>
      </c>
      <c r="AD66" s="162" t="str">
        <f>IF(AC66="","",((T66*V66*X66)*AC66*AJ11)/1000)</f>
        <v/>
      </c>
      <c r="AE66" s="219" t="str">
        <f>IF(AD66="","",IF(AH66&lt;V66,"Not Acceptable","Acceptable"))</f>
        <v/>
      </c>
      <c r="AF66" s="160" t="str">
        <f>IF(D66="","",I66)</f>
        <v/>
      </c>
      <c r="AG66" s="161" t="str">
        <f>IF(D66="","",VLOOKUP(F66,'9. All Habitats + Multipliers'!$C$4:$K$102,5,FALSE))</f>
        <v/>
      </c>
      <c r="AH66" s="162" t="str">
        <f>IF(AG66="","",VLOOKUP(AG66,'11. Lists'!$B$47:$D$49,2,FALSE))</f>
        <v/>
      </c>
      <c r="AI66" s="161" t="str">
        <f>IF(D66="","",J66)</f>
        <v/>
      </c>
      <c r="AJ66" s="466" t="str">
        <f>IF(AI66="","",VLOOKUP(AI66,'11. Lists'!$F$47:$G$51,2,FALSE))</f>
        <v/>
      </c>
      <c r="AK66" s="467"/>
      <c r="AL66" s="467"/>
      <c r="AM66" s="467"/>
      <c r="AN66" s="466" t="str">
        <f>IF(H66="","",H66)</f>
        <v/>
      </c>
      <c r="AO66" s="163" t="str">
        <f>IF(AN66="","",VLOOKUP(AN66,'11. Lists'!$F$36:$H$38,2,FALSE))</f>
        <v/>
      </c>
      <c r="AP66" s="162" t="str">
        <f>IF(AN66="","",VLOOKUP(AN66,'11. Lists'!$F$36:$H$38,3,FALSE))</f>
        <v/>
      </c>
      <c r="AQ66" s="161" t="str">
        <f>IF(D66="","",IF(AX66="Distinctiveness","N/A",VLOOKUP(F66,'10. Condition and Temporal'!$B$6:$L$103,11,FALSE)))</f>
        <v/>
      </c>
      <c r="AR66" s="165" t="str">
        <f>IF(AQ66="","",IF(AQ66="N/A","1",VLOOKUP(AQ66,'11. Lists'!$I$47:$K$80,3,FALSE)))</f>
        <v/>
      </c>
      <c r="AS66" s="180" t="str">
        <f>IF(D66="","",IF(AX66="Condition","N/A",VLOOKUP(F66,'10. Condition and Temporal'!$B$6:$M$106,12,FALSE)))</f>
        <v/>
      </c>
      <c r="AT66" s="165" t="str">
        <f>IF(AS66="","",IF(AS66="N/A","1",VLOOKUP(AS66,'11. Lists'!$I$47:$K$80,3,FALSE)))</f>
        <v/>
      </c>
      <c r="AU66" s="164" t="str">
        <f>IF(D66="","",VLOOKUP(F66,'9. All Habitats + Multipliers'!$C$4:$K$102,8,FALSE))</f>
        <v/>
      </c>
      <c r="AV66" s="162" t="str">
        <f>IF(AU66="","",VLOOKUP(AU66,'11. Lists'!$J$35:$K$38,2,FALSE))</f>
        <v/>
      </c>
      <c r="AW66" s="161" t="str">
        <f>IF(D66="","",VLOOKUP(D66,'10. Condition and Temporal'!$B$6:$M$103,4,FALSE))</f>
        <v/>
      </c>
      <c r="AX66" s="451" t="str">
        <f>IF(F66="","",IF(D66=F66,"Condition","Distinctiveness"))</f>
        <v/>
      </c>
      <c r="AY66" s="471" t="str" cm="1">
        <f t="array" ref="AY66:AZ85">IF($F$66:$G$85="Culvert","0.68","1")</f>
        <v>1</v>
      </c>
      <c r="AZ66" s="468" t="str">
        <v>1</v>
      </c>
      <c r="BA66" s="61">
        <v>1</v>
      </c>
      <c r="BB66" s="60" t="str">
        <f>TRIM(MID(SUBSTITUTE($AW$66,$BA$62,REPT(" ",LEN($AW$66))),($BA66-1)*LEN($AW$66)+1,LEN($AW$66)))</f>
        <v/>
      </c>
      <c r="BC66" s="60" t="str">
        <f>TRIM(MID(SUBSTITUTE($AW$67,$BA$62,REPT(" ",LEN($AW$67))),($BA66-1)*LEN($AW$67)+1,LEN($AW$67)))</f>
        <v/>
      </c>
      <c r="BD66" s="60" t="str">
        <f>TRIM(MID(SUBSTITUTE($AW$68,$BA$62,REPT(" ",LEN($AW$68))),($BA66-1)*LEN($AW$68)+1,LEN($AW$68)))</f>
        <v/>
      </c>
      <c r="BE66" s="60" t="str">
        <f>TRIM(MID(SUBSTITUTE($AW$69,$BA$62,REPT(" ",LEN($AW$69))),($BA66-1)*LEN($AW$69)+1,LEN($AW$69)))</f>
        <v/>
      </c>
      <c r="BF66" s="60" t="str">
        <f>TRIM(MID(SUBSTITUTE($AW$70,$BA$62,REPT(" ",LEN($AW$70))),($BA66-1)*LEN($AW$70)+1,LEN($AW$70)))</f>
        <v/>
      </c>
      <c r="BG66" s="60" t="str">
        <f>TRIM(MID(SUBSTITUTE($AW$71,$BA$62,REPT(" ",LEN($AW$71))),($BA66-1)*LEN($AW$71)+1,LEN($AW$71)))</f>
        <v/>
      </c>
      <c r="BH66" s="60" t="str">
        <f>TRIM(MID(SUBSTITUTE($AW$72,$BA$62,REPT(" ",LEN($AW$72))),($BA66-1)*LEN($AW$72)+1,LEN($AW$72)))</f>
        <v/>
      </c>
      <c r="BI66" s="60" t="str">
        <f>TRIM(MID(SUBSTITUTE($AW$73,$BA$62,REPT(" ",LEN($AW$73))),($BA66-1)*LEN($AW$73)+1,LEN($AW$73)))</f>
        <v/>
      </c>
      <c r="BJ66" s="60" t="str">
        <f>TRIM(MID(SUBSTITUTE($AW$74,$BA$62,REPT(" ",LEN($AW$74))),($BA66-1)*LEN($AW$74)+1,LEN($AW$74)))</f>
        <v/>
      </c>
      <c r="BK66" s="60" t="str">
        <f>TRIM(MID(SUBSTITUTE($AW$75,$BA$62,REPT(" ",LEN($AW$75))),($BA66-1)*LEN($AW$75)+1,LEN($AW$75)))</f>
        <v/>
      </c>
      <c r="BL66" s="60" t="str">
        <f>TRIM(MID(SUBSTITUTE($AW$76,$BA$62,REPT(" ",LEN($AW$76))),($BA66-1)*LEN($AW$76)+1,LEN($AW$76)))</f>
        <v/>
      </c>
      <c r="BM66" s="60" t="str">
        <f>TRIM(MID(SUBSTITUTE($AW$77,$BA$62,REPT(" ",LEN($AW$77))),($BA66-1)*LEN($AW$77)+1,LEN($AW$77)))</f>
        <v/>
      </c>
      <c r="BN66" s="60" t="str">
        <f>TRIM(MID(SUBSTITUTE($AW$78,$BA$62,REPT(" ",LEN($AW$78))),($BA66-1)*LEN($AW$78)+1,LEN($AW$78)))</f>
        <v/>
      </c>
      <c r="BO66" s="60" t="str">
        <f>TRIM(MID(SUBSTITUTE($AW$79,$BA$62,REPT(" ",LEN($AW$79))),($BA66-1)*LEN($AW$79)+1,LEN($AW$79)))</f>
        <v/>
      </c>
      <c r="BP66" s="60" t="str">
        <f>TRIM(MID(SUBSTITUTE($AW$80,$BA$62,REPT(" ",LEN($AW$80))),($BA66-1)*LEN($AW$80)+1,LEN($AW$80)))</f>
        <v/>
      </c>
      <c r="BQ66" s="60" t="str">
        <f>TRIM(MID(SUBSTITUTE($AW$81,$BA$62,REPT(" ",LEN($AW$81))),($BA66-1)*LEN($AW$81)+1,LEN($AW$81)))</f>
        <v/>
      </c>
      <c r="BR66" s="60" t="str">
        <f>TRIM(MID(SUBSTITUTE($AW$82,$BA$62,REPT(" ",LEN($AW$82))),($BA66-1)*LEN($AW$82)+1,LEN($AW$82)))</f>
        <v/>
      </c>
      <c r="BS66" s="60" t="str">
        <f>TRIM(MID(SUBSTITUTE($AW$83,$BA$62,REPT(" ",LEN($AW$83))),($BA66-1)*LEN($AW$83)+1,LEN($AW$83)))</f>
        <v/>
      </c>
      <c r="BT66" s="60" t="str">
        <f>TRIM(MID(SUBSTITUTE($AW$84,$BA$62,REPT(" ",LEN($AW$84))),($BA66-1)*LEN($AW$84)+1,LEN($AW$84)))</f>
        <v/>
      </c>
      <c r="BU66" s="150" t="str">
        <f>TRIM(MID(SUBSTITUTE($AW$85,$BA$62,REPT(" ",LEN($AW$85))),($BA66-1)*LEN($AW$85)+1,LEN($AW$85)))</f>
        <v/>
      </c>
      <c r="BV66" s="224" t="str">
        <f>IF(BX66=0,"",CONCATENATE(BW66,"66:",BW66,BX66+65))</f>
        <v/>
      </c>
      <c r="BW66" s="60" t="s">
        <v>189</v>
      </c>
      <c r="BX66" s="60">
        <f>BB64</f>
        <v>0</v>
      </c>
    </row>
    <row r="67" spans="1:76" s="99" customFormat="1" ht="15.6" customHeight="1">
      <c r="B67" s="285">
        <v>2</v>
      </c>
      <c r="C67" s="166" t="str">
        <f>IF(D67="","",C12)</f>
        <v/>
      </c>
      <c r="D67" s="237" t="str">
        <f>IF(OR(K12="", K12=0),"",D12)</f>
        <v/>
      </c>
      <c r="E67" s="207" t="str">
        <f>IF(AX67="","",AX67)</f>
        <v/>
      </c>
      <c r="F67" s="739"/>
      <c r="G67" s="740"/>
      <c r="H67" s="204" t="str">
        <f>IF(D67="","",AB67)</f>
        <v/>
      </c>
      <c r="I67" s="330" t="str">
        <f>IF(OR(K12="",K12=0),"",K12)</f>
        <v/>
      </c>
      <c r="J67" s="931" t="str">
        <f>IF(F67="","",VLOOKUP(F67,'10. Condition and Temporal'!$B$6:$F$103,5,FALSE))</f>
        <v/>
      </c>
      <c r="K67" s="932"/>
      <c r="L67" s="25" t="str">
        <f>IFERROR(IF(D67="","",IF(AX67="Distinctiveness",(((((I67*AH67*AJ67*AY67)-(I67*V67*X67))*(AV67*AT67))+(I67*V67*X67))*AP67)/1000,((((I67*AH67*AJ67*AY67)-(I67*V67*X67*AJ12))*(AV67*AR67))+(I67*V67*X67*AJ12))*AP67/1000)),"This intervention is not permitted within the SSM ▲")</f>
        <v/>
      </c>
      <c r="M67" s="933" t="str">
        <f>IFERROR(IF(F67="","",L67-AD67), "Error ▲")</f>
        <v/>
      </c>
      <c r="N67" s="934"/>
      <c r="O67" s="135"/>
      <c r="P67" s="87"/>
      <c r="R67" s="655"/>
      <c r="T67" s="217" t="str">
        <f>IF(D67="","",K12)</f>
        <v/>
      </c>
      <c r="U67" s="161" t="str">
        <f>IF($D67="","",T12)</f>
        <v/>
      </c>
      <c r="V67" s="162" t="str">
        <f>IF($D67="","",V12)</f>
        <v/>
      </c>
      <c r="W67" s="160" t="str">
        <f>IF($D67="","",W12)</f>
        <v/>
      </c>
      <c r="X67" s="61" t="str">
        <f>IF($D67="","",X12)</f>
        <v/>
      </c>
      <c r="Y67" s="349"/>
      <c r="Z67" s="349"/>
      <c r="AA67" s="349"/>
      <c r="AB67" s="150" t="str">
        <f>IF($D67="","",AB12)</f>
        <v/>
      </c>
      <c r="AC67" s="164" t="str">
        <f>IF($D67="","",AD12)</f>
        <v/>
      </c>
      <c r="AD67" s="162" t="str">
        <f>IF(AC67="","",((T67*V67*X67)*AC67*AJ12)/1000)</f>
        <v/>
      </c>
      <c r="AE67" s="219" t="str">
        <f>IF(AD67="","",IF(AH67&lt;V67,"Not Acceptable","Acceptable"))</f>
        <v/>
      </c>
      <c r="AF67" s="160" t="str">
        <f>IF(D67="","",I67)</f>
        <v/>
      </c>
      <c r="AG67" s="161" t="str">
        <f>IF(D67="","",VLOOKUP(F67,'9. All Habitats + Multipliers'!$C$4:$K$102,5,FALSE))</f>
        <v/>
      </c>
      <c r="AH67" s="162" t="str">
        <f>IF(AG67="","",VLOOKUP(AG67,'11. Lists'!$B$47:$D$49,2,FALSE))</f>
        <v/>
      </c>
      <c r="AI67" s="161" t="str">
        <f>IF(D67="","",J67)</f>
        <v/>
      </c>
      <c r="AJ67" s="466" t="str">
        <f>IF(AI67="","",VLOOKUP(AI67,'11. Lists'!$F$47:$G$51,2,FALSE))</f>
        <v/>
      </c>
      <c r="AK67" s="467"/>
      <c r="AL67" s="467"/>
      <c r="AM67" s="467"/>
      <c r="AN67" s="466" t="str">
        <f>IF(H67="","",H67)</f>
        <v/>
      </c>
      <c r="AO67" s="163" t="str">
        <f>IF(AN67="","",VLOOKUP(AN67,'11. Lists'!$F$36:$H$38,2,FALSE))</f>
        <v/>
      </c>
      <c r="AP67" s="162" t="str">
        <f>IF(AN67="","",VLOOKUP(AN67,'11. Lists'!$F$36:$H$38,3,FALSE))</f>
        <v/>
      </c>
      <c r="AQ67" s="161" t="str">
        <f>IF(D67="","",IF(AX67="Distinctiveness","N/A",VLOOKUP(F67,'10. Condition and Temporal'!$B$6:$L$103,11,FALSE)))</f>
        <v/>
      </c>
      <c r="AR67" s="165" t="str">
        <f>IF(AQ67="","",IF(AQ67="N/A","1",VLOOKUP(AQ67,'11. Lists'!$I$47:$K$80,3,FALSE)))</f>
        <v/>
      </c>
      <c r="AS67" s="180" t="str">
        <f>IF(D67="","",IF(AX67="Condition","N/A",VLOOKUP(F67,'10. Condition and Temporal'!$B$6:$M$106,12,FALSE)))</f>
        <v/>
      </c>
      <c r="AT67" s="165" t="str">
        <f>IF(AS67="","",IF(AS67="N/A","1",VLOOKUP(AS67,'11. Lists'!$I$47:$K$80,3,FALSE)))</f>
        <v/>
      </c>
      <c r="AU67" s="164" t="str">
        <f>IF(D67="","",VLOOKUP(F67,'9. All Habitats + Multipliers'!$C$4:$K$102,8,FALSE))</f>
        <v/>
      </c>
      <c r="AV67" s="162" t="str">
        <f>IF(AU67="","",VLOOKUP(AU67,'11. Lists'!$J$35:$K$38,2,FALSE))</f>
        <v/>
      </c>
      <c r="AW67" s="161" t="str">
        <f>IF(D67="","",VLOOKUP(D67,'10. Condition and Temporal'!$B$6:$M$103,4,FALSE))</f>
        <v/>
      </c>
      <c r="AX67" s="451" t="str">
        <f>IF(F67="","",IF(D67=F67,"Condition","Distinctiveness"))</f>
        <v/>
      </c>
      <c r="AY67" s="471" t="str">
        <v>1</v>
      </c>
      <c r="AZ67" s="468" t="str">
        <v>1</v>
      </c>
      <c r="BA67" s="61">
        <v>2</v>
      </c>
      <c r="BB67" s="60" t="str">
        <f>TRIM(MID(SUBSTITUTE($AW$66,$BA$62,REPT(" ",LEN($AW$66))),($BA67-1)*LEN($AW$66)+1,LEN($AW$66)))</f>
        <v/>
      </c>
      <c r="BC67" s="60" t="str">
        <f>TRIM(MID(SUBSTITUTE($AW$67,$BA$62,REPT(" ",LEN($AW$67))),($BA67-1)*LEN($AW$67)+1,LEN($AW$67)))</f>
        <v/>
      </c>
      <c r="BD67" s="60" t="str">
        <f>TRIM(MID(SUBSTITUTE($AW$68,$BA$62,REPT(" ",LEN($AW$68))),($BA67-1)*LEN($AW$68)+1,LEN($AW$68)))</f>
        <v/>
      </c>
      <c r="BE67" s="60" t="str">
        <f>TRIM(MID(SUBSTITUTE($AW$69,$BA$62,REPT(" ",LEN($AW$69))),($BA67-1)*LEN($AW$69)+1,LEN($AW$69)))</f>
        <v/>
      </c>
      <c r="BF67" s="60" t="str">
        <f>TRIM(MID(SUBSTITUTE($AW$70,$BA$62,REPT(" ",LEN($AW$70))),($BA67-1)*LEN($AW$70)+1,LEN($AW$70)))</f>
        <v/>
      </c>
      <c r="BG67" s="60" t="str">
        <f>TRIM(MID(SUBSTITUTE($AW$71,$BA$62,REPT(" ",LEN($AW$71))),($BA67-1)*LEN($AW$71)+1,LEN($AW$71)))</f>
        <v/>
      </c>
      <c r="BH67" s="60" t="str">
        <f>TRIM(MID(SUBSTITUTE($AW$72,$BA$62,REPT(" ",LEN($AW$72))),($BA67-1)*LEN($AW$72)+1,LEN($AW$72)))</f>
        <v/>
      </c>
      <c r="BI67" s="60" t="str">
        <f>TRIM(MID(SUBSTITUTE($AW$73,$BA$62,REPT(" ",LEN($AW$73))),($BA67-1)*LEN($AW$73)+1,LEN($AW$73)))</f>
        <v/>
      </c>
      <c r="BJ67" s="60" t="str">
        <f>TRIM(MID(SUBSTITUTE($AW$74,$BA$62,REPT(" ",LEN($AW$74))),($BA67-1)*LEN($AW$74)+1,LEN($AW$74)))</f>
        <v/>
      </c>
      <c r="BK67" s="60" t="str">
        <f>TRIM(MID(SUBSTITUTE($AW$75,$BA$62,REPT(" ",LEN($AW$75))),($BA67-1)*LEN($AW$75)+1,LEN($AW$75)))</f>
        <v/>
      </c>
      <c r="BL67" s="60" t="str">
        <f>TRIM(MID(SUBSTITUTE($AW$76,$BA$62,REPT(" ",LEN($AW$76))),($BA67-1)*LEN($AW$76)+1,LEN($AW$76)))</f>
        <v/>
      </c>
      <c r="BM67" s="60" t="str">
        <f>TRIM(MID(SUBSTITUTE($AW$77,$BA$62,REPT(" ",LEN($AW$77))),($BA67-1)*LEN($AW$77)+1,LEN($AW$77)))</f>
        <v/>
      </c>
      <c r="BN67" s="60" t="str">
        <f>TRIM(MID(SUBSTITUTE($AW$78,$BA$62,REPT(" ",LEN($AW$78))),($BA67-1)*LEN($AW$78)+1,LEN($AW$78)))</f>
        <v/>
      </c>
      <c r="BO67" s="60" t="str">
        <f>TRIM(MID(SUBSTITUTE($AW$79,$BA$62,REPT(" ",LEN($AW$79))),($BA67-1)*LEN($AW$79)+1,LEN($AW$79)))</f>
        <v/>
      </c>
      <c r="BP67" s="60" t="str">
        <f>TRIM(MID(SUBSTITUTE($AW$80,$BA$62,REPT(" ",LEN($AW$80))),($BA67-1)*LEN($AW$80)+1,LEN($AW$80)))</f>
        <v/>
      </c>
      <c r="BQ67" s="60" t="str">
        <f>TRIM(MID(SUBSTITUTE($AW$81,$BA$62,REPT(" ",LEN($AW$81))),($BA67-1)*LEN($AW$81)+1,LEN($AW$81)))</f>
        <v/>
      </c>
      <c r="BR67" s="60" t="str">
        <f>TRIM(MID(SUBSTITUTE($AW$82,$BA$62,REPT(" ",LEN($AW$82))),($BA67-1)*LEN($AW$82)+1,LEN($AW$82)))</f>
        <v/>
      </c>
      <c r="BS67" s="60" t="str">
        <f>TRIM(MID(SUBSTITUTE($AW$83,$BA$62,REPT(" ",LEN($AW$83))),($BA67-1)*LEN($AW$83)+1,LEN($AW$83)))</f>
        <v/>
      </c>
      <c r="BT67" s="60" t="str">
        <f>TRIM(MID(SUBSTITUTE($AW$84,$BA$62,REPT(" ",LEN($AW$84))),($BA67-1)*LEN($AW$84)+1,LEN($AW$84)))</f>
        <v/>
      </c>
      <c r="BU67" s="150" t="str">
        <f>TRIM(MID(SUBSTITUTE($AW$85,$BA$62,REPT(" ",LEN($AW$85))),($BA67-1)*LEN($AW$85)+1,LEN($AW$85)))</f>
        <v/>
      </c>
      <c r="BV67" s="224" t="str">
        <f>IF(BX67=0,"",CONCATENATE(BW67,"66:",BW67,BX67+65))</f>
        <v/>
      </c>
      <c r="BW67" s="60" t="s">
        <v>190</v>
      </c>
      <c r="BX67" s="60">
        <f>BC64</f>
        <v>0</v>
      </c>
    </row>
    <row r="68" spans="1:76" s="99" customFormat="1" ht="15.6" customHeight="1">
      <c r="B68" s="285">
        <v>3</v>
      </c>
      <c r="C68" s="166" t="str">
        <f>IF(D68="","",C13)</f>
        <v/>
      </c>
      <c r="D68" s="237" t="str">
        <f>IF(OR(K13="", K13=0),"",D13)</f>
        <v/>
      </c>
      <c r="E68" s="207" t="str">
        <f>IF(AX68="","",AX68)</f>
        <v/>
      </c>
      <c r="F68" s="739"/>
      <c r="G68" s="740"/>
      <c r="H68" s="204" t="str">
        <f>IF(D68="","",AB68)</f>
        <v/>
      </c>
      <c r="I68" s="330" t="str">
        <f>IF(OR(K13="",K13=0),"",K13)</f>
        <v/>
      </c>
      <c r="J68" s="931" t="str">
        <f>IF(F68="","",VLOOKUP(F68,'10. Condition and Temporal'!$B$6:$F$103,5,FALSE))</f>
        <v/>
      </c>
      <c r="K68" s="932"/>
      <c r="L68" s="25" t="str">
        <f>IFERROR(IF(D68="","",IF(AX68="Distinctiveness",(((((I68*AH68*AJ68*AY68)-(I68*V68*X68))*(AV68*AT68))+(I68*V68*X68))*AP68)/1000,((((I68*AH68*AJ68*AY68)-(I68*V68*X68*AJ13))*(AV68*AR68))+(I68*V68*X68*AJ13))*AP68/1000)),"This intervention is not permitted within the SSM ▲")</f>
        <v/>
      </c>
      <c r="M68" s="933" t="str">
        <f>IFERROR(IF(F68="","",L68-AD68), "Error ▲")</f>
        <v/>
      </c>
      <c r="N68" s="934"/>
      <c r="O68" s="135"/>
      <c r="P68" s="87"/>
      <c r="R68" s="655"/>
      <c r="T68" s="217" t="str">
        <f>IF(D68="","",K13)</f>
        <v/>
      </c>
      <c r="U68" s="161" t="str">
        <f>IF($D68="","",T13)</f>
        <v/>
      </c>
      <c r="V68" s="162" t="str">
        <f>IF($D68="","",V13)</f>
        <v/>
      </c>
      <c r="W68" s="160" t="str">
        <f>IF($D68="","",W13)</f>
        <v/>
      </c>
      <c r="X68" s="61" t="str">
        <f>IF($D68="","",X13)</f>
        <v/>
      </c>
      <c r="Y68" s="349"/>
      <c r="Z68" s="349"/>
      <c r="AA68" s="349"/>
      <c r="AB68" s="150" t="str">
        <f>IF($D68="","",AB13)</f>
        <v/>
      </c>
      <c r="AC68" s="164" t="str">
        <f>IF($D68="","",AD13)</f>
        <v/>
      </c>
      <c r="AD68" s="162" t="str">
        <f>IF(AC68="","",((T68*V68*X68)*AC68*AJ13)/1000)</f>
        <v/>
      </c>
      <c r="AE68" s="219" t="str">
        <f>IF(AD68="","",IF(AH68&lt;V68,"Not Acceptable","Acceptable"))</f>
        <v/>
      </c>
      <c r="AF68" s="160" t="str">
        <f>IF(D68="","",I68)</f>
        <v/>
      </c>
      <c r="AG68" s="161" t="str">
        <f>IF(D68="","",VLOOKUP(F68,'9. All Habitats + Multipliers'!$C$4:$K$102,5,FALSE))</f>
        <v/>
      </c>
      <c r="AH68" s="162" t="str">
        <f>IF(AG68="","",VLOOKUP(AG68,'11. Lists'!$B$47:$D$49,2,FALSE))</f>
        <v/>
      </c>
      <c r="AI68" s="161" t="str">
        <f>IF(D68="","",J68)</f>
        <v/>
      </c>
      <c r="AJ68" s="466" t="str">
        <f>IF(AI68="","",VLOOKUP(AI68,'11. Lists'!$F$47:$G$51,2,FALSE))</f>
        <v/>
      </c>
      <c r="AK68" s="467"/>
      <c r="AL68" s="467"/>
      <c r="AM68" s="467"/>
      <c r="AN68" s="466" t="str">
        <f>IF(H68="","",H68)</f>
        <v/>
      </c>
      <c r="AO68" s="163" t="str">
        <f>IF(AN68="","",VLOOKUP(AN68,'11. Lists'!$F$36:$H$38,2,FALSE))</f>
        <v/>
      </c>
      <c r="AP68" s="162" t="str">
        <f>IF(AN68="","",VLOOKUP(AN68,'11. Lists'!$F$36:$H$38,3,FALSE))</f>
        <v/>
      </c>
      <c r="AQ68" s="161" t="str">
        <f>IF(D68="","",IF(AX68="Distinctiveness","N/A",VLOOKUP(F68,'10. Condition and Temporal'!$B$6:$L$103,11,FALSE)))</f>
        <v/>
      </c>
      <c r="AR68" s="165" t="str">
        <f>IF(AQ68="","",IF(AQ68="N/A","1",VLOOKUP(AQ68,'11. Lists'!$I$47:$K$80,3,FALSE)))</f>
        <v/>
      </c>
      <c r="AS68" s="180" t="str">
        <f>IF(D68="","",IF(AX68="Condition","N/A",VLOOKUP(F68,'10. Condition and Temporal'!$B$6:$M$106,12,FALSE)))</f>
        <v/>
      </c>
      <c r="AT68" s="165" t="str">
        <f>IF(AS68="","",IF(AS68="N/A","1",VLOOKUP(AS68,'11. Lists'!$I$47:$K$80,3,FALSE)))</f>
        <v/>
      </c>
      <c r="AU68" s="164" t="str">
        <f>IF(D68="","",VLOOKUP(F68,'9. All Habitats + Multipliers'!$C$4:$K$102,8,FALSE))</f>
        <v/>
      </c>
      <c r="AV68" s="162" t="str">
        <f>IF(AU68="","",VLOOKUP(AU68,'11. Lists'!$J$35:$K$38,2,FALSE))</f>
        <v/>
      </c>
      <c r="AW68" s="161" t="str">
        <f>IF(D68="","",VLOOKUP(D68,'10. Condition and Temporal'!$B$6:$M$103,4,FALSE))</f>
        <v/>
      </c>
      <c r="AX68" s="451" t="str">
        <f>IF(F68="","",IF(D68=F68,"Condition","Distinctiveness"))</f>
        <v/>
      </c>
      <c r="AY68" s="471" t="str">
        <v>1</v>
      </c>
      <c r="AZ68" s="468" t="str">
        <v>1</v>
      </c>
      <c r="BA68" s="61">
        <v>3</v>
      </c>
      <c r="BB68" s="60" t="str">
        <f>TRIM(MID(SUBSTITUTE($AW$66,$BA$62,REPT(" ",LEN($AW$66))),($BA68-1)*LEN($AW$66)+1,LEN($AW$66)))</f>
        <v/>
      </c>
      <c r="BC68" s="60" t="str">
        <f>TRIM(MID(SUBSTITUTE($AW$67,$BA$62,REPT(" ",LEN($AW$67))),($BA68-1)*LEN($AW$67)+1,LEN($AW$67)))</f>
        <v/>
      </c>
      <c r="BD68" s="60" t="str">
        <f>TRIM(MID(SUBSTITUTE($AW$68,$BA$62,REPT(" ",LEN($AW$68))),($BA68-1)*LEN($AW$68)+1,LEN($AW$68)))</f>
        <v/>
      </c>
      <c r="BE68" s="60" t="str">
        <f>TRIM(MID(SUBSTITUTE($AW$69,$BA$62,REPT(" ",LEN($AW$69))),($BA68-1)*LEN($AW$69)+1,LEN($AW$69)))</f>
        <v/>
      </c>
      <c r="BF68" s="60" t="str">
        <f>TRIM(MID(SUBSTITUTE($AW$70,$BA$62,REPT(" ",LEN($AW$70))),($BA68-1)*LEN($AW$70)+1,LEN($AW$70)))</f>
        <v/>
      </c>
      <c r="BG68" s="60" t="str">
        <f>TRIM(MID(SUBSTITUTE($AW$71,$BA$62,REPT(" ",LEN($AW$71))),($BA68-1)*LEN($AW$71)+1,LEN($AW$71)))</f>
        <v/>
      </c>
      <c r="BH68" s="60" t="str">
        <f>TRIM(MID(SUBSTITUTE($AW$72,$BA$62,REPT(" ",LEN($AW$72))),($BA68-1)*LEN($AW$72)+1,LEN($AW$72)))</f>
        <v/>
      </c>
      <c r="BI68" s="60" t="str">
        <f>TRIM(MID(SUBSTITUTE($AW$73,$BA$62,REPT(" ",LEN($AW$73))),($BA68-1)*LEN($AW$73)+1,LEN($AW$73)))</f>
        <v/>
      </c>
      <c r="BJ68" s="60" t="str">
        <f>TRIM(MID(SUBSTITUTE($AW$74,$BA$62,REPT(" ",LEN($AW$74))),($BA68-1)*LEN($AW$74)+1,LEN($AW$74)))</f>
        <v/>
      </c>
      <c r="BK68" s="60" t="str">
        <f>TRIM(MID(SUBSTITUTE($AW$75,$BA$62,REPT(" ",LEN($AW$75))),($BA68-1)*LEN($AW$75)+1,LEN($AW$75)))</f>
        <v/>
      </c>
      <c r="BL68" s="60" t="str">
        <f>TRIM(MID(SUBSTITUTE($AW$76,$BA$62,REPT(" ",LEN($AW$76))),($BA68-1)*LEN($AW$76)+1,LEN($AW$76)))</f>
        <v/>
      </c>
      <c r="BM68" s="60" t="str">
        <f>TRIM(MID(SUBSTITUTE($AW$77,$BA$62,REPT(" ",LEN($AW$77))),($BA68-1)*LEN($AW$77)+1,LEN($AW$77)))</f>
        <v/>
      </c>
      <c r="BN68" s="60" t="str">
        <f>TRIM(MID(SUBSTITUTE($AW$78,$BA$62,REPT(" ",LEN($AW$78))),($BA68-1)*LEN($AW$78)+1,LEN($AW$78)))</f>
        <v/>
      </c>
      <c r="BO68" s="60" t="str">
        <f>TRIM(MID(SUBSTITUTE($AW$79,$BA$62,REPT(" ",LEN($AW$79))),($BA68-1)*LEN($AW$79)+1,LEN($AW$79)))</f>
        <v/>
      </c>
      <c r="BP68" s="60" t="str">
        <f>TRIM(MID(SUBSTITUTE($AW$80,$BA$62,REPT(" ",LEN($AW$80))),($BA68-1)*LEN($AW$80)+1,LEN($AW$80)))</f>
        <v/>
      </c>
      <c r="BQ68" s="60" t="str">
        <f>TRIM(MID(SUBSTITUTE($AW$81,$BA$62,REPT(" ",LEN($AW$81))),($BA68-1)*LEN($AW$81)+1,LEN($AW$81)))</f>
        <v/>
      </c>
      <c r="BR68" s="60" t="str">
        <f>TRIM(MID(SUBSTITUTE($AW$82,$BA$62,REPT(" ",LEN($AW$82))),($BA68-1)*LEN($AW$82)+1,LEN($AW$82)))</f>
        <v/>
      </c>
      <c r="BS68" s="60" t="str">
        <f>TRIM(MID(SUBSTITUTE($AW$83,$BA$62,REPT(" ",LEN($AW$83))),($BA68-1)*LEN($AW$83)+1,LEN($AW$83)))</f>
        <v/>
      </c>
      <c r="BT68" s="60" t="str">
        <f>TRIM(MID(SUBSTITUTE($AW$84,$BA$62,REPT(" ",LEN($AW$84))),($BA68-1)*LEN($AW$84)+1,LEN($AW$84)))</f>
        <v/>
      </c>
      <c r="BU68" s="150" t="str">
        <f>TRIM(MID(SUBSTITUTE($AW$85,$BA$62,REPT(" ",LEN($AW$85))),($BA68-1)*LEN($AW$85)+1,LEN($AW$85)))</f>
        <v/>
      </c>
      <c r="BV68" s="224" t="str">
        <f>IF(BX68=0,"",CONCATENATE(BW68,"66:",BW68,BX68+65))</f>
        <v/>
      </c>
      <c r="BW68" s="60" t="s">
        <v>191</v>
      </c>
      <c r="BX68" s="60">
        <f>BD64</f>
        <v>0</v>
      </c>
    </row>
    <row r="69" spans="1:76" s="99" customFormat="1" ht="15.6" customHeight="1">
      <c r="B69" s="285">
        <v>4</v>
      </c>
      <c r="C69" s="166" t="str">
        <f>IF(D69="","",C14)</f>
        <v/>
      </c>
      <c r="D69" s="237" t="str">
        <f>IF(OR(K14="", K14=0),"",D14)</f>
        <v/>
      </c>
      <c r="E69" s="207" t="str">
        <f>IF(AX69="","",AX69)</f>
        <v/>
      </c>
      <c r="F69" s="739"/>
      <c r="G69" s="740"/>
      <c r="H69" s="204" t="str">
        <f>IF(D69="","",AB69)</f>
        <v/>
      </c>
      <c r="I69" s="330" t="str">
        <f>IF(OR(K14="",K14=0),"",K14)</f>
        <v/>
      </c>
      <c r="J69" s="931" t="str">
        <f>IF(F69="","",VLOOKUP(F69,'10. Condition and Temporal'!$B$6:$F$103,5,FALSE))</f>
        <v/>
      </c>
      <c r="K69" s="932"/>
      <c r="L69" s="25" t="str">
        <f>IFERROR(IF(D69="","",IF(AX69="Distinctiveness",(((((I69*AH69*AJ69*AY69)-(I69*V69*X69))*(AV69*AT69))+(I69*V69*X69))*AP69)/1000,((((I69*AH69*AJ69*AY69)-(I69*V69*X69*AJ14))*(AV69*AR69))+(I69*V69*X69*AJ14))*AP69/1000)),"This intervention is not permitted within the SSM ▲")</f>
        <v/>
      </c>
      <c r="M69" s="933" t="str">
        <f>IFERROR(IF(F69="","",L69-AD69), "Error ▲")</f>
        <v/>
      </c>
      <c r="N69" s="934"/>
      <c r="O69" s="135"/>
      <c r="P69" s="87"/>
      <c r="R69" s="655"/>
      <c r="T69" s="217" t="str">
        <f>IF(D69="","",K14)</f>
        <v/>
      </c>
      <c r="U69" s="161" t="str">
        <f>IF($D69="","",T14)</f>
        <v/>
      </c>
      <c r="V69" s="162" t="str">
        <f>IF($D69="","",V14)</f>
        <v/>
      </c>
      <c r="W69" s="160" t="str">
        <f>IF($D69="","",W14)</f>
        <v/>
      </c>
      <c r="X69" s="61" t="str">
        <f>IF($D69="","",X14)</f>
        <v/>
      </c>
      <c r="Y69" s="349"/>
      <c r="Z69" s="349"/>
      <c r="AA69" s="349"/>
      <c r="AB69" s="150" t="str">
        <f>IF($D69="","",AB14)</f>
        <v/>
      </c>
      <c r="AC69" s="164" t="str">
        <f>IF($D69="","",AD14)</f>
        <v/>
      </c>
      <c r="AD69" s="162" t="str">
        <f>IF(AC69="","",((T69*V69*X69)*AC69*AJ14)/1000)</f>
        <v/>
      </c>
      <c r="AE69" s="219" t="str">
        <f>IF(AD69="","",IF(AH69&lt;V69,"Not Acceptable","Acceptable"))</f>
        <v/>
      </c>
      <c r="AF69" s="160" t="str">
        <f>IF(D69="","",I69)</f>
        <v/>
      </c>
      <c r="AG69" s="161" t="str">
        <f>IF(D69="","",VLOOKUP(F69,'9. All Habitats + Multipliers'!$C$4:$K$102,5,FALSE))</f>
        <v/>
      </c>
      <c r="AH69" s="162" t="str">
        <f>IF(AG69="","",VLOOKUP(AG69,'11. Lists'!$B$47:$D$49,2,FALSE))</f>
        <v/>
      </c>
      <c r="AI69" s="161" t="str">
        <f>IF(D69="","",J69)</f>
        <v/>
      </c>
      <c r="AJ69" s="466" t="str">
        <f>IF(AI69="","",VLOOKUP(AI69,'11. Lists'!$F$47:$G$51,2,FALSE))</f>
        <v/>
      </c>
      <c r="AK69" s="467"/>
      <c r="AL69" s="467"/>
      <c r="AM69" s="467"/>
      <c r="AN69" s="466" t="str">
        <f>IF(H69="","",H69)</f>
        <v/>
      </c>
      <c r="AO69" s="163" t="str">
        <f>IF(AN69="","",VLOOKUP(AN69,'11. Lists'!$F$36:$H$38,2,FALSE))</f>
        <v/>
      </c>
      <c r="AP69" s="162" t="str">
        <f>IF(AN69="","",VLOOKUP(AN69,'11. Lists'!$F$36:$H$38,3,FALSE))</f>
        <v/>
      </c>
      <c r="AQ69" s="161" t="str">
        <f>IF(D69="","",IF(AX69="Distinctiveness","N/A",VLOOKUP(F69,'10. Condition and Temporal'!$B$6:$L$103,11,FALSE)))</f>
        <v/>
      </c>
      <c r="AR69" s="165" t="str">
        <f>IF(AQ69="","",IF(AQ69="N/A","1",VLOOKUP(AQ69,'11. Lists'!$I$47:$K$80,3,FALSE)))</f>
        <v/>
      </c>
      <c r="AS69" s="180" t="str">
        <f>IF(D69="","",IF(AX69="Condition","N/A",VLOOKUP(F69,'10. Condition and Temporal'!$B$6:$M$106,12,FALSE)))</f>
        <v/>
      </c>
      <c r="AT69" s="165" t="str">
        <f>IF(AS69="","",IF(AS69="N/A","1",VLOOKUP(AS69,'11. Lists'!$I$47:$K$80,3,FALSE)))</f>
        <v/>
      </c>
      <c r="AU69" s="164" t="str">
        <f>IF(D69="","",VLOOKUP(F69,'9. All Habitats + Multipliers'!$C$4:$K$102,8,FALSE))</f>
        <v/>
      </c>
      <c r="AV69" s="162" t="str">
        <f>IF(AU69="","",VLOOKUP(AU69,'11. Lists'!$J$35:$K$38,2,FALSE))</f>
        <v/>
      </c>
      <c r="AW69" s="161" t="str">
        <f>IF(D69="","",VLOOKUP(D69,'10. Condition and Temporal'!$B$6:$M$103,4,FALSE))</f>
        <v/>
      </c>
      <c r="AX69" s="451" t="str">
        <f>IF(F69="","",IF(D69=F69,"Condition","Distinctiveness"))</f>
        <v/>
      </c>
      <c r="AY69" s="471" t="str">
        <v>1</v>
      </c>
      <c r="AZ69" s="468" t="str">
        <v>1</v>
      </c>
      <c r="BA69" s="61">
        <v>4</v>
      </c>
      <c r="BB69" s="60" t="str">
        <f>TRIM(MID(SUBSTITUTE($AW$66,$BA$62,REPT(" ",LEN($AW$66))),($BA69-1)*LEN($AW$66)+1,LEN($AW$66)))</f>
        <v/>
      </c>
      <c r="BC69" s="60" t="str">
        <f>TRIM(MID(SUBSTITUTE($AW$67,$BA$62,REPT(" ",LEN($AW$67))),($BA69-1)*LEN($AW$67)+1,LEN($AW$67)))</f>
        <v/>
      </c>
      <c r="BD69" s="60" t="str">
        <f>TRIM(MID(SUBSTITUTE($AW$68,$BA$62,REPT(" ",LEN($AW$68))),($BA69-1)*LEN($AW$68)+1,LEN($AW$68)))</f>
        <v/>
      </c>
      <c r="BE69" s="60" t="str">
        <f>TRIM(MID(SUBSTITUTE($AW$69,$BA$62,REPT(" ",LEN($AW$69))),($BA69-1)*LEN($AW$69)+1,LEN($AW$69)))</f>
        <v/>
      </c>
      <c r="BF69" s="60" t="str">
        <f>TRIM(MID(SUBSTITUTE($AW$70,$BA$62,REPT(" ",LEN($AW$70))),($BA69-1)*LEN($AW$70)+1,LEN($AW$70)))</f>
        <v/>
      </c>
      <c r="BG69" s="60" t="str">
        <f>TRIM(MID(SUBSTITUTE($AW$71,$BA$62,REPT(" ",LEN($AW$71))),($BA69-1)*LEN($AW$71)+1,LEN($AW$71)))</f>
        <v/>
      </c>
      <c r="BH69" s="60" t="str">
        <f>TRIM(MID(SUBSTITUTE($AW$72,$BA$62,REPT(" ",LEN($AW$72))),($BA69-1)*LEN($AW$72)+1,LEN($AW$72)))</f>
        <v/>
      </c>
      <c r="BI69" s="60" t="str">
        <f>TRIM(MID(SUBSTITUTE($AW$73,$BA$62,REPT(" ",LEN($AW$73))),($BA69-1)*LEN($AW$73)+1,LEN($AW$73)))</f>
        <v/>
      </c>
      <c r="BJ69" s="60" t="str">
        <f>TRIM(MID(SUBSTITUTE($AW$74,$BA$62,REPT(" ",LEN($AW$74))),($BA69-1)*LEN($AW$74)+1,LEN($AW$74)))</f>
        <v/>
      </c>
      <c r="BK69" s="60" t="str">
        <f>TRIM(MID(SUBSTITUTE($AW$75,$BA$62,REPT(" ",LEN($AW$75))),($BA69-1)*LEN($AW$75)+1,LEN($AW$75)))</f>
        <v/>
      </c>
      <c r="BL69" s="60" t="str">
        <f>TRIM(MID(SUBSTITUTE($AW$76,$BA$62,REPT(" ",LEN($AW$76))),($BA69-1)*LEN($AW$76)+1,LEN($AW$76)))</f>
        <v/>
      </c>
      <c r="BM69" s="60" t="str">
        <f>TRIM(MID(SUBSTITUTE($AW$77,$BA$62,REPT(" ",LEN($AW$77))),($BA69-1)*LEN($AW$77)+1,LEN($AW$77)))</f>
        <v/>
      </c>
      <c r="BN69" s="60" t="str">
        <f>TRIM(MID(SUBSTITUTE($AW$78,$BA$62,REPT(" ",LEN($AW$78))),($BA69-1)*LEN($AW$78)+1,LEN($AW$78)))</f>
        <v/>
      </c>
      <c r="BO69" s="60" t="str">
        <f>TRIM(MID(SUBSTITUTE($AW$79,$BA$62,REPT(" ",LEN($AW$79))),($BA69-1)*LEN($AW$79)+1,LEN($AW$79)))</f>
        <v/>
      </c>
      <c r="BP69" s="60" t="str">
        <f>TRIM(MID(SUBSTITUTE($AW$80,$BA$62,REPT(" ",LEN($AW$80))),($BA69-1)*LEN($AW$80)+1,LEN($AW$80)))</f>
        <v/>
      </c>
      <c r="BQ69" s="60" t="str">
        <f>TRIM(MID(SUBSTITUTE($AW$81,$BA$62,REPT(" ",LEN($AW$81))),($BA69-1)*LEN($AW$81)+1,LEN($AW$81)))</f>
        <v/>
      </c>
      <c r="BR69" s="60" t="str">
        <f>TRIM(MID(SUBSTITUTE($AW$82,$BA$62,REPT(" ",LEN($AW$82))),($BA69-1)*LEN($AW$82)+1,LEN($AW$82)))</f>
        <v/>
      </c>
      <c r="BS69" s="60" t="str">
        <f>TRIM(MID(SUBSTITUTE($AW$83,$BA$62,REPT(" ",LEN($AW$83))),($BA69-1)*LEN($AW$83)+1,LEN($AW$83)))</f>
        <v/>
      </c>
      <c r="BT69" s="60" t="str">
        <f>TRIM(MID(SUBSTITUTE($AW$84,$BA$62,REPT(" ",LEN($AW$84))),($BA69-1)*LEN($AW$84)+1,LEN($AW$84)))</f>
        <v/>
      </c>
      <c r="BU69" s="150" t="str">
        <f>TRIM(MID(SUBSTITUTE($AW$85,$BA$62,REPT(" ",LEN($AW$85))),($BA69-1)*LEN($AW$85)+1,LEN($AW$85)))</f>
        <v/>
      </c>
      <c r="BV69" s="224" t="str">
        <f>IF(BX69=0,"",CONCATENATE(BW69,"66:",BW69,BX69+65))</f>
        <v/>
      </c>
      <c r="BW69" s="60" t="s">
        <v>192</v>
      </c>
      <c r="BX69" s="60">
        <f>BE64</f>
        <v>0</v>
      </c>
    </row>
    <row r="70" spans="1:76" s="99" customFormat="1" ht="15.75" customHeight="1">
      <c r="B70" s="285">
        <v>5</v>
      </c>
      <c r="C70" s="166" t="str">
        <f>IF(D70="","",C15)</f>
        <v/>
      </c>
      <c r="D70" s="237" t="str">
        <f>IF(OR(K15="", K15=0),"",D15)</f>
        <v/>
      </c>
      <c r="E70" s="207" t="str">
        <f>IF(AX70="","",AX70)</f>
        <v/>
      </c>
      <c r="F70" s="739"/>
      <c r="G70" s="740"/>
      <c r="H70" s="204" t="str">
        <f>IF(D70="","",AB70)</f>
        <v/>
      </c>
      <c r="I70" s="330" t="str">
        <f>IF(OR(K15="",K15=0),"",K15)</f>
        <v/>
      </c>
      <c r="J70" s="931" t="str">
        <f>IF(F70="","",VLOOKUP(F70,'10. Condition and Temporal'!$B$6:$F$103,5,FALSE))</f>
        <v/>
      </c>
      <c r="K70" s="932"/>
      <c r="L70" s="25" t="str">
        <f>IFERROR(IF(D70="","",IF(AX70="Distinctiveness",(((((I70*AH70*AJ70*AY70)-(I70*V70*X70))*(AV70*AT70))+(I70*V70*X70))*AP70)/1000,((((I70*AH70*AJ70*AY70)-(I70*V70*X70*AJ15))*(AV70*AR70))+(I70*V70*X70*AJ15))*AP70/1000)),"This intervention is not permitted within the SSM ▲")</f>
        <v/>
      </c>
      <c r="M70" s="933" t="str">
        <f>IFERROR(IF(F70="","",L70-AD70), "Error ▲")</f>
        <v/>
      </c>
      <c r="N70" s="934"/>
      <c r="O70" s="135"/>
      <c r="P70" s="87"/>
      <c r="R70" s="655"/>
      <c r="T70" s="217" t="str">
        <f>IF(D70="","",K15)</f>
        <v/>
      </c>
      <c r="U70" s="161" t="str">
        <f>IF($D70="","",T15)</f>
        <v/>
      </c>
      <c r="V70" s="162" t="str">
        <f>IF($D70="","",V15)</f>
        <v/>
      </c>
      <c r="W70" s="160" t="str">
        <f>IF($D70="","",W15)</f>
        <v/>
      </c>
      <c r="X70" s="61" t="str">
        <f>IF($D70="","",X15)</f>
        <v/>
      </c>
      <c r="Y70" s="349"/>
      <c r="Z70" s="349"/>
      <c r="AA70" s="349"/>
      <c r="AB70" s="150" t="str">
        <f>IF($D70="","",AB15)</f>
        <v/>
      </c>
      <c r="AC70" s="164" t="str">
        <f>IF($D70="","",AD15)</f>
        <v/>
      </c>
      <c r="AD70" s="162" t="str">
        <f>IF(AC70="","",((T70*V70*X70)*AC70*AJ15)/1000)</f>
        <v/>
      </c>
      <c r="AE70" s="219" t="str">
        <f>IF(AD70="","",IF(AH70&lt;V70,"Not Acceptable","Acceptable"))</f>
        <v/>
      </c>
      <c r="AF70" s="160" t="str">
        <f>IF(D70="","",I70)</f>
        <v/>
      </c>
      <c r="AG70" s="161" t="str">
        <f>IF(D70="","",VLOOKUP(F70,'9. All Habitats + Multipliers'!$C$4:$K$102,5,FALSE))</f>
        <v/>
      </c>
      <c r="AH70" s="162" t="str">
        <f>IF(AG70="","",VLOOKUP(AG70,'11. Lists'!$B$47:$D$49,2,FALSE))</f>
        <v/>
      </c>
      <c r="AI70" s="161" t="str">
        <f>IF(D70="","",J70)</f>
        <v/>
      </c>
      <c r="AJ70" s="466" t="str">
        <f>IF(AI70="","",VLOOKUP(AI70,'11. Lists'!$F$47:$G$51,2,FALSE))</f>
        <v/>
      </c>
      <c r="AK70" s="467"/>
      <c r="AL70" s="467"/>
      <c r="AM70" s="467"/>
      <c r="AN70" s="466" t="str">
        <f>IF(H70="","",H70)</f>
        <v/>
      </c>
      <c r="AO70" s="163" t="str">
        <f>IF(AN70="","",VLOOKUP(AN70,'11. Lists'!$F$36:$H$38,2,FALSE))</f>
        <v/>
      </c>
      <c r="AP70" s="162" t="str">
        <f>IF(AN70="","",VLOOKUP(AN70,'11. Lists'!$F$36:$H$38,3,FALSE))</f>
        <v/>
      </c>
      <c r="AQ70" s="161" t="str">
        <f>IF(D70="","",IF(AX70="Distinctiveness","N/A",VLOOKUP(F70,'10. Condition and Temporal'!$B$6:$L$103,11,FALSE)))</f>
        <v/>
      </c>
      <c r="AR70" s="165" t="str">
        <f>IF(AQ70="","",IF(AQ70="N/A","1",VLOOKUP(AQ70,'11. Lists'!$I$47:$K$80,3,FALSE)))</f>
        <v/>
      </c>
      <c r="AS70" s="180" t="str">
        <f>IF(D70="","",IF(AX70="Condition","N/A",VLOOKUP(F70,'10. Condition and Temporal'!$B$6:$M$106,12,FALSE)))</f>
        <v/>
      </c>
      <c r="AT70" s="165" t="str">
        <f>IF(AS70="","",IF(AS70="N/A","1",VLOOKUP(AS70,'11. Lists'!$I$47:$K$80,3,FALSE)))</f>
        <v/>
      </c>
      <c r="AU70" s="164" t="str">
        <f>IF(D70="","",VLOOKUP(F70,'9. All Habitats + Multipliers'!$C$4:$K$102,8,FALSE))</f>
        <v/>
      </c>
      <c r="AV70" s="162" t="str">
        <f>IF(AU70="","",VLOOKUP(AU70,'11. Lists'!$J$35:$K$38,2,FALSE))</f>
        <v/>
      </c>
      <c r="AW70" s="161" t="str">
        <f>IF(D70="","",VLOOKUP(D70,'10. Condition and Temporal'!$B$6:$M$103,4,FALSE))</f>
        <v/>
      </c>
      <c r="AX70" s="451" t="str">
        <f>IF(F70="","",IF(D70=F70,"Condition","Distinctiveness"))</f>
        <v/>
      </c>
      <c r="AY70" s="471" t="str">
        <v>1</v>
      </c>
      <c r="AZ70" s="468" t="str">
        <v>1</v>
      </c>
      <c r="BA70" s="61">
        <v>5</v>
      </c>
      <c r="BB70" s="60" t="str">
        <f>TRIM(MID(SUBSTITUTE($AW$66,$BA$62,REPT(" ",LEN($AW$66))),($BA70-1)*LEN($AW$66)+1,LEN($AW$66)))</f>
        <v/>
      </c>
      <c r="BC70" s="60" t="str">
        <f>TRIM(MID(SUBSTITUTE($AW$67,$BA$62,REPT(" ",LEN($AW$67))),($BA70-1)*LEN($AW$67)+1,LEN($AW$67)))</f>
        <v/>
      </c>
      <c r="BD70" s="60" t="str">
        <f>TRIM(MID(SUBSTITUTE($AW$68,$BA$62,REPT(" ",LEN($AW$68))),($BA70-1)*LEN($AW$68)+1,LEN($AW$68)))</f>
        <v/>
      </c>
      <c r="BE70" s="60" t="str">
        <f>TRIM(MID(SUBSTITUTE($AW$69,$BA$62,REPT(" ",LEN($AW$69))),($BA70-1)*LEN($AW$69)+1,LEN($AW$69)))</f>
        <v/>
      </c>
      <c r="BF70" s="60" t="str">
        <f>TRIM(MID(SUBSTITUTE($AW$70,$BA$62,REPT(" ",LEN($AW$70))),($BA70-1)*LEN($AW$70)+1,LEN($AW$70)))</f>
        <v/>
      </c>
      <c r="BG70" s="60" t="str">
        <f>TRIM(MID(SUBSTITUTE($AW$71,$BA$62,REPT(" ",LEN($AW$71))),($BA70-1)*LEN($AW$71)+1,LEN($AW$71)))</f>
        <v/>
      </c>
      <c r="BH70" s="60" t="str">
        <f>TRIM(MID(SUBSTITUTE($AW$72,$BA$62,REPT(" ",LEN($AW$72))),($BA70-1)*LEN($AW$72)+1,LEN($AW$72)))</f>
        <v/>
      </c>
      <c r="BI70" s="60" t="str">
        <f>TRIM(MID(SUBSTITUTE($AW$73,$BA$62,REPT(" ",LEN($AW$73))),($BA70-1)*LEN($AW$73)+1,LEN($AW$73)))</f>
        <v/>
      </c>
      <c r="BJ70" s="60" t="str">
        <f>TRIM(MID(SUBSTITUTE($AW$74,$BA$62,REPT(" ",LEN($AW$74))),($BA70-1)*LEN($AW$74)+1,LEN($AW$74)))</f>
        <v/>
      </c>
      <c r="BK70" s="60" t="str">
        <f>TRIM(MID(SUBSTITUTE($AW$75,$BA$62,REPT(" ",LEN($AW$75))),($BA70-1)*LEN($AW$75)+1,LEN($AW$75)))</f>
        <v/>
      </c>
      <c r="BL70" s="60" t="str">
        <f>TRIM(MID(SUBSTITUTE($AW$76,$BA$62,REPT(" ",LEN($AW$76))),($BA70-1)*LEN($AW$76)+1,LEN($AW$76)))</f>
        <v/>
      </c>
      <c r="BM70" s="60" t="str">
        <f>TRIM(MID(SUBSTITUTE($AW$77,$BA$62,REPT(" ",LEN($AW$77))),($BA70-1)*LEN($AW$77)+1,LEN($AW$77)))</f>
        <v/>
      </c>
      <c r="BN70" s="60" t="str">
        <f>TRIM(MID(SUBSTITUTE($AW$78,$BA$62,REPT(" ",LEN($AW$78))),($BA70-1)*LEN($AW$78)+1,LEN($AW$78)))</f>
        <v/>
      </c>
      <c r="BO70" s="60" t="str">
        <f>TRIM(MID(SUBSTITUTE($AW$79,$BA$62,REPT(" ",LEN($AW$79))),($BA70-1)*LEN($AW$79)+1,LEN($AW$79)))</f>
        <v/>
      </c>
      <c r="BP70" s="60" t="str">
        <f>TRIM(MID(SUBSTITUTE($AW$80,$BA$62,REPT(" ",LEN($AW$80))),($BA70-1)*LEN($AW$80)+1,LEN($AW$80)))</f>
        <v/>
      </c>
      <c r="BQ70" s="60" t="str">
        <f>TRIM(MID(SUBSTITUTE($AW$81,$BA$62,REPT(" ",LEN($AW$81))),($BA70-1)*LEN($AW$81)+1,LEN($AW$81)))</f>
        <v/>
      </c>
      <c r="BR70" s="60" t="str">
        <f>TRIM(MID(SUBSTITUTE($AW$82,$BA$62,REPT(" ",LEN($AW$82))),($BA70-1)*LEN($AW$82)+1,LEN($AW$82)))</f>
        <v/>
      </c>
      <c r="BS70" s="60" t="str">
        <f>TRIM(MID(SUBSTITUTE($AW$83,$BA$62,REPT(" ",LEN($AW$83))),($BA70-1)*LEN($AW$83)+1,LEN($AW$83)))</f>
        <v/>
      </c>
      <c r="BT70" s="60" t="str">
        <f>TRIM(MID(SUBSTITUTE($AW$84,$BA$62,REPT(" ",LEN($AW$84))),($BA70-1)*LEN($AW$84)+1,LEN($AW$84)))</f>
        <v/>
      </c>
      <c r="BU70" s="150" t="str">
        <f>TRIM(MID(SUBSTITUTE($AW$85,$BA$62,REPT(" ",LEN($AW$85))),($BA70-1)*LEN($AW$85)+1,LEN($AW$85)))</f>
        <v/>
      </c>
      <c r="BV70" s="224" t="str">
        <f>IF(BX70=0,"",CONCATENATE(BW70,"66:",BW70,BX70+65))</f>
        <v/>
      </c>
      <c r="BW70" s="60" t="s">
        <v>193</v>
      </c>
      <c r="BX70" s="60">
        <f>BF64</f>
        <v>0</v>
      </c>
    </row>
    <row r="71" spans="1:76" s="99" customFormat="1" ht="15.75" customHeight="1">
      <c r="B71" s="285">
        <v>6</v>
      </c>
      <c r="C71" s="166" t="str">
        <f>IF(D71="","",C16)</f>
        <v/>
      </c>
      <c r="D71" s="237" t="str">
        <f>IF(OR(K16="", K16=0),"",D16)</f>
        <v/>
      </c>
      <c r="E71" s="207" t="str">
        <f>IF(AX71="","",AX71)</f>
        <v/>
      </c>
      <c r="F71" s="739"/>
      <c r="G71" s="740"/>
      <c r="H71" s="204" t="str">
        <f>IF(D71="","",AB71)</f>
        <v/>
      </c>
      <c r="I71" s="330" t="str">
        <f>IF(OR(K16="",K16=0),"",K16)</f>
        <v/>
      </c>
      <c r="J71" s="931" t="str">
        <f>IF(F71="","",VLOOKUP(F71,'10. Condition and Temporal'!$B$6:$F$103,5,FALSE))</f>
        <v/>
      </c>
      <c r="K71" s="932"/>
      <c r="L71" s="25" t="str">
        <f>IFERROR(IF(D71="","",IF(AX71="Distinctiveness",(((((I71*AH71*AJ71*AY71)-(I71*V71*X71))*(AV71*AT71))+(I71*V71*X71))*AP71)/1000,((((I71*AH71*AJ71*AY71)-(I71*V71*X71*AJ16))*(AV71*AR71))+(I71*V71*X71*AJ16))*AP71/1000)),"This intervention is not permitted within the SSM ▲")</f>
        <v/>
      </c>
      <c r="M71" s="933" t="str">
        <f>IFERROR(IF(F71="","",L71-AD71), "Error ▲")</f>
        <v/>
      </c>
      <c r="N71" s="934"/>
      <c r="O71" s="135"/>
      <c r="P71" s="87"/>
      <c r="R71" s="655"/>
      <c r="T71" s="217" t="str">
        <f>IF(D71="","",K16)</f>
        <v/>
      </c>
      <c r="U71" s="161" t="str">
        <f>IF($D71="","",T16)</f>
        <v/>
      </c>
      <c r="V71" s="162" t="str">
        <f>IF($D71="","",V16)</f>
        <v/>
      </c>
      <c r="W71" s="160" t="str">
        <f>IF($D71="","",W16)</f>
        <v/>
      </c>
      <c r="X71" s="61" t="str">
        <f>IF($D71="","",X16)</f>
        <v/>
      </c>
      <c r="Y71" s="349"/>
      <c r="Z71" s="349"/>
      <c r="AA71" s="349"/>
      <c r="AB71" s="150" t="str">
        <f>IF($D71="","",AB16)</f>
        <v/>
      </c>
      <c r="AC71" s="164" t="str">
        <f>IF($D71="","",AD16)</f>
        <v/>
      </c>
      <c r="AD71" s="162" t="str">
        <f>IF(AC71="","",((T71*V71*X71)*AC71*AJ16)/1000)</f>
        <v/>
      </c>
      <c r="AE71" s="219" t="str">
        <f>IF(AD71="","",IF(AH71&lt;V71,"Not Acceptable","Acceptable"))</f>
        <v/>
      </c>
      <c r="AF71" s="160" t="str">
        <f>IF(D71="","",I71)</f>
        <v/>
      </c>
      <c r="AG71" s="161" t="str">
        <f>IF(D71="","",VLOOKUP(F71,'9. All Habitats + Multipliers'!$C$4:$K$102,5,FALSE))</f>
        <v/>
      </c>
      <c r="AH71" s="162" t="str">
        <f>IF(AG71="","",VLOOKUP(AG71,'11. Lists'!$B$47:$D$49,2,FALSE))</f>
        <v/>
      </c>
      <c r="AI71" s="161" t="str">
        <f>IF(D71="","",J71)</f>
        <v/>
      </c>
      <c r="AJ71" s="466" t="str">
        <f>IF(AI71="","",VLOOKUP(AI71,'11. Lists'!$F$47:$G$51,2,FALSE))</f>
        <v/>
      </c>
      <c r="AK71" s="467"/>
      <c r="AL71" s="467"/>
      <c r="AM71" s="467"/>
      <c r="AN71" s="466" t="str">
        <f>IF(H71="","",H71)</f>
        <v/>
      </c>
      <c r="AO71" s="163" t="str">
        <f>IF(AN71="","",VLOOKUP(AN71,'11. Lists'!$F$36:$H$38,2,FALSE))</f>
        <v/>
      </c>
      <c r="AP71" s="162" t="str">
        <f>IF(AN71="","",VLOOKUP(AN71,'11. Lists'!$F$36:$H$38,3,FALSE))</f>
        <v/>
      </c>
      <c r="AQ71" s="161" t="str">
        <f>IF(D71="","",IF(AX71="Distinctiveness","N/A",VLOOKUP(F71,'10. Condition and Temporal'!$B$6:$L$103,11,FALSE)))</f>
        <v/>
      </c>
      <c r="AR71" s="165" t="str">
        <f>IF(AQ71="","",IF(AQ71="N/A","1",VLOOKUP(AQ71,'11. Lists'!$I$47:$K$80,3,FALSE)))</f>
        <v/>
      </c>
      <c r="AS71" s="180" t="str">
        <f>IF(D71="","",IF(AX71="Condition","N/A",VLOOKUP(F71,'10. Condition and Temporal'!$B$6:$M$106,12,FALSE)))</f>
        <v/>
      </c>
      <c r="AT71" s="165" t="str">
        <f>IF(AS71="","",IF(AS71="N/A","1",VLOOKUP(AS71,'11. Lists'!$I$47:$K$80,3,FALSE)))</f>
        <v/>
      </c>
      <c r="AU71" s="164" t="str">
        <f>IF(D71="","",VLOOKUP(F71,'9. All Habitats + Multipliers'!$C$4:$K$102,8,FALSE))</f>
        <v/>
      </c>
      <c r="AV71" s="162" t="str">
        <f>IF(AU71="","",VLOOKUP(AU71,'11. Lists'!$J$35:$K$38,2,FALSE))</f>
        <v/>
      </c>
      <c r="AW71" s="161" t="str">
        <f>IF(D71="","",VLOOKUP(D71,'10. Condition and Temporal'!$B$6:$M$103,4,FALSE))</f>
        <v/>
      </c>
      <c r="AX71" s="451" t="str">
        <f>IF(F71="","",IF(D71=F71,"Condition","Distinctiveness"))</f>
        <v/>
      </c>
      <c r="AY71" s="471" t="str">
        <v>1</v>
      </c>
      <c r="AZ71" s="468" t="str">
        <v>1</v>
      </c>
      <c r="BA71" s="61">
        <v>6</v>
      </c>
      <c r="BB71" s="60" t="str">
        <f>TRIM(MID(SUBSTITUTE($AW$66,$BA$62,REPT(" ",LEN($AW$66))),($BA71-1)*LEN($AW$66)+1,LEN($AW$66)))</f>
        <v/>
      </c>
      <c r="BC71" s="60" t="str">
        <f>TRIM(MID(SUBSTITUTE($AW$67,$BA$62,REPT(" ",LEN($AW$67))),($BA71-1)*LEN($AW$67)+1,LEN($AW$67)))</f>
        <v/>
      </c>
      <c r="BD71" s="60" t="str">
        <f>TRIM(MID(SUBSTITUTE($AW$68,$BA$62,REPT(" ",LEN($AW$68))),($BA71-1)*LEN($AW$68)+1,LEN($AW$68)))</f>
        <v/>
      </c>
      <c r="BE71" s="60" t="str">
        <f>TRIM(MID(SUBSTITUTE($AW$69,$BA$62,REPT(" ",LEN($AW$69))),($BA71-1)*LEN($AW$69)+1,LEN($AW$69)))</f>
        <v/>
      </c>
      <c r="BF71" s="60" t="str">
        <f>TRIM(MID(SUBSTITUTE($AW$70,$BA$62,REPT(" ",LEN($AW$70))),($BA71-1)*LEN($AW$70)+1,LEN($AW$70)))</f>
        <v/>
      </c>
      <c r="BG71" s="60" t="str">
        <f>TRIM(MID(SUBSTITUTE($AW$71,$BA$62,REPT(" ",LEN($AW$71))),($BA71-1)*LEN($AW$71)+1,LEN($AW$71)))</f>
        <v/>
      </c>
      <c r="BH71" s="60" t="str">
        <f>TRIM(MID(SUBSTITUTE($AW$72,$BA$62,REPT(" ",LEN($AW$72))),($BA71-1)*LEN($AW$72)+1,LEN($AW$72)))</f>
        <v/>
      </c>
      <c r="BI71" s="60" t="str">
        <f>TRIM(MID(SUBSTITUTE($AW$73,$BA$62,REPT(" ",LEN($AW$73))),($BA71-1)*LEN($AW$73)+1,LEN($AW$73)))</f>
        <v/>
      </c>
      <c r="BJ71" s="60" t="str">
        <f>TRIM(MID(SUBSTITUTE($AW$74,$BA$62,REPT(" ",LEN($AW$74))),($BA71-1)*LEN($AW$74)+1,LEN($AW$74)))</f>
        <v/>
      </c>
      <c r="BK71" s="60" t="str">
        <f>TRIM(MID(SUBSTITUTE($AW$75,$BA$62,REPT(" ",LEN($AW$75))),($BA71-1)*LEN($AW$75)+1,LEN($AW$75)))</f>
        <v/>
      </c>
      <c r="BL71" s="60" t="str">
        <f>TRIM(MID(SUBSTITUTE($AW$76,$BA$62,REPT(" ",LEN($AW$76))),($BA71-1)*LEN($AW$76)+1,LEN($AW$76)))</f>
        <v/>
      </c>
      <c r="BM71" s="60" t="str">
        <f>TRIM(MID(SUBSTITUTE($AW$77,$BA$62,REPT(" ",LEN($AW$77))),($BA71-1)*LEN($AW$77)+1,LEN($AW$77)))</f>
        <v/>
      </c>
      <c r="BN71" s="60" t="str">
        <f>TRIM(MID(SUBSTITUTE($AW$78,$BA$62,REPT(" ",LEN($AW$78))),($BA71-1)*LEN($AW$78)+1,LEN($AW$78)))</f>
        <v/>
      </c>
      <c r="BO71" s="60" t="str">
        <f>TRIM(MID(SUBSTITUTE($AW$79,$BA$62,REPT(" ",LEN($AW$79))),($BA71-1)*LEN($AW$79)+1,LEN($AW$79)))</f>
        <v/>
      </c>
      <c r="BP71" s="60" t="str">
        <f>TRIM(MID(SUBSTITUTE($AW$80,$BA$62,REPT(" ",LEN($AW$80))),($BA71-1)*LEN($AW$80)+1,LEN($AW$80)))</f>
        <v/>
      </c>
      <c r="BQ71" s="60" t="str">
        <f>TRIM(MID(SUBSTITUTE($AW$81,$BA$62,REPT(" ",LEN($AW$81))),($BA71-1)*LEN($AW$81)+1,LEN($AW$81)))</f>
        <v/>
      </c>
      <c r="BR71" s="60" t="str">
        <f>TRIM(MID(SUBSTITUTE($AW$82,$BA$62,REPT(" ",LEN($AW$82))),($BA71-1)*LEN($AW$82)+1,LEN($AW$82)))</f>
        <v/>
      </c>
      <c r="BS71" s="60" t="str">
        <f>TRIM(MID(SUBSTITUTE($AW$83,$BA$62,REPT(" ",LEN($AW$83))),($BA71-1)*LEN($AW$83)+1,LEN($AW$83)))</f>
        <v/>
      </c>
      <c r="BT71" s="60" t="str">
        <f>TRIM(MID(SUBSTITUTE($AW$84,$BA$62,REPT(" ",LEN($AW$84))),($BA71-1)*LEN($AW$84)+1,LEN($AW$84)))</f>
        <v/>
      </c>
      <c r="BU71" s="150" t="str">
        <f>TRIM(MID(SUBSTITUTE($AW$85,$BA$62,REPT(" ",LEN($AW$85))),($BA71-1)*LEN($AW$85)+1,LEN($AW$85)))</f>
        <v/>
      </c>
      <c r="BV71" s="224" t="str">
        <f>IF(BX71=0,"",CONCATENATE(BW71,"66:",BW71,BX71+65))</f>
        <v/>
      </c>
      <c r="BW71" s="60" t="s">
        <v>194</v>
      </c>
      <c r="BX71" s="60">
        <f>BG64</f>
        <v>0</v>
      </c>
    </row>
    <row r="72" spans="1:76" s="99" customFormat="1" ht="15.75" customHeight="1">
      <c r="B72" s="285">
        <v>7</v>
      </c>
      <c r="C72" s="166" t="str">
        <f>IF(D72="","",C17)</f>
        <v/>
      </c>
      <c r="D72" s="237" t="str">
        <f>IF(OR(K17="", K17=0),"",D17)</f>
        <v/>
      </c>
      <c r="E72" s="207" t="str">
        <f>IF(AX72="","",AX72)</f>
        <v/>
      </c>
      <c r="F72" s="739"/>
      <c r="G72" s="740"/>
      <c r="H72" s="204" t="str">
        <f>IF(D72="","",AB72)</f>
        <v/>
      </c>
      <c r="I72" s="330" t="str">
        <f>IF(OR(K17="",K17=0),"",K17)</f>
        <v/>
      </c>
      <c r="J72" s="931" t="str">
        <f>IF(F72="","",VLOOKUP(F72,'10. Condition and Temporal'!$B$6:$F$103,5,FALSE))</f>
        <v/>
      </c>
      <c r="K72" s="932"/>
      <c r="L72" s="25" t="str">
        <f>IFERROR(IF(D72="","",IF(AX72="Distinctiveness",(((((I72*AH72*AJ72*AY72)-(I72*V72*X72))*(AV72*AT72))+(I72*V72*X72))*AP72)/1000,((((I72*AH72*AJ72*AY72)-(I72*V72*X72*AJ17))*(AV72*AR72))+(I72*V72*X72*AJ17))*AP72/1000)),"This intervention is not permitted within the SSM ▲")</f>
        <v/>
      </c>
      <c r="M72" s="933" t="str">
        <f>IFERROR(IF(F72="","",L72-AD72), "Error ▲")</f>
        <v/>
      </c>
      <c r="N72" s="934"/>
      <c r="O72" s="135"/>
      <c r="P72" s="87"/>
      <c r="R72" s="655"/>
      <c r="T72" s="217" t="str">
        <f>IF(D72="","",K17)</f>
        <v/>
      </c>
      <c r="U72" s="161" t="str">
        <f>IF($D72="","",T17)</f>
        <v/>
      </c>
      <c r="V72" s="162" t="str">
        <f>IF($D72="","",V17)</f>
        <v/>
      </c>
      <c r="W72" s="160" t="str">
        <f>IF($D72="","",W17)</f>
        <v/>
      </c>
      <c r="X72" s="61" t="str">
        <f>IF($D72="","",X17)</f>
        <v/>
      </c>
      <c r="Y72" s="349"/>
      <c r="Z72" s="349"/>
      <c r="AA72" s="349"/>
      <c r="AB72" s="150" t="str">
        <f>IF($D72="","",AB17)</f>
        <v/>
      </c>
      <c r="AC72" s="164" t="str">
        <f>IF($D72="","",AD17)</f>
        <v/>
      </c>
      <c r="AD72" s="162" t="str">
        <f>IF(AC72="","",((T72*V72*X72)*AC72*AJ17)/1000)</f>
        <v/>
      </c>
      <c r="AE72" s="219" t="str">
        <f>IF(AD72="","",IF(AH72&lt;V72,"Not Acceptable","Acceptable"))</f>
        <v/>
      </c>
      <c r="AF72" s="160" t="str">
        <f>IF(D72="","",I72)</f>
        <v/>
      </c>
      <c r="AG72" s="161" t="str">
        <f>IF(D72="","",VLOOKUP(F72,'9. All Habitats + Multipliers'!$C$4:$K$102,5,FALSE))</f>
        <v/>
      </c>
      <c r="AH72" s="162" t="str">
        <f>IF(AG72="","",VLOOKUP(AG72,'11. Lists'!$B$47:$D$49,2,FALSE))</f>
        <v/>
      </c>
      <c r="AI72" s="161" t="str">
        <f>IF(D72="","",J72)</f>
        <v/>
      </c>
      <c r="AJ72" s="466" t="str">
        <f>IF(AI72="","",VLOOKUP(AI72,'11. Lists'!$F$47:$G$51,2,FALSE))</f>
        <v/>
      </c>
      <c r="AK72" s="467"/>
      <c r="AL72" s="467"/>
      <c r="AM72" s="467"/>
      <c r="AN72" s="466" t="str">
        <f>IF(H72="","",H72)</f>
        <v/>
      </c>
      <c r="AO72" s="163" t="str">
        <f>IF(AN72="","",VLOOKUP(AN72,'11. Lists'!$F$36:$H$38,2,FALSE))</f>
        <v/>
      </c>
      <c r="AP72" s="162" t="str">
        <f>IF(AN72="","",VLOOKUP(AN72,'11. Lists'!$F$36:$H$38,3,FALSE))</f>
        <v/>
      </c>
      <c r="AQ72" s="161" t="str">
        <f>IF(D72="","",IF(AX72="Distinctiveness","N/A",VLOOKUP(F72,'10. Condition and Temporal'!$B$6:$L$103,11,FALSE)))</f>
        <v/>
      </c>
      <c r="AR72" s="165" t="str">
        <f>IF(AQ72="","",IF(AQ72="N/A","1",VLOOKUP(AQ72,'11. Lists'!$I$47:$K$80,3,FALSE)))</f>
        <v/>
      </c>
      <c r="AS72" s="180" t="str">
        <f>IF(D72="","",IF(AX72="Condition","N/A",VLOOKUP(F72,'10. Condition and Temporal'!$B$6:$M$106,12,FALSE)))</f>
        <v/>
      </c>
      <c r="AT72" s="165" t="str">
        <f>IF(AS72="","",IF(AS72="N/A","1",VLOOKUP(AS72,'11. Lists'!$I$47:$K$80,3,FALSE)))</f>
        <v/>
      </c>
      <c r="AU72" s="164" t="str">
        <f>IF(D72="","",VLOOKUP(F72,'9. All Habitats + Multipliers'!$C$4:$K$102,8,FALSE))</f>
        <v/>
      </c>
      <c r="AV72" s="162" t="str">
        <f>IF(AU72="","",VLOOKUP(AU72,'11. Lists'!$J$35:$K$38,2,FALSE))</f>
        <v/>
      </c>
      <c r="AW72" s="161" t="str">
        <f>IF(D72="","",VLOOKUP(D72,'10. Condition and Temporal'!$B$6:$M$103,4,FALSE))</f>
        <v/>
      </c>
      <c r="AX72" s="451" t="str">
        <f>IF(F72="","",IF(D72=F72,"Condition","Distinctiveness"))</f>
        <v/>
      </c>
      <c r="AY72" s="471" t="str">
        <v>1</v>
      </c>
      <c r="AZ72" s="468" t="str">
        <v>1</v>
      </c>
      <c r="BA72" s="61">
        <v>7</v>
      </c>
      <c r="BB72" s="60" t="str">
        <f>TRIM(MID(SUBSTITUTE($AW$66,$BA$62,REPT(" ",LEN($AW$66))),($BA72-1)*LEN($AW$66)+1,LEN($AW$66)))</f>
        <v/>
      </c>
      <c r="BC72" s="60" t="str">
        <f>TRIM(MID(SUBSTITUTE($AW$67,$BA$62,REPT(" ",LEN($AW$67))),($BA72-1)*LEN($AW$67)+1,LEN($AW$67)))</f>
        <v/>
      </c>
      <c r="BD72" s="60" t="str">
        <f>TRIM(MID(SUBSTITUTE($AW$68,$BA$62,REPT(" ",LEN($AW$68))),($BA72-1)*LEN($AW$68)+1,LEN($AW$68)))</f>
        <v/>
      </c>
      <c r="BE72" s="60" t="str">
        <f>TRIM(MID(SUBSTITUTE($AW$69,$BA$62,REPT(" ",LEN($AW$69))),($BA72-1)*LEN($AW$69)+1,LEN($AW$69)))</f>
        <v/>
      </c>
      <c r="BF72" s="60" t="str">
        <f>TRIM(MID(SUBSTITUTE($AW$70,$BA$62,REPT(" ",LEN($AW$70))),($BA72-1)*LEN($AW$70)+1,LEN($AW$70)))</f>
        <v/>
      </c>
      <c r="BG72" s="60" t="str">
        <f>TRIM(MID(SUBSTITUTE($AW$71,$BA$62,REPT(" ",LEN($AW$71))),($BA72-1)*LEN($AW$71)+1,LEN($AW$71)))</f>
        <v/>
      </c>
      <c r="BH72" s="60" t="str">
        <f>TRIM(MID(SUBSTITUTE($AW$72,$BA$62,REPT(" ",LEN($AW$72))),($BA72-1)*LEN($AW$72)+1,LEN($AW$72)))</f>
        <v/>
      </c>
      <c r="BI72" s="60" t="str">
        <f>TRIM(MID(SUBSTITUTE($AW$73,$BA$62,REPT(" ",LEN($AW$73))),($BA72-1)*LEN($AW$73)+1,LEN($AW$73)))</f>
        <v/>
      </c>
      <c r="BJ72" s="60" t="str">
        <f>TRIM(MID(SUBSTITUTE($AW$74,$BA$62,REPT(" ",LEN($AW$74))),($BA72-1)*LEN($AW$74)+1,LEN($AW$74)))</f>
        <v/>
      </c>
      <c r="BK72" s="60" t="str">
        <f>TRIM(MID(SUBSTITUTE($AW$75,$BA$62,REPT(" ",LEN($AW$75))),($BA72-1)*LEN($AW$75)+1,LEN($AW$75)))</f>
        <v/>
      </c>
      <c r="BL72" s="60" t="str">
        <f>TRIM(MID(SUBSTITUTE($AW$76,$BA$62,REPT(" ",LEN($AW$76))),($BA72-1)*LEN($AW$76)+1,LEN($AW$76)))</f>
        <v/>
      </c>
      <c r="BM72" s="60" t="str">
        <f>TRIM(MID(SUBSTITUTE($AW$77,$BA$62,REPT(" ",LEN($AW$77))),($BA72-1)*LEN($AW$77)+1,LEN($AW$77)))</f>
        <v/>
      </c>
      <c r="BN72" s="60" t="str">
        <f>TRIM(MID(SUBSTITUTE($AW$78,$BA$62,REPT(" ",LEN($AW$78))),($BA72-1)*LEN($AW$78)+1,LEN($AW$78)))</f>
        <v/>
      </c>
      <c r="BO72" s="60" t="str">
        <f>TRIM(MID(SUBSTITUTE($AW$79,$BA$62,REPT(" ",LEN($AW$79))),($BA72-1)*LEN($AW$79)+1,LEN($AW$79)))</f>
        <v/>
      </c>
      <c r="BP72" s="60" t="str">
        <f>TRIM(MID(SUBSTITUTE($AW$80,$BA$62,REPT(" ",LEN($AW$80))),($BA72-1)*LEN($AW$80)+1,LEN($AW$80)))</f>
        <v/>
      </c>
      <c r="BQ72" s="60" t="str">
        <f>TRIM(MID(SUBSTITUTE($AW$81,$BA$62,REPT(" ",LEN($AW$81))),($BA72-1)*LEN($AW$81)+1,LEN($AW$81)))</f>
        <v/>
      </c>
      <c r="BR72" s="60" t="str">
        <f>TRIM(MID(SUBSTITUTE($AW$82,$BA$62,REPT(" ",LEN($AW$82))),($BA72-1)*LEN($AW$82)+1,LEN($AW$82)))</f>
        <v/>
      </c>
      <c r="BS72" s="60" t="str">
        <f>TRIM(MID(SUBSTITUTE($AW$83,$BA$62,REPT(" ",LEN($AW$83))),($BA72-1)*LEN($AW$83)+1,LEN($AW$83)))</f>
        <v/>
      </c>
      <c r="BT72" s="60" t="str">
        <f>TRIM(MID(SUBSTITUTE($AW$84,$BA$62,REPT(" ",LEN($AW$84))),($BA72-1)*LEN($AW$84)+1,LEN($AW$84)))</f>
        <v/>
      </c>
      <c r="BU72" s="150" t="str">
        <f>TRIM(MID(SUBSTITUTE($AW$85,$BA$62,REPT(" ",LEN($AW$85))),($BA72-1)*LEN($AW$85)+1,LEN($AW$85)))</f>
        <v/>
      </c>
      <c r="BV72" s="224" t="str">
        <f>IF(BX72=0,"",CONCATENATE(BW72,"66:",BW72,BX72+65))</f>
        <v/>
      </c>
      <c r="BW72" s="60" t="s">
        <v>195</v>
      </c>
      <c r="BX72" s="60">
        <f>BH64</f>
        <v>0</v>
      </c>
    </row>
    <row r="73" spans="1:76" s="99" customFormat="1" ht="15.6" customHeight="1">
      <c r="B73" s="285">
        <v>8</v>
      </c>
      <c r="C73" s="166" t="str">
        <f>IF(D73="","",C18)</f>
        <v/>
      </c>
      <c r="D73" s="237" t="str">
        <f>IF(OR(K18="", K18=0),"",D18)</f>
        <v/>
      </c>
      <c r="E73" s="207" t="str">
        <f>IF(AX73="","",AX73)</f>
        <v/>
      </c>
      <c r="F73" s="739"/>
      <c r="G73" s="740"/>
      <c r="H73" s="204" t="str">
        <f>IF(D73="","",AB73)</f>
        <v/>
      </c>
      <c r="I73" s="330" t="str">
        <f>IF(OR(K18="",K18=0),"",K18)</f>
        <v/>
      </c>
      <c r="J73" s="931" t="str">
        <f>IF(F73="","",VLOOKUP(F73,'10. Condition and Temporal'!$B$6:$F$103,5,FALSE))</f>
        <v/>
      </c>
      <c r="K73" s="932"/>
      <c r="L73" s="25" t="str">
        <f>IFERROR(IF(D73="","",IF(AX73="Distinctiveness",(((((I73*AH73*AJ73*AY73)-(I73*V73*X73))*(AV73*AT73))+(I73*V73*X73))*AP73)/1000,((((I73*AH73*AJ73*AY73)-(I73*V73*X73*AJ18))*(AV73*AR73))+(I73*V73*X73*AJ18))*AP73/1000)),"This intervention is not permitted within the SSM ▲")</f>
        <v/>
      </c>
      <c r="M73" s="933" t="str">
        <f>IFERROR(IF(F73="","",L73-AD73), "Error ▲")</f>
        <v/>
      </c>
      <c r="N73" s="934"/>
      <c r="O73" s="135"/>
      <c r="P73" s="87"/>
      <c r="R73" s="655"/>
      <c r="T73" s="217" t="str">
        <f>IF(D73="","",K18)</f>
        <v/>
      </c>
      <c r="U73" s="161" t="str">
        <f>IF($D73="","",T18)</f>
        <v/>
      </c>
      <c r="V73" s="162" t="str">
        <f>IF($D73="","",V18)</f>
        <v/>
      </c>
      <c r="W73" s="160" t="str">
        <f>IF($D73="","",W18)</f>
        <v/>
      </c>
      <c r="X73" s="61" t="str">
        <f>IF($D73="","",X18)</f>
        <v/>
      </c>
      <c r="Y73" s="349"/>
      <c r="Z73" s="349"/>
      <c r="AA73" s="349"/>
      <c r="AB73" s="150" t="str">
        <f>IF($D73="","",AB18)</f>
        <v/>
      </c>
      <c r="AC73" s="164" t="str">
        <f>IF($D73="","",AD18)</f>
        <v/>
      </c>
      <c r="AD73" s="162" t="str">
        <f>IF(AC73="","",((T73*V73*X73)*AC73*AJ18)/1000)</f>
        <v/>
      </c>
      <c r="AE73" s="219" t="str">
        <f>IF(AD73="","",IF(AH73&lt;V73,"Not Acceptable","Acceptable"))</f>
        <v/>
      </c>
      <c r="AF73" s="160" t="str">
        <f>IF(D73="","",I73)</f>
        <v/>
      </c>
      <c r="AG73" s="161" t="str">
        <f>IF(D73="","",VLOOKUP(F73,'9. All Habitats + Multipliers'!$C$4:$K$102,5,FALSE))</f>
        <v/>
      </c>
      <c r="AH73" s="162" t="str">
        <f>IF(AG73="","",VLOOKUP(AG73,'11. Lists'!$B$47:$D$49,2,FALSE))</f>
        <v/>
      </c>
      <c r="AI73" s="161" t="str">
        <f>IF(D73="","",J73)</f>
        <v/>
      </c>
      <c r="AJ73" s="466" t="str">
        <f>IF(AI73="","",VLOOKUP(AI73,'11. Lists'!$F$47:$G$51,2,FALSE))</f>
        <v/>
      </c>
      <c r="AK73" s="467"/>
      <c r="AL73" s="467"/>
      <c r="AM73" s="467"/>
      <c r="AN73" s="466" t="str">
        <f>IF(H73="","",H73)</f>
        <v/>
      </c>
      <c r="AO73" s="163" t="str">
        <f>IF(AN73="","",VLOOKUP(AN73,'11. Lists'!$F$36:$H$38,2,FALSE))</f>
        <v/>
      </c>
      <c r="AP73" s="162" t="str">
        <f>IF(AN73="","",VLOOKUP(AN73,'11. Lists'!$F$36:$H$38,3,FALSE))</f>
        <v/>
      </c>
      <c r="AQ73" s="161" t="str">
        <f>IF(D73="","",IF(AX73="Distinctiveness","N/A",VLOOKUP(F73,'10. Condition and Temporal'!$B$6:$L$103,11,FALSE)))</f>
        <v/>
      </c>
      <c r="AR73" s="165" t="str">
        <f>IF(AQ73="","",IF(AQ73="N/A","1",VLOOKUP(AQ73,'11. Lists'!$I$47:$K$80,3,FALSE)))</f>
        <v/>
      </c>
      <c r="AS73" s="180" t="str">
        <f>IF(D73="","",IF(AX73="Condition","N/A",VLOOKUP(F73,'10. Condition and Temporal'!$B$6:$M$106,12,FALSE)))</f>
        <v/>
      </c>
      <c r="AT73" s="165" t="str">
        <f>IF(AS73="","",IF(AS73="N/A","1",VLOOKUP(AS73,'11. Lists'!$I$47:$K$80,3,FALSE)))</f>
        <v/>
      </c>
      <c r="AU73" s="164" t="str">
        <f>IF(D73="","",VLOOKUP(F73,'9. All Habitats + Multipliers'!$C$4:$K$102,8,FALSE))</f>
        <v/>
      </c>
      <c r="AV73" s="162" t="str">
        <f>IF(AU73="","",VLOOKUP(AU73,'11. Lists'!$J$35:$K$38,2,FALSE))</f>
        <v/>
      </c>
      <c r="AW73" s="161" t="str">
        <f>IF(D73="","",VLOOKUP(D73,'10. Condition and Temporal'!$B$6:$M$103,4,FALSE))</f>
        <v/>
      </c>
      <c r="AX73" s="451" t="str">
        <f>IF(F73="","",IF(D73=F73,"Condition","Distinctiveness"))</f>
        <v/>
      </c>
      <c r="AY73" s="471" t="str">
        <v>1</v>
      </c>
      <c r="AZ73" s="468" t="str">
        <v>1</v>
      </c>
      <c r="BA73" s="61">
        <v>8</v>
      </c>
      <c r="BB73" s="60" t="str">
        <f>TRIM(MID(SUBSTITUTE($AW$66,$BA$62,REPT(" ",LEN($AW$66))),($BA73-1)*LEN($AW$66)+1,LEN($AW$66)))</f>
        <v/>
      </c>
      <c r="BC73" s="60" t="str">
        <f>TRIM(MID(SUBSTITUTE($AW$67,$BA$62,REPT(" ",LEN($AW$67))),($BA73-1)*LEN($AW$67)+1,LEN($AW$67)))</f>
        <v/>
      </c>
      <c r="BD73" s="60" t="str">
        <f>TRIM(MID(SUBSTITUTE($AW$68,$BA$62,REPT(" ",LEN($AW$68))),($BA73-1)*LEN($AW$68)+1,LEN($AW$68)))</f>
        <v/>
      </c>
      <c r="BE73" s="60" t="str">
        <f>TRIM(MID(SUBSTITUTE($AW$69,$BA$62,REPT(" ",LEN($AW$69))),($BA73-1)*LEN($AW$69)+1,LEN($AW$69)))</f>
        <v/>
      </c>
      <c r="BF73" s="60" t="str">
        <f>TRIM(MID(SUBSTITUTE($AW$70,$BA$62,REPT(" ",LEN($AW$70))),($BA73-1)*LEN($AW$70)+1,LEN($AW$70)))</f>
        <v/>
      </c>
      <c r="BG73" s="60" t="str">
        <f>TRIM(MID(SUBSTITUTE($AW$71,$BA$62,REPT(" ",LEN($AW$71))),($BA73-1)*LEN($AW$71)+1,LEN($AW$71)))</f>
        <v/>
      </c>
      <c r="BH73" s="60" t="str">
        <f>TRIM(MID(SUBSTITUTE($AW$72,$BA$62,REPT(" ",LEN($AW$72))),($BA73-1)*LEN($AW$72)+1,LEN($AW$72)))</f>
        <v/>
      </c>
      <c r="BI73" s="60" t="str">
        <f>TRIM(MID(SUBSTITUTE($AW$73,$BA$62,REPT(" ",LEN($AW$73))),($BA73-1)*LEN($AW$73)+1,LEN($AW$73)))</f>
        <v/>
      </c>
      <c r="BJ73" s="60" t="str">
        <f>TRIM(MID(SUBSTITUTE($AW$74,$BA$62,REPT(" ",LEN($AW$74))),($BA73-1)*LEN($AW$74)+1,LEN($AW$74)))</f>
        <v/>
      </c>
      <c r="BK73" s="60" t="str">
        <f>TRIM(MID(SUBSTITUTE($AW$75,$BA$62,REPT(" ",LEN($AW$75))),($BA73-1)*LEN($AW$75)+1,LEN($AW$75)))</f>
        <v/>
      </c>
      <c r="BL73" s="60" t="str">
        <f>TRIM(MID(SUBSTITUTE($AW$76,$BA$62,REPT(" ",LEN($AW$76))),($BA73-1)*LEN($AW$76)+1,LEN($AW$76)))</f>
        <v/>
      </c>
      <c r="BM73" s="60" t="str">
        <f>TRIM(MID(SUBSTITUTE($AW$77,$BA$62,REPT(" ",LEN($AW$77))),($BA73-1)*LEN($AW$77)+1,LEN($AW$77)))</f>
        <v/>
      </c>
      <c r="BN73" s="60" t="str">
        <f>TRIM(MID(SUBSTITUTE($AW$78,$BA$62,REPT(" ",LEN($AW$78))),($BA73-1)*LEN($AW$78)+1,LEN($AW$78)))</f>
        <v/>
      </c>
      <c r="BO73" s="60" t="str">
        <f>TRIM(MID(SUBSTITUTE($AW$79,$BA$62,REPT(" ",LEN($AW$79))),($BA73-1)*LEN($AW$79)+1,LEN($AW$79)))</f>
        <v/>
      </c>
      <c r="BP73" s="60" t="str">
        <f>TRIM(MID(SUBSTITUTE($AW$80,$BA$62,REPT(" ",LEN($AW$80))),($BA73-1)*LEN($AW$80)+1,LEN($AW$80)))</f>
        <v/>
      </c>
      <c r="BQ73" s="60" t="str">
        <f>TRIM(MID(SUBSTITUTE($AW$81,$BA$62,REPT(" ",LEN($AW$81))),($BA73-1)*LEN($AW$81)+1,LEN($AW$81)))</f>
        <v/>
      </c>
      <c r="BR73" s="60" t="str">
        <f>TRIM(MID(SUBSTITUTE($AW$82,$BA$62,REPT(" ",LEN($AW$82))),($BA73-1)*LEN($AW$82)+1,LEN($AW$82)))</f>
        <v/>
      </c>
      <c r="BS73" s="60" t="str">
        <f>TRIM(MID(SUBSTITUTE($AW$83,$BA$62,REPT(" ",LEN($AW$83))),($BA73-1)*LEN($AW$83)+1,LEN($AW$83)))</f>
        <v/>
      </c>
      <c r="BT73" s="60" t="str">
        <f>TRIM(MID(SUBSTITUTE($AW$84,$BA$62,REPT(" ",LEN($AW$84))),($BA73-1)*LEN($AW$84)+1,LEN($AW$84)))</f>
        <v/>
      </c>
      <c r="BU73" s="150" t="str">
        <f>TRIM(MID(SUBSTITUTE($AW$85,$BA$62,REPT(" ",LEN($AW$85))),($BA73-1)*LEN($AW$85)+1,LEN($AW$85)))</f>
        <v/>
      </c>
      <c r="BV73" s="224" t="str">
        <f>IF(BX73=0,"",CONCATENATE(BW73,"66:",BW73,BX73+65))</f>
        <v/>
      </c>
      <c r="BW73" s="60" t="s">
        <v>196</v>
      </c>
      <c r="BX73" s="60">
        <f>BI64</f>
        <v>0</v>
      </c>
    </row>
    <row r="74" spans="1:76" s="99" customFormat="1" ht="15.75" customHeight="1">
      <c r="B74" s="285">
        <v>9</v>
      </c>
      <c r="C74" s="166" t="str">
        <f>IF(D74="","",C19)</f>
        <v/>
      </c>
      <c r="D74" s="237" t="str">
        <f>IF(OR(K19="", K19=0),"",D19)</f>
        <v/>
      </c>
      <c r="E74" s="207" t="str">
        <f>IF(AX74="","",AX74)</f>
        <v/>
      </c>
      <c r="F74" s="739"/>
      <c r="G74" s="740"/>
      <c r="H74" s="204" t="str">
        <f>IF(D74="","",AB74)</f>
        <v/>
      </c>
      <c r="I74" s="330" t="str">
        <f>IF(OR(K19="",K19=0),"",K19)</f>
        <v/>
      </c>
      <c r="J74" s="931" t="str">
        <f>IF(F74="","",VLOOKUP(F74,'10. Condition and Temporal'!$B$6:$F$103,5,FALSE))</f>
        <v/>
      </c>
      <c r="K74" s="932"/>
      <c r="L74" s="25" t="str">
        <f>IFERROR(IF(D74="","",IF(AX74="Distinctiveness",(((((I74*AH74*AJ74*AY74)-(I74*V74*X74))*(AV74*AT74))+(I74*V74*X74))*AP74)/1000,((((I74*AH74*AJ74*AY74)-(I74*V74*X74*AJ19))*(AV74*AR74))+(I74*V74*X74*AJ19))*AP74/1000)),"This intervention is not permitted within the SSM ▲")</f>
        <v/>
      </c>
      <c r="M74" s="933" t="str">
        <f>IFERROR(IF(F74="","",L74-AD74), "Error ▲")</f>
        <v/>
      </c>
      <c r="N74" s="934"/>
      <c r="O74" s="135"/>
      <c r="P74" s="87"/>
      <c r="R74" s="655"/>
      <c r="T74" s="217" t="str">
        <f>IF(D74="","",K19)</f>
        <v/>
      </c>
      <c r="U74" s="161" t="str">
        <f>IF($D74="","",T19)</f>
        <v/>
      </c>
      <c r="V74" s="162" t="str">
        <f>IF($D74="","",V19)</f>
        <v/>
      </c>
      <c r="W74" s="160" t="str">
        <f>IF($D74="","",W19)</f>
        <v/>
      </c>
      <c r="X74" s="61" t="str">
        <f>IF($D74="","",X19)</f>
        <v/>
      </c>
      <c r="Y74" s="349"/>
      <c r="Z74" s="349"/>
      <c r="AA74" s="349"/>
      <c r="AB74" s="150" t="str">
        <f>IF($D74="","",AB19)</f>
        <v/>
      </c>
      <c r="AC74" s="164" t="str">
        <f>IF($D74="","",AD19)</f>
        <v/>
      </c>
      <c r="AD74" s="162" t="str">
        <f>IF(AC74="","",((T74*V74*X74)*AC74*AJ19)/1000)</f>
        <v/>
      </c>
      <c r="AE74" s="219" t="str">
        <f>IF(AD74="","",IF(AH74&lt;V74,"Not Acceptable","Acceptable"))</f>
        <v/>
      </c>
      <c r="AF74" s="160" t="str">
        <f>IF(D74="","",I74)</f>
        <v/>
      </c>
      <c r="AG74" s="161" t="str">
        <f>IF(D74="","",VLOOKUP(F74,'9. All Habitats + Multipliers'!$C$4:$K$102,5,FALSE))</f>
        <v/>
      </c>
      <c r="AH74" s="162" t="str">
        <f>IF(AG74="","",VLOOKUP(AG74,'11. Lists'!$B$47:$D$49,2,FALSE))</f>
        <v/>
      </c>
      <c r="AI74" s="161" t="str">
        <f>IF(D74="","",J74)</f>
        <v/>
      </c>
      <c r="AJ74" s="466" t="str">
        <f>IF(AI74="","",VLOOKUP(AI74,'11. Lists'!$F$47:$G$51,2,FALSE))</f>
        <v/>
      </c>
      <c r="AK74" s="467"/>
      <c r="AL74" s="467"/>
      <c r="AM74" s="467"/>
      <c r="AN74" s="466" t="str">
        <f>IF(H74="","",H74)</f>
        <v/>
      </c>
      <c r="AO74" s="163" t="str">
        <f>IF(AN74="","",VLOOKUP(AN74,'11. Lists'!$F$36:$H$38,2,FALSE))</f>
        <v/>
      </c>
      <c r="AP74" s="162" t="str">
        <f>IF(AN74="","",VLOOKUP(AN74,'11. Lists'!$F$36:$H$38,3,FALSE))</f>
        <v/>
      </c>
      <c r="AQ74" s="161" t="str">
        <f>IF(D74="","",IF(AX74="Distinctiveness","N/A",VLOOKUP(F74,'10. Condition and Temporal'!$B$6:$L$103,11,FALSE)))</f>
        <v/>
      </c>
      <c r="AR74" s="165" t="str">
        <f>IF(AQ74="","",IF(AQ74="N/A","1",VLOOKUP(AQ74,'11. Lists'!$I$47:$K$80,3,FALSE)))</f>
        <v/>
      </c>
      <c r="AS74" s="180" t="str">
        <f>IF(D74="","",IF(AX74="Condition","N/A",VLOOKUP(F74,'10. Condition and Temporal'!$B$6:$M$106,12,FALSE)))</f>
        <v/>
      </c>
      <c r="AT74" s="165" t="str">
        <f>IF(AS74="","",IF(AS74="N/A","1",VLOOKUP(AS74,'11. Lists'!$I$47:$K$80,3,FALSE)))</f>
        <v/>
      </c>
      <c r="AU74" s="164" t="str">
        <f>IF(D74="","",VLOOKUP(F74,'9. All Habitats + Multipliers'!$C$4:$K$102,8,FALSE))</f>
        <v/>
      </c>
      <c r="AV74" s="162" t="str">
        <f>IF(AU74="","",VLOOKUP(AU74,'11. Lists'!$J$35:$K$38,2,FALSE))</f>
        <v/>
      </c>
      <c r="AW74" s="161" t="str">
        <f>IF(D74="","",VLOOKUP(D74,'10. Condition and Temporal'!$B$6:$M$103,4,FALSE))</f>
        <v/>
      </c>
      <c r="AX74" s="451" t="str">
        <f>IF(F74="","",IF(D74=F74,"Condition","Distinctiveness"))</f>
        <v/>
      </c>
      <c r="AY74" s="471" t="str">
        <v>1</v>
      </c>
      <c r="AZ74" s="468" t="str">
        <v>1</v>
      </c>
      <c r="BA74" s="61">
        <v>9</v>
      </c>
      <c r="BB74" s="60" t="str">
        <f>TRIM(MID(SUBSTITUTE($AW$66,$BA$62,REPT(" ",LEN($AW$66))),($BA74-1)*LEN($AW$66)+1,LEN($AW$66)))</f>
        <v/>
      </c>
      <c r="BC74" s="60" t="str">
        <f>TRIM(MID(SUBSTITUTE($AW$67,$BA$62,REPT(" ",LEN($AW$67))),($BA74-1)*LEN($AW$67)+1,LEN($AW$67)))</f>
        <v/>
      </c>
      <c r="BD74" s="60" t="str">
        <f>TRIM(MID(SUBSTITUTE($AW$68,$BA$62,REPT(" ",LEN($AW$68))),($BA74-1)*LEN($AW$68)+1,LEN($AW$68)))</f>
        <v/>
      </c>
      <c r="BE74" s="60" t="str">
        <f>TRIM(MID(SUBSTITUTE($AW$69,$BA$62,REPT(" ",LEN($AW$69))),($BA74-1)*LEN($AW$69)+1,LEN($AW$69)))</f>
        <v/>
      </c>
      <c r="BF74" s="60" t="str">
        <f>TRIM(MID(SUBSTITUTE($AW$70,$BA$62,REPT(" ",LEN($AW$70))),($BA74-1)*LEN($AW$70)+1,LEN($AW$70)))</f>
        <v/>
      </c>
      <c r="BG74" s="60" t="str">
        <f>TRIM(MID(SUBSTITUTE($AW$71,$BA$62,REPT(" ",LEN($AW$71))),($BA74-1)*LEN($AW$71)+1,LEN($AW$71)))</f>
        <v/>
      </c>
      <c r="BH74" s="60" t="str">
        <f>TRIM(MID(SUBSTITUTE($AW$72,$BA$62,REPT(" ",LEN($AW$72))),($BA74-1)*LEN($AW$72)+1,LEN($AW$72)))</f>
        <v/>
      </c>
      <c r="BI74" s="60" t="str">
        <f>TRIM(MID(SUBSTITUTE($AW$73,$BA$62,REPT(" ",LEN($AW$73))),($BA74-1)*LEN($AW$73)+1,LEN($AW$73)))</f>
        <v/>
      </c>
      <c r="BJ74" s="60" t="str">
        <f>TRIM(MID(SUBSTITUTE($AW$74,$BA$62,REPT(" ",LEN($AW$74))),($BA74-1)*LEN($AW$74)+1,LEN($AW$74)))</f>
        <v/>
      </c>
      <c r="BK74" s="60" t="str">
        <f>TRIM(MID(SUBSTITUTE($AW$75,$BA$62,REPT(" ",LEN($AW$75))),($BA74-1)*LEN($AW$75)+1,LEN($AW$75)))</f>
        <v/>
      </c>
      <c r="BL74" s="60" t="str">
        <f>TRIM(MID(SUBSTITUTE($AW$76,$BA$62,REPT(" ",LEN($AW$76))),($BA74-1)*LEN($AW$76)+1,LEN($AW$76)))</f>
        <v/>
      </c>
      <c r="BM74" s="60" t="str">
        <f>TRIM(MID(SUBSTITUTE($AW$77,$BA$62,REPT(" ",LEN($AW$77))),($BA74-1)*LEN($AW$77)+1,LEN($AW$77)))</f>
        <v/>
      </c>
      <c r="BN74" s="60" t="str">
        <f>TRIM(MID(SUBSTITUTE($AW$78,$BA$62,REPT(" ",LEN($AW$78))),($BA74-1)*LEN($AW$78)+1,LEN($AW$78)))</f>
        <v/>
      </c>
      <c r="BO74" s="60" t="str">
        <f>TRIM(MID(SUBSTITUTE($AW$79,$BA$62,REPT(" ",LEN($AW$79))),($BA74-1)*LEN($AW$79)+1,LEN($AW$79)))</f>
        <v/>
      </c>
      <c r="BP74" s="60" t="str">
        <f>TRIM(MID(SUBSTITUTE($AW$80,$BA$62,REPT(" ",LEN($AW$80))),($BA74-1)*LEN($AW$80)+1,LEN($AW$80)))</f>
        <v/>
      </c>
      <c r="BQ74" s="60" t="str">
        <f>TRIM(MID(SUBSTITUTE($AW$81,$BA$62,REPT(" ",LEN($AW$81))),($BA74-1)*LEN($AW$81)+1,LEN($AW$81)))</f>
        <v/>
      </c>
      <c r="BR74" s="60" t="str">
        <f>TRIM(MID(SUBSTITUTE($AW$82,$BA$62,REPT(" ",LEN($AW$82))),($BA74-1)*LEN($AW$82)+1,LEN($AW$82)))</f>
        <v/>
      </c>
      <c r="BS74" s="60" t="str">
        <f>TRIM(MID(SUBSTITUTE($AW$83,$BA$62,REPT(" ",LEN($AW$83))),($BA74-1)*LEN($AW$83)+1,LEN($AW$83)))</f>
        <v/>
      </c>
      <c r="BT74" s="60" t="str">
        <f>TRIM(MID(SUBSTITUTE($AW$84,$BA$62,REPT(" ",LEN($AW$84))),($BA74-1)*LEN($AW$84)+1,LEN($AW$84)))</f>
        <v/>
      </c>
      <c r="BU74" s="150" t="str">
        <f>TRIM(MID(SUBSTITUTE($AW$85,$BA$62,REPT(" ",LEN($AW$85))),($BA74-1)*LEN($AW$85)+1,LEN($AW$85)))</f>
        <v/>
      </c>
      <c r="BV74" s="224" t="str">
        <f>IF(BX74=0,"",CONCATENATE(BW74,"66:",BW74,BX74+65))</f>
        <v/>
      </c>
      <c r="BW74" s="60" t="s">
        <v>197</v>
      </c>
      <c r="BX74" s="60">
        <f>BJ64</f>
        <v>0</v>
      </c>
    </row>
    <row r="75" spans="1:76" s="99" customFormat="1" ht="15.75" customHeight="1">
      <c r="B75" s="285">
        <v>10</v>
      </c>
      <c r="C75" s="166" t="str">
        <f>IF(D75="","",C20)</f>
        <v/>
      </c>
      <c r="D75" s="237" t="str">
        <f>IF(OR(K20="", K20=0),"",D20)</f>
        <v/>
      </c>
      <c r="E75" s="207" t="str">
        <f>IF(AX75="","",AX75)</f>
        <v/>
      </c>
      <c r="F75" s="739"/>
      <c r="G75" s="740"/>
      <c r="H75" s="204" t="str">
        <f>IF(D75="","",AB75)</f>
        <v/>
      </c>
      <c r="I75" s="330" t="str">
        <f>IF(OR(K20="",K20=0),"",K20)</f>
        <v/>
      </c>
      <c r="J75" s="931" t="str">
        <f>IF(F75="","",VLOOKUP(F75,'10. Condition and Temporal'!$B$6:$F$103,5,FALSE))</f>
        <v/>
      </c>
      <c r="K75" s="932"/>
      <c r="L75" s="25" t="str">
        <f>IFERROR(IF(D75="","",IF(AX75="Distinctiveness",(((((I75*AH75*AJ75*AY75)-(I75*V75*X75))*(AV75*AT75))+(I75*V75*X75))*AP75)/1000,((((I75*AH75*AJ75*AY75)-(I75*V75*X75*AJ20))*(AV75*AR75))+(I75*V75*X75*AJ20))*AP75/1000)),"This intervention is not permitted within the SSM ▲")</f>
        <v/>
      </c>
      <c r="M75" s="933" t="str">
        <f>IFERROR(IF(F75="","",L75-AD75), "Error ▲")</f>
        <v/>
      </c>
      <c r="N75" s="934"/>
      <c r="O75" s="135"/>
      <c r="P75" s="87"/>
      <c r="R75" s="655"/>
      <c r="T75" s="217" t="str">
        <f>IF(D75="","",K20)</f>
        <v/>
      </c>
      <c r="U75" s="161" t="str">
        <f>IF($D75="","",T20)</f>
        <v/>
      </c>
      <c r="V75" s="162" t="str">
        <f>IF($D75="","",V20)</f>
        <v/>
      </c>
      <c r="W75" s="160" t="str">
        <f>IF($D75="","",W20)</f>
        <v/>
      </c>
      <c r="X75" s="61" t="str">
        <f>IF($D75="","",X20)</f>
        <v/>
      </c>
      <c r="Y75" s="349"/>
      <c r="Z75" s="349"/>
      <c r="AA75" s="349"/>
      <c r="AB75" s="150" t="str">
        <f>IF($D75="","",AB20)</f>
        <v/>
      </c>
      <c r="AC75" s="164" t="str">
        <f>IF($D75="","",AD20)</f>
        <v/>
      </c>
      <c r="AD75" s="162" t="str">
        <f>IF(AC75="","",((T75*V75*X75)*AC75*AJ20)/1000)</f>
        <v/>
      </c>
      <c r="AE75" s="219" t="str">
        <f>IF(AD75="","",IF(AH75&lt;V75,"Not Acceptable","Acceptable"))</f>
        <v/>
      </c>
      <c r="AF75" s="160" t="str">
        <f>IF(D75="","",I75)</f>
        <v/>
      </c>
      <c r="AG75" s="161" t="str">
        <f>IF(D75="","",VLOOKUP(F75,'9. All Habitats + Multipliers'!$C$4:$K$102,5,FALSE))</f>
        <v/>
      </c>
      <c r="AH75" s="162" t="str">
        <f>IF(AG75="","",VLOOKUP(AG75,'11. Lists'!$B$47:$D$49,2,FALSE))</f>
        <v/>
      </c>
      <c r="AI75" s="161" t="str">
        <f>IF(D75="","",J75)</f>
        <v/>
      </c>
      <c r="AJ75" s="466" t="str">
        <f>IF(AI75="","",VLOOKUP(AI75,'11. Lists'!$F$47:$G$51,2,FALSE))</f>
        <v/>
      </c>
      <c r="AK75" s="467"/>
      <c r="AL75" s="467"/>
      <c r="AM75" s="467"/>
      <c r="AN75" s="466" t="str">
        <f>IF(H75="","",H75)</f>
        <v/>
      </c>
      <c r="AO75" s="163" t="str">
        <f>IF(AN75="","",VLOOKUP(AN75,'11. Lists'!$F$36:$H$38,2,FALSE))</f>
        <v/>
      </c>
      <c r="AP75" s="162" t="str">
        <f>IF(AN75="","",VLOOKUP(AN75,'11. Lists'!$F$36:$H$38,3,FALSE))</f>
        <v/>
      </c>
      <c r="AQ75" s="161" t="str">
        <f>IF(D75="","",IF(AX75="Distinctiveness","N/A",VLOOKUP(F75,'10. Condition and Temporal'!$B$6:$L$103,11,FALSE)))</f>
        <v/>
      </c>
      <c r="AR75" s="165" t="str">
        <f>IF(AQ75="","",IF(AQ75="N/A","1",VLOOKUP(AQ75,'11. Lists'!$I$47:$K$80,3,FALSE)))</f>
        <v/>
      </c>
      <c r="AS75" s="180" t="str">
        <f>IF(D75="","",IF(AX75="Condition","N/A",VLOOKUP(F75,'10. Condition and Temporal'!$B$6:$M$106,12,FALSE)))</f>
        <v/>
      </c>
      <c r="AT75" s="165" t="str">
        <f>IF(AS75="","",IF(AS75="N/A","1",VLOOKUP(AS75,'11. Lists'!$I$47:$K$80,3,FALSE)))</f>
        <v/>
      </c>
      <c r="AU75" s="164" t="str">
        <f>IF(D75="","",VLOOKUP(F75,'9. All Habitats + Multipliers'!$C$4:$K$102,8,FALSE))</f>
        <v/>
      </c>
      <c r="AV75" s="162" t="str">
        <f>IF(AU75="","",VLOOKUP(AU75,'11. Lists'!$J$35:$K$38,2,FALSE))</f>
        <v/>
      </c>
      <c r="AW75" s="161" t="str">
        <f>IF(D75="","",VLOOKUP(D75,'10. Condition and Temporal'!$B$6:$M$103,4,FALSE))</f>
        <v/>
      </c>
      <c r="AX75" s="451" t="str">
        <f>IF(F75="","",IF(D75=F75,"Condition","Distinctiveness"))</f>
        <v/>
      </c>
      <c r="AY75" s="471" t="str">
        <v>1</v>
      </c>
      <c r="AZ75" s="468" t="str">
        <v>1</v>
      </c>
      <c r="BA75" s="61">
        <v>10</v>
      </c>
      <c r="BB75" s="60" t="str">
        <f>TRIM(MID(SUBSTITUTE($AW$66,$BA$62,REPT(" ",LEN($AW$66))),($BA75-1)*LEN($AW$66)+1,LEN($AW$66)))</f>
        <v/>
      </c>
      <c r="BC75" s="60" t="str">
        <f>TRIM(MID(SUBSTITUTE($AW$67,$BA$62,REPT(" ",LEN($AW$67))),($BA75-1)*LEN($AW$67)+1,LEN($AW$67)))</f>
        <v/>
      </c>
      <c r="BD75" s="60" t="str">
        <f>TRIM(MID(SUBSTITUTE($AW$68,$BA$62,REPT(" ",LEN($AW$68))),($BA75-1)*LEN($AW$68)+1,LEN($AW$68)))</f>
        <v/>
      </c>
      <c r="BE75" s="60" t="str">
        <f>TRIM(MID(SUBSTITUTE($AW$69,$BA$62,REPT(" ",LEN($AW$69))),($BA75-1)*LEN($AW$69)+1,LEN($AW$69)))</f>
        <v/>
      </c>
      <c r="BF75" s="60" t="str">
        <f>TRIM(MID(SUBSTITUTE($AW$70,$BA$62,REPT(" ",LEN($AW$70))),($BA75-1)*LEN($AW$70)+1,LEN($AW$70)))</f>
        <v/>
      </c>
      <c r="BG75" s="60" t="str">
        <f>TRIM(MID(SUBSTITUTE($AW$71,$BA$62,REPT(" ",LEN($AW$71))),($BA75-1)*LEN($AW$71)+1,LEN($AW$71)))</f>
        <v/>
      </c>
      <c r="BH75" s="60" t="str">
        <f>TRIM(MID(SUBSTITUTE($AW$72,$BA$62,REPT(" ",LEN($AW$72))),($BA75-1)*LEN($AW$72)+1,LEN($AW$72)))</f>
        <v/>
      </c>
      <c r="BI75" s="60" t="str">
        <f>TRIM(MID(SUBSTITUTE($AW$73,$BA$62,REPT(" ",LEN($AW$73))),($BA75-1)*LEN($AW$73)+1,LEN($AW$73)))</f>
        <v/>
      </c>
      <c r="BJ75" s="60" t="str">
        <f>TRIM(MID(SUBSTITUTE($AW$74,$BA$62,REPT(" ",LEN($AW$74))),($BA75-1)*LEN($AW$74)+1,LEN($AW$74)))</f>
        <v/>
      </c>
      <c r="BK75" s="60" t="str">
        <f>TRIM(MID(SUBSTITUTE($AW$75,$BA$62,REPT(" ",LEN($AW$75))),($BA75-1)*LEN($AW$75)+1,LEN($AW$75)))</f>
        <v/>
      </c>
      <c r="BL75" s="60" t="str">
        <f>TRIM(MID(SUBSTITUTE($AW$76,$BA$62,REPT(" ",LEN($AW$76))),($BA75-1)*LEN($AW$76)+1,LEN($AW$76)))</f>
        <v/>
      </c>
      <c r="BM75" s="60" t="str">
        <f>TRIM(MID(SUBSTITUTE($AW$77,$BA$62,REPT(" ",LEN($AW$77))),($BA75-1)*LEN($AW$77)+1,LEN($AW$77)))</f>
        <v/>
      </c>
      <c r="BN75" s="60" t="str">
        <f>TRIM(MID(SUBSTITUTE($AW$78,$BA$62,REPT(" ",LEN($AW$78))),($BA75-1)*LEN($AW$78)+1,LEN($AW$78)))</f>
        <v/>
      </c>
      <c r="BO75" s="60" t="str">
        <f>TRIM(MID(SUBSTITUTE($AW$79,$BA$62,REPT(" ",LEN($AW$79))),($BA75-1)*LEN($AW$79)+1,LEN($AW$79)))</f>
        <v/>
      </c>
      <c r="BP75" s="60" t="str">
        <f>TRIM(MID(SUBSTITUTE($AW$80,$BA$62,REPT(" ",LEN($AW$80))),($BA75-1)*LEN($AW$80)+1,LEN($AW$80)))</f>
        <v/>
      </c>
      <c r="BQ75" s="60" t="str">
        <f>TRIM(MID(SUBSTITUTE($AW$81,$BA$62,REPT(" ",LEN($AW$81))),($BA75-1)*LEN($AW$81)+1,LEN($AW$81)))</f>
        <v/>
      </c>
      <c r="BR75" s="60" t="str">
        <f>TRIM(MID(SUBSTITUTE($AW$82,$BA$62,REPT(" ",LEN($AW$82))),($BA75-1)*LEN($AW$82)+1,LEN($AW$82)))</f>
        <v/>
      </c>
      <c r="BS75" s="60" t="str">
        <f>TRIM(MID(SUBSTITUTE($AW$83,$BA$62,REPT(" ",LEN($AW$83))),($BA75-1)*LEN($AW$83)+1,LEN($AW$83)))</f>
        <v/>
      </c>
      <c r="BT75" s="60" t="str">
        <f>TRIM(MID(SUBSTITUTE($AW$84,$BA$62,REPT(" ",LEN($AW$84))),($BA75-1)*LEN($AW$84)+1,LEN($AW$84)))</f>
        <v/>
      </c>
      <c r="BU75" s="150" t="str">
        <f>TRIM(MID(SUBSTITUTE($AW$85,$BA$62,REPT(" ",LEN($AW$85))),($BA75-1)*LEN($AW$85)+1,LEN($AW$85)))</f>
        <v/>
      </c>
      <c r="BV75" s="224" t="str">
        <f>IF(BX75=0,"",CONCATENATE(BW75,"66:",BW75,BX75+65))</f>
        <v/>
      </c>
      <c r="BW75" s="60" t="s">
        <v>198</v>
      </c>
      <c r="BX75" s="60">
        <f>BK64</f>
        <v>0</v>
      </c>
    </row>
    <row r="76" spans="1:76" s="99" customFormat="1" ht="15.6" customHeight="1">
      <c r="B76" s="285">
        <v>11</v>
      </c>
      <c r="C76" s="166" t="str">
        <f>IF(D76="","",C21)</f>
        <v/>
      </c>
      <c r="D76" s="237" t="str">
        <f>IF(OR(K21="", K21=0),"",D21)</f>
        <v/>
      </c>
      <c r="E76" s="207" t="str">
        <f>IF(AX76="","",AX76)</f>
        <v/>
      </c>
      <c r="F76" s="739"/>
      <c r="G76" s="740"/>
      <c r="H76" s="204" t="str">
        <f>IF(D76="","",AB76)</f>
        <v/>
      </c>
      <c r="I76" s="330" t="str">
        <f>IF(OR(K21="",K21=0),"",K21)</f>
        <v/>
      </c>
      <c r="J76" s="931" t="str">
        <f>IF(F76="","",VLOOKUP(F76,'10. Condition and Temporal'!$B$6:$F$103,5,FALSE))</f>
        <v/>
      </c>
      <c r="K76" s="932"/>
      <c r="L76" s="25" t="str">
        <f>IFERROR(IF(D76="","",IF(AX76="Distinctiveness",(((((I76*AH76*AJ76*AY76)-(I76*V76*X76))*(AV76*AT76))+(I76*V76*X76))*AP76)/1000,((((I76*AH76*AJ76*AY76)-(I76*V76*X76*AJ21))*(AV76*AR76))+(I76*V76*X76*AJ21))*AP76/1000)),"This intervention is not permitted within the SSM ▲")</f>
        <v/>
      </c>
      <c r="M76" s="933" t="str">
        <f>IFERROR(IF(F76="","",L76-AD76), "Error ▲")</f>
        <v/>
      </c>
      <c r="N76" s="934"/>
      <c r="O76" s="135"/>
      <c r="P76" s="87"/>
      <c r="R76" s="655"/>
      <c r="T76" s="217" t="str">
        <f>IF(D76="","",K21)</f>
        <v/>
      </c>
      <c r="U76" s="161" t="str">
        <f>IF($D76="","",T21)</f>
        <v/>
      </c>
      <c r="V76" s="162" t="str">
        <f>IF($D76="","",V21)</f>
        <v/>
      </c>
      <c r="W76" s="160" t="str">
        <f>IF($D76="","",W21)</f>
        <v/>
      </c>
      <c r="X76" s="61" t="str">
        <f>IF($D76="","",X21)</f>
        <v/>
      </c>
      <c r="Y76" s="349"/>
      <c r="Z76" s="349"/>
      <c r="AA76" s="349"/>
      <c r="AB76" s="150" t="str">
        <f>IF($D76="","",AB21)</f>
        <v/>
      </c>
      <c r="AC76" s="164" t="str">
        <f>IF($D76="","",AD21)</f>
        <v/>
      </c>
      <c r="AD76" s="162" t="str">
        <f>IF(AC76="","",((T76*V76*X76)*AC76*AJ21)/1000)</f>
        <v/>
      </c>
      <c r="AE76" s="219" t="str">
        <f>IF(AD76="","",IF(AH76&lt;V76,"Not Acceptable","Acceptable"))</f>
        <v/>
      </c>
      <c r="AF76" s="160" t="str">
        <f>IF(D76="","",I76)</f>
        <v/>
      </c>
      <c r="AG76" s="161" t="str">
        <f>IF(D76="","",VLOOKUP(F76,'9. All Habitats + Multipliers'!$C$4:$K$102,5,FALSE))</f>
        <v/>
      </c>
      <c r="AH76" s="162" t="str">
        <f>IF(AG76="","",VLOOKUP(AG76,'11. Lists'!$B$47:$D$49,2,FALSE))</f>
        <v/>
      </c>
      <c r="AI76" s="161" t="str">
        <f>IF(D76="","",J76)</f>
        <v/>
      </c>
      <c r="AJ76" s="466" t="str">
        <f>IF(AI76="","",VLOOKUP(AI76,'11. Lists'!$F$47:$G$51,2,FALSE))</f>
        <v/>
      </c>
      <c r="AK76" s="467"/>
      <c r="AL76" s="467"/>
      <c r="AM76" s="467"/>
      <c r="AN76" s="466" t="str">
        <f>IF(H76="","",H76)</f>
        <v/>
      </c>
      <c r="AO76" s="163" t="str">
        <f>IF(AN76="","",VLOOKUP(AN76,'11. Lists'!$F$36:$H$38,2,FALSE))</f>
        <v/>
      </c>
      <c r="AP76" s="162" t="str">
        <f>IF(AN76="","",VLOOKUP(AN76,'11. Lists'!$F$36:$H$38,3,FALSE))</f>
        <v/>
      </c>
      <c r="AQ76" s="161" t="str">
        <f>IF(D76="","",IF(AX76="Distinctiveness","N/A",VLOOKUP(F76,'10. Condition and Temporal'!$B$6:$L$103,11,FALSE)))</f>
        <v/>
      </c>
      <c r="AR76" s="165" t="str">
        <f>IF(AQ76="","",IF(AQ76="N/A","1",VLOOKUP(AQ76,'11. Lists'!$I$47:$K$80,3,FALSE)))</f>
        <v/>
      </c>
      <c r="AS76" s="180" t="str">
        <f>IF(D76="","",IF(AX76="Condition","N/A",VLOOKUP(F76,'10. Condition and Temporal'!$B$6:$M$106,12,FALSE)))</f>
        <v/>
      </c>
      <c r="AT76" s="165" t="str">
        <f>IF(AS76="","",IF(AS76="N/A","1",VLOOKUP(AS76,'11. Lists'!$I$47:$K$80,3,FALSE)))</f>
        <v/>
      </c>
      <c r="AU76" s="164" t="str">
        <f>IF(D76="","",VLOOKUP(F76,'9. All Habitats + Multipliers'!$C$4:$K$102,8,FALSE))</f>
        <v/>
      </c>
      <c r="AV76" s="162" t="str">
        <f>IF(AU76="","",VLOOKUP(AU76,'11. Lists'!$J$35:$K$38,2,FALSE))</f>
        <v/>
      </c>
      <c r="AW76" s="161" t="str">
        <f>IF(D76="","",VLOOKUP(D76,'10. Condition and Temporal'!$B$6:$M$103,4,FALSE))</f>
        <v/>
      </c>
      <c r="AX76" s="451" t="str">
        <f>IF(F76="","",IF(D76=F76,"Condition","Distinctiveness"))</f>
        <v/>
      </c>
      <c r="AY76" s="471" t="str">
        <v>1</v>
      </c>
      <c r="AZ76" s="468" t="str">
        <v>1</v>
      </c>
      <c r="BA76" s="61">
        <v>11</v>
      </c>
      <c r="BB76" s="60" t="str">
        <f>TRIM(MID(SUBSTITUTE($AW$66,$BA$62,REPT(" ",LEN($AW$66))),($BA76-1)*LEN($AW$66)+1,LEN($AW$66)))</f>
        <v/>
      </c>
      <c r="BC76" s="60" t="str">
        <f>TRIM(MID(SUBSTITUTE($AW$67,$BA$62,REPT(" ",LEN($AW$67))),($BA76-1)*LEN($AW$67)+1,LEN($AW$67)))</f>
        <v/>
      </c>
      <c r="BD76" s="60" t="str">
        <f>TRIM(MID(SUBSTITUTE($AW$68,$BA$62,REPT(" ",LEN($AW$68))),($BA76-1)*LEN($AW$68)+1,LEN($AW$68)))</f>
        <v/>
      </c>
      <c r="BE76" s="60" t="str">
        <f>TRIM(MID(SUBSTITUTE($AW$69,$BA$62,REPT(" ",LEN($AW$69))),($BA76-1)*LEN($AW$69)+1,LEN($AW$69)))</f>
        <v/>
      </c>
      <c r="BF76" s="60" t="str">
        <f>TRIM(MID(SUBSTITUTE($AW$70,$BA$62,REPT(" ",LEN($AW$70))),($BA76-1)*LEN($AW$70)+1,LEN($AW$70)))</f>
        <v/>
      </c>
      <c r="BG76" s="60" t="str">
        <f>TRIM(MID(SUBSTITUTE($AW$71,$BA$62,REPT(" ",LEN($AW$71))),($BA76-1)*LEN($AW$71)+1,LEN($AW$71)))</f>
        <v/>
      </c>
      <c r="BH76" s="60" t="str">
        <f>TRIM(MID(SUBSTITUTE($AW$72,$BA$62,REPT(" ",LEN($AW$72))),($BA76-1)*LEN($AW$72)+1,LEN($AW$72)))</f>
        <v/>
      </c>
      <c r="BI76" s="60" t="str">
        <f>TRIM(MID(SUBSTITUTE($AW$73,$BA$62,REPT(" ",LEN($AW$73))),($BA76-1)*LEN($AW$73)+1,LEN($AW$73)))</f>
        <v/>
      </c>
      <c r="BJ76" s="60" t="str">
        <f>TRIM(MID(SUBSTITUTE($AW$74,$BA$62,REPT(" ",LEN($AW$74))),($BA76-1)*LEN($AW$74)+1,LEN($AW$74)))</f>
        <v/>
      </c>
      <c r="BK76" s="60" t="str">
        <f>TRIM(MID(SUBSTITUTE($AW$75,$BA$62,REPT(" ",LEN($AW$75))),($BA76-1)*LEN($AW$75)+1,LEN($AW$75)))</f>
        <v/>
      </c>
      <c r="BL76" s="60" t="str">
        <f>TRIM(MID(SUBSTITUTE($AW$76,$BA$62,REPT(" ",LEN($AW$76))),($BA76-1)*LEN($AW$76)+1,LEN($AW$76)))</f>
        <v/>
      </c>
      <c r="BM76" s="60" t="str">
        <f>TRIM(MID(SUBSTITUTE($AW$77,$BA$62,REPT(" ",LEN($AW$77))),($BA76-1)*LEN($AW$77)+1,LEN($AW$77)))</f>
        <v/>
      </c>
      <c r="BN76" s="60" t="str">
        <f>TRIM(MID(SUBSTITUTE($AW$78,$BA$62,REPT(" ",LEN($AW$78))),($BA76-1)*LEN($AW$78)+1,LEN($AW$78)))</f>
        <v/>
      </c>
      <c r="BO76" s="60" t="str">
        <f>TRIM(MID(SUBSTITUTE($AW$79,$BA$62,REPT(" ",LEN($AW$79))),($BA76-1)*LEN($AW$79)+1,LEN($AW$79)))</f>
        <v/>
      </c>
      <c r="BP76" s="60" t="str">
        <f>TRIM(MID(SUBSTITUTE($AW$80,$BA$62,REPT(" ",LEN($AW$80))),($BA76-1)*LEN($AW$80)+1,LEN($AW$80)))</f>
        <v/>
      </c>
      <c r="BQ76" s="60" t="str">
        <f>TRIM(MID(SUBSTITUTE($AW$81,$BA$62,REPT(" ",LEN($AW$81))),($BA76-1)*LEN($AW$81)+1,LEN($AW$81)))</f>
        <v/>
      </c>
      <c r="BR76" s="60" t="str">
        <f>TRIM(MID(SUBSTITUTE($AW$82,$BA$62,REPT(" ",LEN($AW$82))),($BA76-1)*LEN($AW$82)+1,LEN($AW$82)))</f>
        <v/>
      </c>
      <c r="BS76" s="60" t="str">
        <f>TRIM(MID(SUBSTITUTE($AW$83,$BA$62,REPT(" ",LEN($AW$83))),($BA76-1)*LEN($AW$83)+1,LEN($AW$83)))</f>
        <v/>
      </c>
      <c r="BT76" s="60" t="str">
        <f>TRIM(MID(SUBSTITUTE($AW$84,$BA$62,REPT(" ",LEN($AW$84))),($BA76-1)*LEN($AW$84)+1,LEN($AW$84)))</f>
        <v/>
      </c>
      <c r="BU76" s="150" t="str">
        <f>TRIM(MID(SUBSTITUTE($AW$85,$BA$62,REPT(" ",LEN($AW$85))),($BA76-1)*LEN($AW$85)+1,LEN($AW$85)))</f>
        <v/>
      </c>
      <c r="BV76" s="224" t="str">
        <f>IF(BX76=0,"",CONCATENATE(BW76,"66:",BW76,BX76+65))</f>
        <v/>
      </c>
      <c r="BW76" s="60" t="s">
        <v>199</v>
      </c>
      <c r="BX76" s="60">
        <f>BL64</f>
        <v>0</v>
      </c>
    </row>
    <row r="77" spans="1:76" s="99" customFormat="1" ht="15.75" customHeight="1">
      <c r="B77" s="285">
        <v>12</v>
      </c>
      <c r="C77" s="166" t="str">
        <f>IF(D77="","",C22)</f>
        <v/>
      </c>
      <c r="D77" s="237" t="str">
        <f>IF(OR(K22="", K22=0),"",D22)</f>
        <v/>
      </c>
      <c r="E77" s="207" t="str">
        <f>IF(AX77="","",AX77)</f>
        <v/>
      </c>
      <c r="F77" s="739"/>
      <c r="G77" s="740"/>
      <c r="H77" s="204" t="str">
        <f>IF(D77="","",AB77)</f>
        <v/>
      </c>
      <c r="I77" s="330" t="str">
        <f>IF(OR(K22="",K22=0),"",K22)</f>
        <v/>
      </c>
      <c r="J77" s="931" t="str">
        <f>IF(F77="","",VLOOKUP(F77,'10. Condition and Temporal'!$B$6:$F$103,5,FALSE))</f>
        <v/>
      </c>
      <c r="K77" s="932"/>
      <c r="L77" s="25" t="str">
        <f>IFERROR(IF(D77="","",IF(AX77="Distinctiveness",(((((I77*AH77*AJ77*AY77)-(I77*V77*X77))*(AV77*AT77))+(I77*V77*X77))*AP77)/1000,((((I77*AH77*AJ77*AY77)-(I77*V77*X77*AJ22))*(AV77*AR77))+(I77*V77*X77*AJ22))*AP77/1000)),"This intervention is not permitted within the SSM ▲")</f>
        <v/>
      </c>
      <c r="M77" s="933" t="str">
        <f>IFERROR(IF(F77="","",L77-AD77), "Error ▲")</f>
        <v/>
      </c>
      <c r="N77" s="934"/>
      <c r="O77" s="135"/>
      <c r="P77" s="87"/>
      <c r="R77" s="655"/>
      <c r="T77" s="217" t="str">
        <f>IF(D77="","",K22)</f>
        <v/>
      </c>
      <c r="U77" s="161" t="str">
        <f>IF($D77="","",T22)</f>
        <v/>
      </c>
      <c r="V77" s="162" t="str">
        <f>IF($D77="","",V22)</f>
        <v/>
      </c>
      <c r="W77" s="160" t="str">
        <f>IF($D77="","",W22)</f>
        <v/>
      </c>
      <c r="X77" s="61" t="str">
        <f>IF($D77="","",X22)</f>
        <v/>
      </c>
      <c r="Y77" s="349"/>
      <c r="Z77" s="349"/>
      <c r="AA77" s="349"/>
      <c r="AB77" s="150" t="str">
        <f>IF($D77="","",AB22)</f>
        <v/>
      </c>
      <c r="AC77" s="164" t="str">
        <f>IF($D77="","",AD22)</f>
        <v/>
      </c>
      <c r="AD77" s="162" t="str">
        <f>IF(AC77="","",((T77*V77*X77)*AC77*AJ22)/1000)</f>
        <v/>
      </c>
      <c r="AE77" s="219" t="str">
        <f>IF(AD77="","",IF(AH77&lt;V77,"Not Acceptable","Acceptable"))</f>
        <v/>
      </c>
      <c r="AF77" s="160" t="str">
        <f>IF(D77="","",I77)</f>
        <v/>
      </c>
      <c r="AG77" s="161" t="str">
        <f>IF(D77="","",VLOOKUP(F77,'9. All Habitats + Multipliers'!$C$4:$K$102,5,FALSE))</f>
        <v/>
      </c>
      <c r="AH77" s="162" t="str">
        <f>IF(AG77="","",VLOOKUP(AG77,'11. Lists'!$B$47:$D$49,2,FALSE))</f>
        <v/>
      </c>
      <c r="AI77" s="161" t="str">
        <f>IF(D77="","",J77)</f>
        <v/>
      </c>
      <c r="AJ77" s="466" t="str">
        <f>IF(AI77="","",VLOOKUP(AI77,'11. Lists'!$F$47:$G$51,2,FALSE))</f>
        <v/>
      </c>
      <c r="AK77" s="467"/>
      <c r="AL77" s="467"/>
      <c r="AM77" s="467"/>
      <c r="AN77" s="466" t="str">
        <f>IF(H77="","",H77)</f>
        <v/>
      </c>
      <c r="AO77" s="163" t="str">
        <f>IF(AN77="","",VLOOKUP(AN77,'11. Lists'!$F$36:$H$38,2,FALSE))</f>
        <v/>
      </c>
      <c r="AP77" s="162" t="str">
        <f>IF(AN77="","",VLOOKUP(AN77,'11. Lists'!$F$36:$H$38,3,FALSE))</f>
        <v/>
      </c>
      <c r="AQ77" s="161" t="str">
        <f>IF(D77="","",IF(AX77="Distinctiveness","N/A",VLOOKUP(F77,'10. Condition and Temporal'!$B$6:$L$103,11,FALSE)))</f>
        <v/>
      </c>
      <c r="AR77" s="165" t="str">
        <f>IF(AQ77="","",IF(AQ77="N/A","1",VLOOKUP(AQ77,'11. Lists'!$I$47:$K$80,3,FALSE)))</f>
        <v/>
      </c>
      <c r="AS77" s="180" t="str">
        <f>IF(D77="","",IF(AX77="Condition","N/A",VLOOKUP(F77,'10. Condition and Temporal'!$B$6:$M$106,12,FALSE)))</f>
        <v/>
      </c>
      <c r="AT77" s="165" t="str">
        <f>IF(AS77="","",IF(AS77="N/A","1",VLOOKUP(AS77,'11. Lists'!$I$47:$K$80,3,FALSE)))</f>
        <v/>
      </c>
      <c r="AU77" s="164" t="str">
        <f>IF(D77="","",VLOOKUP(F77,'9. All Habitats + Multipliers'!$C$4:$K$102,8,FALSE))</f>
        <v/>
      </c>
      <c r="AV77" s="162" t="str">
        <f>IF(AU77="","",VLOOKUP(AU77,'11. Lists'!$J$35:$K$38,2,FALSE))</f>
        <v/>
      </c>
      <c r="AW77" s="161" t="str">
        <f>IF(D77="","",VLOOKUP(D77,'10. Condition and Temporal'!$B$6:$M$103,4,FALSE))</f>
        <v/>
      </c>
      <c r="AX77" s="451" t="str">
        <f>IF(F77="","",IF(D77=F77,"Condition","Distinctiveness"))</f>
        <v/>
      </c>
      <c r="AY77" s="471" t="str">
        <v>1</v>
      </c>
      <c r="AZ77" s="468" t="str">
        <v>1</v>
      </c>
      <c r="BA77" s="61">
        <v>12</v>
      </c>
      <c r="BB77" s="60" t="str">
        <f>TRIM(MID(SUBSTITUTE($AW$66,$BA$62,REPT(" ",LEN($AW$66))),($BA77-1)*LEN($AW$66)+1,LEN($AW$66)))</f>
        <v/>
      </c>
      <c r="BC77" s="60" t="str">
        <f>TRIM(MID(SUBSTITUTE($AW$67,$BA$62,REPT(" ",LEN($AW$67))),($BA77-1)*LEN($AW$67)+1,LEN($AW$67)))</f>
        <v/>
      </c>
      <c r="BD77" s="60" t="str">
        <f>TRIM(MID(SUBSTITUTE($AW$68,$BA$62,REPT(" ",LEN($AW$68))),($BA77-1)*LEN($AW$68)+1,LEN($AW$68)))</f>
        <v/>
      </c>
      <c r="BE77" s="60" t="str">
        <f>TRIM(MID(SUBSTITUTE($AW$69,$BA$62,REPT(" ",LEN($AW$69))),($BA77-1)*LEN($AW$69)+1,LEN($AW$69)))</f>
        <v/>
      </c>
      <c r="BF77" s="60" t="str">
        <f>TRIM(MID(SUBSTITUTE($AW$70,$BA$62,REPT(" ",LEN($AW$70))),($BA77-1)*LEN($AW$70)+1,LEN($AW$70)))</f>
        <v/>
      </c>
      <c r="BG77" s="60" t="str">
        <f>TRIM(MID(SUBSTITUTE($AW$71,$BA$62,REPT(" ",LEN($AW$71))),($BA77-1)*LEN($AW$71)+1,LEN($AW$71)))</f>
        <v/>
      </c>
      <c r="BH77" s="60" t="str">
        <f>TRIM(MID(SUBSTITUTE($AW$72,$BA$62,REPT(" ",LEN($AW$72))),($BA77-1)*LEN($AW$72)+1,LEN($AW$72)))</f>
        <v/>
      </c>
      <c r="BI77" s="60" t="str">
        <f>TRIM(MID(SUBSTITUTE($AW$73,$BA$62,REPT(" ",LEN($AW$73))),($BA77-1)*LEN($AW$73)+1,LEN($AW$73)))</f>
        <v/>
      </c>
      <c r="BJ77" s="60" t="str">
        <f>TRIM(MID(SUBSTITUTE($AW$74,$BA$62,REPT(" ",LEN($AW$74))),($BA77-1)*LEN($AW$74)+1,LEN($AW$74)))</f>
        <v/>
      </c>
      <c r="BK77" s="60" t="str">
        <f>TRIM(MID(SUBSTITUTE($AW$75,$BA$62,REPT(" ",LEN($AW$75))),($BA77-1)*LEN($AW$75)+1,LEN($AW$75)))</f>
        <v/>
      </c>
      <c r="BL77" s="60" t="str">
        <f>TRIM(MID(SUBSTITUTE($AW$76,$BA$62,REPT(" ",LEN($AW$76))),($BA77-1)*LEN($AW$76)+1,LEN($AW$76)))</f>
        <v/>
      </c>
      <c r="BM77" s="60" t="str">
        <f>TRIM(MID(SUBSTITUTE($AW$77,$BA$62,REPT(" ",LEN($AW$77))),($BA77-1)*LEN($AW$77)+1,LEN($AW$77)))</f>
        <v/>
      </c>
      <c r="BN77" s="60" t="str">
        <f>TRIM(MID(SUBSTITUTE($AW$78,$BA$62,REPT(" ",LEN($AW$78))),($BA77-1)*LEN($AW$78)+1,LEN($AW$78)))</f>
        <v/>
      </c>
      <c r="BO77" s="60" t="str">
        <f>TRIM(MID(SUBSTITUTE($AW$79,$BA$62,REPT(" ",LEN($AW$79))),($BA77-1)*LEN($AW$79)+1,LEN($AW$79)))</f>
        <v/>
      </c>
      <c r="BP77" s="60" t="str">
        <f>TRIM(MID(SUBSTITUTE($AW$80,$BA$62,REPT(" ",LEN($AW$80))),($BA77-1)*LEN($AW$80)+1,LEN($AW$80)))</f>
        <v/>
      </c>
      <c r="BQ77" s="60" t="str">
        <f>TRIM(MID(SUBSTITUTE($AW$81,$BA$62,REPT(" ",LEN($AW$81))),($BA77-1)*LEN($AW$81)+1,LEN($AW$81)))</f>
        <v/>
      </c>
      <c r="BR77" s="60" t="str">
        <f>TRIM(MID(SUBSTITUTE($AW$82,$BA$62,REPT(" ",LEN($AW$82))),($BA77-1)*LEN($AW$82)+1,LEN($AW$82)))</f>
        <v/>
      </c>
      <c r="BS77" s="60" t="str">
        <f>TRIM(MID(SUBSTITUTE($AW$83,$BA$62,REPT(" ",LEN($AW$83))),($BA77-1)*LEN($AW$83)+1,LEN($AW$83)))</f>
        <v/>
      </c>
      <c r="BT77" s="60" t="str">
        <f>TRIM(MID(SUBSTITUTE($AW$84,$BA$62,REPT(" ",LEN($AW$84))),($BA77-1)*LEN($AW$84)+1,LEN($AW$84)))</f>
        <v/>
      </c>
      <c r="BU77" s="150" t="str">
        <f>TRIM(MID(SUBSTITUTE($AW$85,$BA$62,REPT(" ",LEN($AW$85))),($BA77-1)*LEN($AW$85)+1,LEN($AW$85)))</f>
        <v/>
      </c>
      <c r="BV77" s="224" t="str">
        <f>IF(BX77=0,"",CONCATENATE(BW77,"66:",BW77,BX77+65))</f>
        <v/>
      </c>
      <c r="BW77" s="60" t="s">
        <v>200</v>
      </c>
      <c r="BX77" s="60">
        <f>BM64</f>
        <v>0</v>
      </c>
    </row>
    <row r="78" spans="1:76" s="99" customFormat="1" ht="15.75" customHeight="1">
      <c r="B78" s="285">
        <v>13</v>
      </c>
      <c r="C78" s="166" t="str">
        <f>IF(D78="","",C23)</f>
        <v/>
      </c>
      <c r="D78" s="237" t="str">
        <f>IF(OR(K23="", K23=0),"",D23)</f>
        <v/>
      </c>
      <c r="E78" s="207" t="str">
        <f>IF(AX78="","",AX78)</f>
        <v/>
      </c>
      <c r="F78" s="739"/>
      <c r="G78" s="740"/>
      <c r="H78" s="204" t="str">
        <f>IF(D78="","",AB78)</f>
        <v/>
      </c>
      <c r="I78" s="330" t="str">
        <f>IF(OR(K23="",K23=0),"",K23)</f>
        <v/>
      </c>
      <c r="J78" s="931" t="str">
        <f>IF(F78="","",VLOOKUP(F78,'10. Condition and Temporal'!$B$6:$F$103,5,FALSE))</f>
        <v/>
      </c>
      <c r="K78" s="932"/>
      <c r="L78" s="25" t="str">
        <f>IFERROR(IF(D78="","",IF(AX78="Distinctiveness",(((((I78*AH78*AJ78*AY78)-(I78*V78*X78))*(AV78*AT78))+(I78*V78*X78))*AP78)/1000,((((I78*AH78*AJ78*AY78)-(I78*V78*X78*AJ23))*(AV78*AR78))+(I78*V78*X78*AJ23))*AP78/1000)),"This intervention is not permitted within the SSM ▲")</f>
        <v/>
      </c>
      <c r="M78" s="933" t="str">
        <f>IFERROR(IF(F78="","",L78-AD78), "Error ▲")</f>
        <v/>
      </c>
      <c r="N78" s="934"/>
      <c r="O78" s="135"/>
      <c r="P78" s="87"/>
      <c r="R78" s="655"/>
      <c r="T78" s="217" t="str">
        <f>IF(D78="","",K23)</f>
        <v/>
      </c>
      <c r="U78" s="161" t="str">
        <f>IF($D78="","",T23)</f>
        <v/>
      </c>
      <c r="V78" s="162" t="str">
        <f>IF($D78="","",V23)</f>
        <v/>
      </c>
      <c r="W78" s="160" t="str">
        <f>IF($D78="","",W23)</f>
        <v/>
      </c>
      <c r="X78" s="61" t="str">
        <f>IF($D78="","",X23)</f>
        <v/>
      </c>
      <c r="Y78" s="349"/>
      <c r="Z78" s="349"/>
      <c r="AA78" s="349"/>
      <c r="AB78" s="150" t="str">
        <f>IF($D78="","",AB23)</f>
        <v/>
      </c>
      <c r="AC78" s="164" t="str">
        <f>IF($D78="","",AD23)</f>
        <v/>
      </c>
      <c r="AD78" s="162" t="str">
        <f>IF(AC78="","",((T78*V78*X78)*AC78*AJ23)/1000)</f>
        <v/>
      </c>
      <c r="AE78" s="219" t="str">
        <f>IF(AD78="","",IF(AH78&lt;V78,"Not Acceptable","Acceptable"))</f>
        <v/>
      </c>
      <c r="AF78" s="160" t="str">
        <f>IF(D78="","",I78)</f>
        <v/>
      </c>
      <c r="AG78" s="161" t="str">
        <f>IF(D78="","",VLOOKUP(F78,'9. All Habitats + Multipliers'!$C$4:$K$102,5,FALSE))</f>
        <v/>
      </c>
      <c r="AH78" s="162" t="str">
        <f>IF(AG78="","",VLOOKUP(AG78,'11. Lists'!$B$47:$D$49,2,FALSE))</f>
        <v/>
      </c>
      <c r="AI78" s="161" t="str">
        <f>IF(D78="","",J78)</f>
        <v/>
      </c>
      <c r="AJ78" s="466" t="str">
        <f>IF(AI78="","",VLOOKUP(AI78,'11. Lists'!$F$47:$G$51,2,FALSE))</f>
        <v/>
      </c>
      <c r="AK78" s="467"/>
      <c r="AL78" s="467"/>
      <c r="AM78" s="467"/>
      <c r="AN78" s="466" t="str">
        <f>IF(H78="","",H78)</f>
        <v/>
      </c>
      <c r="AO78" s="163" t="str">
        <f>IF(AN78="","",VLOOKUP(AN78,'11. Lists'!$F$36:$H$38,2,FALSE))</f>
        <v/>
      </c>
      <c r="AP78" s="162" t="str">
        <f>IF(AN78="","",VLOOKUP(AN78,'11. Lists'!$F$36:$H$38,3,FALSE))</f>
        <v/>
      </c>
      <c r="AQ78" s="161" t="str">
        <f>IF(D78="","",IF(AX78="Distinctiveness","N/A",VLOOKUP(F78,'10. Condition and Temporal'!$B$6:$L$103,11,FALSE)))</f>
        <v/>
      </c>
      <c r="AR78" s="165" t="str">
        <f>IF(AQ78="","",IF(AQ78="N/A","1",VLOOKUP(AQ78,'11. Lists'!$I$47:$K$80,3,FALSE)))</f>
        <v/>
      </c>
      <c r="AS78" s="180" t="str">
        <f>IF(D78="","",IF(AX78="Condition","N/A",VLOOKUP(F78,'10. Condition and Temporal'!$B$6:$M$106,12,FALSE)))</f>
        <v/>
      </c>
      <c r="AT78" s="165" t="str">
        <f>IF(AS78="","",IF(AS78="N/A","1",VLOOKUP(AS78,'11. Lists'!$I$47:$K$80,3,FALSE)))</f>
        <v/>
      </c>
      <c r="AU78" s="164" t="str">
        <f>IF(D78="","",VLOOKUP(F78,'9. All Habitats + Multipliers'!$C$4:$K$102,8,FALSE))</f>
        <v/>
      </c>
      <c r="AV78" s="162" t="str">
        <f>IF(AU78="","",VLOOKUP(AU78,'11. Lists'!$J$35:$K$38,2,FALSE))</f>
        <v/>
      </c>
      <c r="AW78" s="161" t="str">
        <f>IF(D78="","",VLOOKUP(D78,'10. Condition and Temporal'!$B$6:$M$103,4,FALSE))</f>
        <v/>
      </c>
      <c r="AX78" s="451" t="str">
        <f>IF(F78="","",IF(D78=F78,"Condition","Distinctiveness"))</f>
        <v/>
      </c>
      <c r="AY78" s="471" t="str">
        <v>1</v>
      </c>
      <c r="AZ78" s="468" t="str">
        <v>1</v>
      </c>
      <c r="BA78" s="61">
        <v>13</v>
      </c>
      <c r="BB78" s="60" t="str">
        <f>TRIM(MID(SUBSTITUTE($AW$66,$BA$62,REPT(" ",LEN($AW$66))),($BA78-1)*LEN($AW$66)+1,LEN($AW$66)))</f>
        <v/>
      </c>
      <c r="BC78" s="60" t="str">
        <f>TRIM(MID(SUBSTITUTE($AW$67,$BA$62,REPT(" ",LEN($AW$67))),($BA78-1)*LEN($AW$67)+1,LEN($AW$67)))</f>
        <v/>
      </c>
      <c r="BD78" s="60" t="str">
        <f>TRIM(MID(SUBSTITUTE($AW$68,$BA$62,REPT(" ",LEN($AW$68))),($BA78-1)*LEN($AW$68)+1,LEN($AW$68)))</f>
        <v/>
      </c>
      <c r="BE78" s="60" t="str">
        <f>TRIM(MID(SUBSTITUTE($AW$69,$BA$62,REPT(" ",LEN($AW$69))),($BA78-1)*LEN($AW$69)+1,LEN($AW$69)))</f>
        <v/>
      </c>
      <c r="BF78" s="60" t="str">
        <f>TRIM(MID(SUBSTITUTE($AW$70,$BA$62,REPT(" ",LEN($AW$70))),($BA78-1)*LEN($AW$70)+1,LEN($AW$70)))</f>
        <v/>
      </c>
      <c r="BG78" s="60" t="str">
        <f>TRIM(MID(SUBSTITUTE($AW$71,$BA$62,REPT(" ",LEN($AW$71))),($BA78-1)*LEN($AW$71)+1,LEN($AW$71)))</f>
        <v/>
      </c>
      <c r="BH78" s="60" t="str">
        <f>TRIM(MID(SUBSTITUTE($AW$72,$BA$62,REPT(" ",LEN($AW$72))),($BA78-1)*LEN($AW$72)+1,LEN($AW$72)))</f>
        <v/>
      </c>
      <c r="BI78" s="60" t="str">
        <f>TRIM(MID(SUBSTITUTE($AW$73,$BA$62,REPT(" ",LEN($AW$73))),($BA78-1)*LEN($AW$73)+1,LEN($AW$73)))</f>
        <v/>
      </c>
      <c r="BJ78" s="60" t="str">
        <f>TRIM(MID(SUBSTITUTE($AW$74,$BA$62,REPT(" ",LEN($AW$74))),($BA78-1)*LEN($AW$74)+1,LEN($AW$74)))</f>
        <v/>
      </c>
      <c r="BK78" s="60" t="str">
        <f>TRIM(MID(SUBSTITUTE($AW$75,$BA$62,REPT(" ",LEN($AW$75))),($BA78-1)*LEN($AW$75)+1,LEN($AW$75)))</f>
        <v/>
      </c>
      <c r="BL78" s="60" t="str">
        <f>TRIM(MID(SUBSTITUTE($AW$76,$BA$62,REPT(" ",LEN($AW$76))),($BA78-1)*LEN($AW$76)+1,LEN($AW$76)))</f>
        <v/>
      </c>
      <c r="BM78" s="60" t="str">
        <f>TRIM(MID(SUBSTITUTE($AW$77,$BA$62,REPT(" ",LEN($AW$77))),($BA78-1)*LEN($AW$77)+1,LEN($AW$77)))</f>
        <v/>
      </c>
      <c r="BN78" s="60" t="str">
        <f>TRIM(MID(SUBSTITUTE($AW$78,$BA$62,REPT(" ",LEN($AW$78))),($BA78-1)*LEN($AW$78)+1,LEN($AW$78)))</f>
        <v/>
      </c>
      <c r="BO78" s="60" t="str">
        <f>TRIM(MID(SUBSTITUTE($AW$79,$BA$62,REPT(" ",LEN($AW$79))),($BA78-1)*LEN($AW$79)+1,LEN($AW$79)))</f>
        <v/>
      </c>
      <c r="BP78" s="60" t="str">
        <f>TRIM(MID(SUBSTITUTE($AW$80,$BA$62,REPT(" ",LEN($AW$80))),($BA78-1)*LEN($AW$80)+1,LEN($AW$80)))</f>
        <v/>
      </c>
      <c r="BQ78" s="60" t="str">
        <f>TRIM(MID(SUBSTITUTE($AW$81,$BA$62,REPT(" ",LEN($AW$81))),($BA78-1)*LEN($AW$81)+1,LEN($AW$81)))</f>
        <v/>
      </c>
      <c r="BR78" s="60" t="str">
        <f>TRIM(MID(SUBSTITUTE($AW$82,$BA$62,REPT(" ",LEN($AW$82))),($BA78-1)*LEN($AW$82)+1,LEN($AW$82)))</f>
        <v/>
      </c>
      <c r="BS78" s="60" t="str">
        <f>TRIM(MID(SUBSTITUTE($AW$83,$BA$62,REPT(" ",LEN($AW$83))),($BA78-1)*LEN($AW$83)+1,LEN($AW$83)))</f>
        <v/>
      </c>
      <c r="BT78" s="60" t="str">
        <f>TRIM(MID(SUBSTITUTE($AW$84,$BA$62,REPT(" ",LEN($AW$84))),($BA78-1)*LEN($AW$84)+1,LEN($AW$84)))</f>
        <v/>
      </c>
      <c r="BU78" s="150" t="str">
        <f>TRIM(MID(SUBSTITUTE($AW$85,$BA$62,REPT(" ",LEN($AW$85))),($BA78-1)*LEN($AW$85)+1,LEN($AW$85)))</f>
        <v/>
      </c>
      <c r="BV78" s="224" t="str">
        <f>IF(BX78=0,"",CONCATENATE(BW78,"66:",BW78,BX78+65))</f>
        <v/>
      </c>
      <c r="BW78" s="60" t="s">
        <v>201</v>
      </c>
      <c r="BX78" s="60">
        <f>BN64</f>
        <v>0</v>
      </c>
    </row>
    <row r="79" spans="1:76" s="99" customFormat="1" ht="15.6" customHeight="1">
      <c r="B79" s="285">
        <v>14</v>
      </c>
      <c r="C79" s="166" t="str">
        <f>IF(D79="","",C24)</f>
        <v/>
      </c>
      <c r="D79" s="237" t="str">
        <f>IF(OR(K24="", K24=0),"",D24)</f>
        <v/>
      </c>
      <c r="E79" s="207" t="str">
        <f>IF(AX79="","",AX79)</f>
        <v/>
      </c>
      <c r="F79" s="739"/>
      <c r="G79" s="740"/>
      <c r="H79" s="204" t="str">
        <f>IF(D79="","",AB79)</f>
        <v/>
      </c>
      <c r="I79" s="330" t="str">
        <f>IF(OR(K24="",K24=0),"",K24)</f>
        <v/>
      </c>
      <c r="J79" s="931" t="str">
        <f>IF(F79="","",VLOOKUP(F79,'10. Condition and Temporal'!$B$6:$F$103,5,FALSE))</f>
        <v/>
      </c>
      <c r="K79" s="932"/>
      <c r="L79" s="25" t="str">
        <f>IFERROR(IF(D79="","",IF(AX79="Distinctiveness",(((((I79*AH79*AJ79*AY79)-(I79*V79*X79))*(AV79*AT79))+(I79*V79*X79))*AP79)/1000,((((I79*AH79*AJ79*AY79)-(I79*V79*X79*AJ24))*(AV79*AR79))+(I79*V79*X79*AJ24))*AP79/1000)),"This intervention is not permitted within the SSM ▲")</f>
        <v/>
      </c>
      <c r="M79" s="933" t="str">
        <f>IFERROR(IF(F79="","",L79-AD79), "Error ▲")</f>
        <v/>
      </c>
      <c r="N79" s="934"/>
      <c r="O79" s="135"/>
      <c r="P79" s="87"/>
      <c r="R79" s="655"/>
      <c r="T79" s="217" t="str">
        <f>IF(D79="","",K24)</f>
        <v/>
      </c>
      <c r="U79" s="161" t="str">
        <f>IF($D79="","",T24)</f>
        <v/>
      </c>
      <c r="V79" s="162" t="str">
        <f>IF($D79="","",V24)</f>
        <v/>
      </c>
      <c r="W79" s="160" t="str">
        <f>IF($D79="","",W24)</f>
        <v/>
      </c>
      <c r="X79" s="61" t="str">
        <f>IF($D79="","",X24)</f>
        <v/>
      </c>
      <c r="Y79" s="349"/>
      <c r="Z79" s="349"/>
      <c r="AA79" s="349"/>
      <c r="AB79" s="150" t="str">
        <f>IF($D79="","",AB24)</f>
        <v/>
      </c>
      <c r="AC79" s="164" t="str">
        <f>IF($D79="","",AD24)</f>
        <v/>
      </c>
      <c r="AD79" s="162" t="str">
        <f>IF(AC79="","",((T79*V79*X79)*AC79*AJ24)/1000)</f>
        <v/>
      </c>
      <c r="AE79" s="219" t="str">
        <f>IF(AD79="","",IF(AH79&lt;V79,"Not Acceptable","Acceptable"))</f>
        <v/>
      </c>
      <c r="AF79" s="160" t="str">
        <f>IF(D79="","",I79)</f>
        <v/>
      </c>
      <c r="AG79" s="161" t="str">
        <f>IF(D79="","",VLOOKUP(F79,'9. All Habitats + Multipliers'!$C$4:$K$102,5,FALSE))</f>
        <v/>
      </c>
      <c r="AH79" s="162" t="str">
        <f>IF(AG79="","",VLOOKUP(AG79,'11. Lists'!$B$47:$D$49,2,FALSE))</f>
        <v/>
      </c>
      <c r="AI79" s="161" t="str">
        <f>IF(D79="","",J79)</f>
        <v/>
      </c>
      <c r="AJ79" s="466" t="str">
        <f>IF(AI79="","",VLOOKUP(AI79,'11. Lists'!$F$47:$G$51,2,FALSE))</f>
        <v/>
      </c>
      <c r="AK79" s="467"/>
      <c r="AL79" s="467"/>
      <c r="AM79" s="467"/>
      <c r="AN79" s="466" t="str">
        <f>IF(H79="","",H79)</f>
        <v/>
      </c>
      <c r="AO79" s="163" t="str">
        <f>IF(AN79="","",VLOOKUP(AN79,'11. Lists'!$F$36:$H$38,2,FALSE))</f>
        <v/>
      </c>
      <c r="AP79" s="162" t="str">
        <f>IF(AN79="","",VLOOKUP(AN79,'11. Lists'!$F$36:$H$38,3,FALSE))</f>
        <v/>
      </c>
      <c r="AQ79" s="161" t="str">
        <f>IF(D79="","",IF(AX79="Distinctiveness","N/A",VLOOKUP(F79,'10. Condition and Temporal'!$B$6:$L$103,11,FALSE)))</f>
        <v/>
      </c>
      <c r="AR79" s="165" t="str">
        <f>IF(AQ79="","",IF(AQ79="N/A","1",VLOOKUP(AQ79,'11. Lists'!$I$47:$K$80,3,FALSE)))</f>
        <v/>
      </c>
      <c r="AS79" s="180" t="str">
        <f>IF(D79="","",IF(AX79="Condition","N/A",VLOOKUP(F79,'10. Condition and Temporal'!$B$6:$M$106,12,FALSE)))</f>
        <v/>
      </c>
      <c r="AT79" s="165" t="str">
        <f>IF(AS79="","",IF(AS79="N/A","1",VLOOKUP(AS79,'11. Lists'!$I$47:$K$80,3,FALSE)))</f>
        <v/>
      </c>
      <c r="AU79" s="164" t="str">
        <f>IF(D79="","",VLOOKUP(F79,'9. All Habitats + Multipliers'!$C$4:$K$102,8,FALSE))</f>
        <v/>
      </c>
      <c r="AV79" s="162" t="str">
        <f>IF(AU79="","",VLOOKUP(AU79,'11. Lists'!$J$35:$K$38,2,FALSE))</f>
        <v/>
      </c>
      <c r="AW79" s="161" t="str">
        <f>IF(D79="","",VLOOKUP(D79,'10. Condition and Temporal'!$B$6:$M$103,4,FALSE))</f>
        <v/>
      </c>
      <c r="AX79" s="451" t="str">
        <f>IF(F79="","",IF(D79=F79,"Condition","Distinctiveness"))</f>
        <v/>
      </c>
      <c r="AY79" s="471" t="str">
        <v>1</v>
      </c>
      <c r="AZ79" s="468" t="str">
        <v>1</v>
      </c>
      <c r="BA79" s="61">
        <v>14</v>
      </c>
      <c r="BB79" s="60" t="str">
        <f>TRIM(MID(SUBSTITUTE($AW$66,$BA$62,REPT(" ",LEN($AW$66))),($BA79-1)*LEN($AW$66)+1,LEN($AW$66)))</f>
        <v/>
      </c>
      <c r="BC79" s="60" t="str">
        <f>TRIM(MID(SUBSTITUTE($AW$67,$BA$62,REPT(" ",LEN($AW$67))),($BA79-1)*LEN($AW$67)+1,LEN($AW$67)))</f>
        <v/>
      </c>
      <c r="BD79" s="60" t="str">
        <f>TRIM(MID(SUBSTITUTE($AW$68,$BA$62,REPT(" ",LEN($AW$68))),($BA79-1)*LEN($AW$68)+1,LEN($AW$68)))</f>
        <v/>
      </c>
      <c r="BE79" s="60" t="str">
        <f>TRIM(MID(SUBSTITUTE($AW$69,$BA$62,REPT(" ",LEN($AW$69))),($BA79-1)*LEN($AW$69)+1,LEN($AW$69)))</f>
        <v/>
      </c>
      <c r="BF79" s="60" t="str">
        <f>TRIM(MID(SUBSTITUTE($AW$70,$BA$62,REPT(" ",LEN($AW$70))),($BA79-1)*LEN($AW$70)+1,LEN($AW$70)))</f>
        <v/>
      </c>
      <c r="BG79" s="60" t="str">
        <f>TRIM(MID(SUBSTITUTE($AW$71,$BA$62,REPT(" ",LEN($AW$71))),($BA79-1)*LEN($AW$71)+1,LEN($AW$71)))</f>
        <v/>
      </c>
      <c r="BH79" s="60" t="str">
        <f>TRIM(MID(SUBSTITUTE($AW$72,$BA$62,REPT(" ",LEN($AW$72))),($BA79-1)*LEN($AW$72)+1,LEN($AW$72)))</f>
        <v/>
      </c>
      <c r="BI79" s="60" t="str">
        <f>TRIM(MID(SUBSTITUTE($AW$73,$BA$62,REPT(" ",LEN($AW$73))),($BA79-1)*LEN($AW$73)+1,LEN($AW$73)))</f>
        <v/>
      </c>
      <c r="BJ79" s="60" t="str">
        <f>TRIM(MID(SUBSTITUTE($AW$74,$BA$62,REPT(" ",LEN($AW$74))),($BA79-1)*LEN($AW$74)+1,LEN($AW$74)))</f>
        <v/>
      </c>
      <c r="BK79" s="60" t="str">
        <f>TRIM(MID(SUBSTITUTE($AW$75,$BA$62,REPT(" ",LEN($AW$75))),($BA79-1)*LEN($AW$75)+1,LEN($AW$75)))</f>
        <v/>
      </c>
      <c r="BL79" s="60" t="str">
        <f>TRIM(MID(SUBSTITUTE($AW$76,$BA$62,REPT(" ",LEN($AW$76))),($BA79-1)*LEN($AW$76)+1,LEN($AW$76)))</f>
        <v/>
      </c>
      <c r="BM79" s="60" t="str">
        <f>TRIM(MID(SUBSTITUTE($AW$77,$BA$62,REPT(" ",LEN($AW$77))),($BA79-1)*LEN($AW$77)+1,LEN($AW$77)))</f>
        <v/>
      </c>
      <c r="BN79" s="60" t="str">
        <f>TRIM(MID(SUBSTITUTE($AW$78,$BA$62,REPT(" ",LEN($AW$78))),($BA79-1)*LEN($AW$78)+1,LEN($AW$78)))</f>
        <v/>
      </c>
      <c r="BO79" s="60" t="str">
        <f>TRIM(MID(SUBSTITUTE($AW$79,$BA$62,REPT(" ",LEN($AW$79))),($BA79-1)*LEN($AW$79)+1,LEN($AW$79)))</f>
        <v/>
      </c>
      <c r="BP79" s="60" t="str">
        <f>TRIM(MID(SUBSTITUTE($AW$80,$BA$62,REPT(" ",LEN($AW$80))),($BA79-1)*LEN($AW$80)+1,LEN($AW$80)))</f>
        <v/>
      </c>
      <c r="BQ79" s="60" t="str">
        <f>TRIM(MID(SUBSTITUTE($AW$81,$BA$62,REPT(" ",LEN($AW$81))),($BA79-1)*LEN($AW$81)+1,LEN($AW$81)))</f>
        <v/>
      </c>
      <c r="BR79" s="60" t="str">
        <f>TRIM(MID(SUBSTITUTE($AW$82,$BA$62,REPT(" ",LEN($AW$82))),($BA79-1)*LEN($AW$82)+1,LEN($AW$82)))</f>
        <v/>
      </c>
      <c r="BS79" s="60" t="str">
        <f>TRIM(MID(SUBSTITUTE($AW$83,$BA$62,REPT(" ",LEN($AW$83))),($BA79-1)*LEN($AW$83)+1,LEN($AW$83)))</f>
        <v/>
      </c>
      <c r="BT79" s="60" t="str">
        <f>TRIM(MID(SUBSTITUTE($AW$84,$BA$62,REPT(" ",LEN($AW$84))),($BA79-1)*LEN($AW$84)+1,LEN($AW$84)))</f>
        <v/>
      </c>
      <c r="BU79" s="150" t="str">
        <f>TRIM(MID(SUBSTITUTE($AW$85,$BA$62,REPT(" ",LEN($AW$85))),($BA79-1)*LEN($AW$85)+1,LEN($AW$85)))</f>
        <v/>
      </c>
      <c r="BV79" s="224" t="str">
        <f>IF(BX79=0,"",CONCATENATE(BW79,"66:",BW79,BX79+65))</f>
        <v/>
      </c>
      <c r="BW79" s="60" t="s">
        <v>202</v>
      </c>
      <c r="BX79" s="60">
        <f>BO64</f>
        <v>0</v>
      </c>
    </row>
    <row r="80" spans="1:76" s="99" customFormat="1" ht="15.75" customHeight="1">
      <c r="B80" s="285">
        <v>15</v>
      </c>
      <c r="C80" s="166" t="str">
        <f>IF(D80="","",C25)</f>
        <v/>
      </c>
      <c r="D80" s="237" t="str">
        <f>IF(OR(K25="", K25=0),"",D25)</f>
        <v/>
      </c>
      <c r="E80" s="207" t="str">
        <f>IF(AX80="","",AX80)</f>
        <v/>
      </c>
      <c r="F80" s="739"/>
      <c r="G80" s="740"/>
      <c r="H80" s="204" t="str">
        <f>IF(D80="","",AB80)</f>
        <v/>
      </c>
      <c r="I80" s="330" t="str">
        <f>IF(OR(K25="",K25=0),"",K25)</f>
        <v/>
      </c>
      <c r="J80" s="931" t="str">
        <f>IF(F80="","",VLOOKUP(F80,'10. Condition and Temporal'!$B$6:$F$103,5,FALSE))</f>
        <v/>
      </c>
      <c r="K80" s="932"/>
      <c r="L80" s="25" t="str">
        <f>IFERROR(IF(D80="","",IF(AX80="Distinctiveness",(((((I80*AH80*AJ80*AY80)-(I80*V80*X80))*(AV80*AT80))+(I80*V80*X80))*AP80)/1000,((((I80*AH80*AJ80*AY80)-(I80*V80*X80*AJ25))*(AV80*AR80))+(I80*V80*X80*AJ25))*AP80/1000)),"This intervention is not permitted within the SSM ▲")</f>
        <v/>
      </c>
      <c r="M80" s="933" t="str">
        <f>IFERROR(IF(F80="","",L80-AD80), "Error ▲")</f>
        <v/>
      </c>
      <c r="N80" s="934"/>
      <c r="O80" s="135"/>
      <c r="P80" s="87"/>
      <c r="R80" s="655"/>
      <c r="T80" s="217" t="str">
        <f>IF(D80="","",K25)</f>
        <v/>
      </c>
      <c r="U80" s="161" t="str">
        <f>IF($D80="","",T25)</f>
        <v/>
      </c>
      <c r="V80" s="162" t="str">
        <f>IF($D80="","",V25)</f>
        <v/>
      </c>
      <c r="W80" s="160" t="str">
        <f>IF($D80="","",W25)</f>
        <v/>
      </c>
      <c r="X80" s="61" t="str">
        <f>IF($D80="","",X25)</f>
        <v/>
      </c>
      <c r="Y80" s="349"/>
      <c r="Z80" s="349"/>
      <c r="AA80" s="349"/>
      <c r="AB80" s="150" t="str">
        <f>IF($D80="","",AB25)</f>
        <v/>
      </c>
      <c r="AC80" s="164" t="str">
        <f>IF($D80="","",AD25)</f>
        <v/>
      </c>
      <c r="AD80" s="162" t="str">
        <f>IF(AC80="","",((T80*V80*X80)*AC80*AJ25)/1000)</f>
        <v/>
      </c>
      <c r="AE80" s="219" t="str">
        <f>IF(AD80="","",IF(AH80&lt;V80,"Not Acceptable","Acceptable"))</f>
        <v/>
      </c>
      <c r="AF80" s="160" t="str">
        <f>IF(D80="","",I80)</f>
        <v/>
      </c>
      <c r="AG80" s="161" t="str">
        <f>IF(D80="","",VLOOKUP(F80,'9. All Habitats + Multipliers'!$C$4:$K$102,5,FALSE))</f>
        <v/>
      </c>
      <c r="AH80" s="162" t="str">
        <f>IF(AG80="","",VLOOKUP(AG80,'11. Lists'!$B$47:$D$49,2,FALSE))</f>
        <v/>
      </c>
      <c r="AI80" s="161" t="str">
        <f>IF(D80="","",J80)</f>
        <v/>
      </c>
      <c r="AJ80" s="466" t="str">
        <f>IF(AI80="","",VLOOKUP(AI80,'11. Lists'!$F$47:$G$51,2,FALSE))</f>
        <v/>
      </c>
      <c r="AK80" s="467"/>
      <c r="AL80" s="467"/>
      <c r="AM80" s="467"/>
      <c r="AN80" s="466" t="str">
        <f>IF(H80="","",H80)</f>
        <v/>
      </c>
      <c r="AO80" s="163" t="str">
        <f>IF(AN80="","",VLOOKUP(AN80,'11. Lists'!$F$36:$H$38,2,FALSE))</f>
        <v/>
      </c>
      <c r="AP80" s="162" t="str">
        <f>IF(AN80="","",VLOOKUP(AN80,'11. Lists'!$F$36:$H$38,3,FALSE))</f>
        <v/>
      </c>
      <c r="AQ80" s="161" t="str">
        <f>IF(D80="","",IF(AX80="Distinctiveness","N/A",VLOOKUP(F80,'10. Condition and Temporal'!$B$6:$L$103,11,FALSE)))</f>
        <v/>
      </c>
      <c r="AR80" s="165" t="str">
        <f>IF(AQ80="","",IF(AQ80="N/A","1",VLOOKUP(AQ80,'11. Lists'!$I$47:$K$80,3,FALSE)))</f>
        <v/>
      </c>
      <c r="AS80" s="180" t="str">
        <f>IF(D80="","",IF(AX80="Condition","N/A",VLOOKUP(F80,'10. Condition and Temporal'!$B$6:$M$106,12,FALSE)))</f>
        <v/>
      </c>
      <c r="AT80" s="165" t="str">
        <f>IF(AS80="","",IF(AS80="N/A","1",VLOOKUP(AS80,'11. Lists'!$I$47:$K$80,3,FALSE)))</f>
        <v/>
      </c>
      <c r="AU80" s="164" t="str">
        <f>IF(D80="","",VLOOKUP(F80,'9. All Habitats + Multipliers'!$C$4:$K$102,8,FALSE))</f>
        <v/>
      </c>
      <c r="AV80" s="162" t="str">
        <f>IF(AU80="","",VLOOKUP(AU80,'11. Lists'!$J$35:$K$38,2,FALSE))</f>
        <v/>
      </c>
      <c r="AW80" s="161" t="str">
        <f>IF(D80="","",VLOOKUP(D80,'10. Condition and Temporal'!$B$6:$M$103,4,FALSE))</f>
        <v/>
      </c>
      <c r="AX80" s="451" t="str">
        <f>IF(F80="","",IF(D80=F80,"Condition","Distinctiveness"))</f>
        <v/>
      </c>
      <c r="AY80" s="471" t="str">
        <v>1</v>
      </c>
      <c r="AZ80" s="468" t="str">
        <v>1</v>
      </c>
      <c r="BA80" s="61">
        <v>15</v>
      </c>
      <c r="BB80" s="60" t="str">
        <f>TRIM(MID(SUBSTITUTE($AW$66,$BA$62,REPT(" ",LEN($AW$66))),($BA80-1)*LEN($AW$66)+1,LEN($AW$66)))</f>
        <v/>
      </c>
      <c r="BC80" s="60" t="str">
        <f>TRIM(MID(SUBSTITUTE($AW$67,$BA$62,REPT(" ",LEN($AW$67))),($BA80-1)*LEN($AW$67)+1,LEN($AW$67)))</f>
        <v/>
      </c>
      <c r="BD80" s="60" t="str">
        <f>TRIM(MID(SUBSTITUTE($AW$68,$BA$62,REPT(" ",LEN($AW$68))),($BA80-1)*LEN($AW$68)+1,LEN($AW$68)))</f>
        <v/>
      </c>
      <c r="BE80" s="60" t="str">
        <f>TRIM(MID(SUBSTITUTE($AW$69,$BA$62,REPT(" ",LEN($AW$69))),($BA80-1)*LEN($AW$69)+1,LEN($AW$69)))</f>
        <v/>
      </c>
      <c r="BF80" s="60" t="str">
        <f>TRIM(MID(SUBSTITUTE($AW$70,$BA$62,REPT(" ",LEN($AW$70))),($BA80-1)*LEN($AW$70)+1,LEN($AW$70)))</f>
        <v/>
      </c>
      <c r="BG80" s="60" t="str">
        <f>TRIM(MID(SUBSTITUTE($AW$71,$BA$62,REPT(" ",LEN($AW$71))),($BA80-1)*LEN($AW$71)+1,LEN($AW$71)))</f>
        <v/>
      </c>
      <c r="BH80" s="60" t="str">
        <f>TRIM(MID(SUBSTITUTE($AW$72,$BA$62,REPT(" ",LEN($AW$72))),($BA80-1)*LEN($AW$72)+1,LEN($AW$72)))</f>
        <v/>
      </c>
      <c r="BI80" s="60" t="str">
        <f>TRIM(MID(SUBSTITUTE($AW$73,$BA$62,REPT(" ",LEN($AW$73))),($BA80-1)*LEN($AW$73)+1,LEN($AW$73)))</f>
        <v/>
      </c>
      <c r="BJ80" s="60" t="str">
        <f>TRIM(MID(SUBSTITUTE($AW$74,$BA$62,REPT(" ",LEN($AW$74))),($BA80-1)*LEN($AW$74)+1,LEN($AW$74)))</f>
        <v/>
      </c>
      <c r="BK80" s="60" t="str">
        <f>TRIM(MID(SUBSTITUTE($AW$75,$BA$62,REPT(" ",LEN($AW$75))),($BA80-1)*LEN($AW$75)+1,LEN($AW$75)))</f>
        <v/>
      </c>
      <c r="BL80" s="60" t="str">
        <f>TRIM(MID(SUBSTITUTE($AW$76,$BA$62,REPT(" ",LEN($AW$76))),($BA80-1)*LEN($AW$76)+1,LEN($AW$76)))</f>
        <v/>
      </c>
      <c r="BM80" s="60" t="str">
        <f>TRIM(MID(SUBSTITUTE($AW$77,$BA$62,REPT(" ",LEN($AW$77))),($BA80-1)*LEN($AW$77)+1,LEN($AW$77)))</f>
        <v/>
      </c>
      <c r="BN80" s="60" t="str">
        <f>TRIM(MID(SUBSTITUTE($AW$78,$BA$62,REPT(" ",LEN($AW$78))),($BA80-1)*LEN($AW$78)+1,LEN($AW$78)))</f>
        <v/>
      </c>
      <c r="BO80" s="60" t="str">
        <f>TRIM(MID(SUBSTITUTE($AW$79,$BA$62,REPT(" ",LEN($AW$79))),($BA80-1)*LEN($AW$79)+1,LEN($AW$79)))</f>
        <v/>
      </c>
      <c r="BP80" s="60" t="str">
        <f>TRIM(MID(SUBSTITUTE($AW$80,$BA$62,REPT(" ",LEN($AW$80))),($BA80-1)*LEN($AW$80)+1,LEN($AW$80)))</f>
        <v/>
      </c>
      <c r="BQ80" s="60" t="str">
        <f>TRIM(MID(SUBSTITUTE($AW$81,$BA$62,REPT(" ",LEN($AW$81))),($BA80-1)*LEN($AW$81)+1,LEN($AW$81)))</f>
        <v/>
      </c>
      <c r="BR80" s="60" t="str">
        <f>TRIM(MID(SUBSTITUTE($AW$82,$BA$62,REPT(" ",LEN($AW$82))),($BA80-1)*LEN($AW$82)+1,LEN($AW$82)))</f>
        <v/>
      </c>
      <c r="BS80" s="60" t="str">
        <f>TRIM(MID(SUBSTITUTE($AW$83,$BA$62,REPT(" ",LEN($AW$83))),($BA80-1)*LEN($AW$83)+1,LEN($AW$83)))</f>
        <v/>
      </c>
      <c r="BT80" s="60" t="str">
        <f>TRIM(MID(SUBSTITUTE($AW$84,$BA$62,REPT(" ",LEN($AW$84))),($BA80-1)*LEN($AW$84)+1,LEN($AW$84)))</f>
        <v/>
      </c>
      <c r="BU80" s="150" t="str">
        <f>TRIM(MID(SUBSTITUTE($AW$85,$BA$62,REPT(" ",LEN($AW$85))),($BA80-1)*LEN($AW$85)+1,LEN($AW$85)))</f>
        <v/>
      </c>
      <c r="BV80" s="224" t="str">
        <f>IF(BX80=0,"",CONCATENATE(BW80,"66:",BW80,BX80+65))</f>
        <v/>
      </c>
      <c r="BW80" s="60" t="s">
        <v>203</v>
      </c>
      <c r="BX80" s="60">
        <f>BP64</f>
        <v>0</v>
      </c>
    </row>
    <row r="81" spans="1:76" s="99" customFormat="1" ht="15.75" customHeight="1">
      <c r="B81" s="285">
        <v>16</v>
      </c>
      <c r="C81" s="166" t="str">
        <f>IF(D81="","",C26)</f>
        <v/>
      </c>
      <c r="D81" s="237" t="str">
        <f>IF(OR(K26="", K26=0),"",D26)</f>
        <v/>
      </c>
      <c r="E81" s="207" t="str">
        <f>IF(AX81="","",AX81)</f>
        <v/>
      </c>
      <c r="F81" s="739"/>
      <c r="G81" s="740"/>
      <c r="H81" s="204" t="str">
        <f>IF(D81="","",AB81)</f>
        <v/>
      </c>
      <c r="I81" s="330" t="str">
        <f>IF(OR(K26="",K26=0),"",K26)</f>
        <v/>
      </c>
      <c r="J81" s="931" t="str">
        <f>IF(F81="","",VLOOKUP(F81,'10. Condition and Temporal'!$B$6:$F$103,5,FALSE))</f>
        <v/>
      </c>
      <c r="K81" s="932"/>
      <c r="L81" s="25" t="str">
        <f>IFERROR(IF(D81="","",IF(AX81="Distinctiveness",(((((I81*AH81*AJ81*AY81)-(I81*V81*X81))*(AV81*AT81))+(I81*V81*X81))*AP81)/1000,((((I81*AH81*AJ81*AY81)-(I81*V81*X81*AJ26))*(AV81*AR81))+(I81*V81*X81*AJ26))*AP81/1000)),"This intervention is not permitted within the SSM ▲")</f>
        <v/>
      </c>
      <c r="M81" s="933" t="str">
        <f>IFERROR(IF(F81="","",L81-AD81), "Error ▲")</f>
        <v/>
      </c>
      <c r="N81" s="934"/>
      <c r="O81" s="135"/>
      <c r="P81" s="87"/>
      <c r="R81" s="655"/>
      <c r="T81" s="217" t="str">
        <f>IF(D81="","",K26)</f>
        <v/>
      </c>
      <c r="U81" s="161" t="str">
        <f>IF($D81="","",T26)</f>
        <v/>
      </c>
      <c r="V81" s="162" t="str">
        <f>IF($D81="","",V26)</f>
        <v/>
      </c>
      <c r="W81" s="160" t="str">
        <f>IF($D81="","",W26)</f>
        <v/>
      </c>
      <c r="X81" s="61" t="str">
        <f>IF($D81="","",X26)</f>
        <v/>
      </c>
      <c r="Y81" s="349"/>
      <c r="Z81" s="349"/>
      <c r="AA81" s="349"/>
      <c r="AB81" s="150" t="str">
        <f>IF($D81="","",AB26)</f>
        <v/>
      </c>
      <c r="AC81" s="164" t="str">
        <f>IF($D81="","",AD26)</f>
        <v/>
      </c>
      <c r="AD81" s="162" t="str">
        <f>IF(AC81="","",((T81*V81*X81)*AC81*AJ26)/1000)</f>
        <v/>
      </c>
      <c r="AE81" s="219" t="str">
        <f>IF(AD81="","",IF(AH81&lt;V81,"Not Acceptable","Acceptable"))</f>
        <v/>
      </c>
      <c r="AF81" s="160" t="str">
        <f>IF(D81="","",I81)</f>
        <v/>
      </c>
      <c r="AG81" s="161" t="str">
        <f>IF(D81="","",VLOOKUP(F81,'9. All Habitats + Multipliers'!$C$4:$K$102,5,FALSE))</f>
        <v/>
      </c>
      <c r="AH81" s="162" t="str">
        <f>IF(AG81="","",VLOOKUP(AG81,'11. Lists'!$B$47:$D$49,2,FALSE))</f>
        <v/>
      </c>
      <c r="AI81" s="161" t="str">
        <f>IF(D81="","",J81)</f>
        <v/>
      </c>
      <c r="AJ81" s="466" t="str">
        <f>IF(AI81="","",VLOOKUP(AI81,'11. Lists'!$F$47:$G$51,2,FALSE))</f>
        <v/>
      </c>
      <c r="AK81" s="467"/>
      <c r="AL81" s="467"/>
      <c r="AM81" s="467"/>
      <c r="AN81" s="466" t="str">
        <f>IF(H81="","",H81)</f>
        <v/>
      </c>
      <c r="AO81" s="163" t="str">
        <f>IF(AN81="","",VLOOKUP(AN81,'11. Lists'!$F$36:$H$38,2,FALSE))</f>
        <v/>
      </c>
      <c r="AP81" s="162" t="str">
        <f>IF(AN81="","",VLOOKUP(AN81,'11. Lists'!$F$36:$H$38,3,FALSE))</f>
        <v/>
      </c>
      <c r="AQ81" s="161" t="str">
        <f>IF(D81="","",IF(AX81="Distinctiveness","N/A",VLOOKUP(F81,'10. Condition and Temporal'!$B$6:$L$103,11,FALSE)))</f>
        <v/>
      </c>
      <c r="AR81" s="165" t="str">
        <f>IF(AQ81="","",IF(AQ81="N/A","1",VLOOKUP(AQ81,'11. Lists'!$I$47:$K$80,3,FALSE)))</f>
        <v/>
      </c>
      <c r="AS81" s="180" t="str">
        <f>IF(D81="","",IF(AX81="Condition","N/A",VLOOKUP(F81,'10. Condition and Temporal'!$B$6:$M$106,12,FALSE)))</f>
        <v/>
      </c>
      <c r="AT81" s="165" t="str">
        <f>IF(AS81="","",IF(AS81="N/A","1",VLOOKUP(AS81,'11. Lists'!$I$47:$K$80,3,FALSE)))</f>
        <v/>
      </c>
      <c r="AU81" s="164" t="str">
        <f>IF(D81="","",VLOOKUP(F81,'9. All Habitats + Multipliers'!$C$4:$K$102,8,FALSE))</f>
        <v/>
      </c>
      <c r="AV81" s="162" t="str">
        <f>IF(AU81="","",VLOOKUP(AU81,'11. Lists'!$J$35:$K$38,2,FALSE))</f>
        <v/>
      </c>
      <c r="AW81" s="161" t="str">
        <f>IF(D81="","",VLOOKUP(D81,'10. Condition and Temporal'!$B$6:$M$103,4,FALSE))</f>
        <v/>
      </c>
      <c r="AX81" s="451" t="str">
        <f>IF(F81="","",IF(D81=F81,"Condition","Distinctiveness"))</f>
        <v/>
      </c>
      <c r="AY81" s="471" t="str">
        <v>1</v>
      </c>
      <c r="AZ81" s="468" t="str">
        <v>1</v>
      </c>
      <c r="BA81" s="61">
        <v>16</v>
      </c>
      <c r="BB81" s="60" t="str">
        <f>TRIM(MID(SUBSTITUTE($AW$66,$BA$62,REPT(" ",LEN($AW$66))),($BA81-1)*LEN($AW$66)+1,LEN($AW$66)))</f>
        <v/>
      </c>
      <c r="BC81" s="60" t="str">
        <f>TRIM(MID(SUBSTITUTE($AW$67,$BA$62,REPT(" ",LEN($AW$67))),($BA81-1)*LEN($AW$67)+1,LEN($AW$67)))</f>
        <v/>
      </c>
      <c r="BD81" s="60" t="str">
        <f>TRIM(MID(SUBSTITUTE($AW$68,$BA$62,REPT(" ",LEN($AW$68))),($BA81-1)*LEN($AW$68)+1,LEN($AW$68)))</f>
        <v/>
      </c>
      <c r="BE81" s="60" t="str">
        <f>TRIM(MID(SUBSTITUTE($AW$69,$BA$62,REPT(" ",LEN($AW$69))),($BA81-1)*LEN($AW$69)+1,LEN($AW$69)))</f>
        <v/>
      </c>
      <c r="BF81" s="60" t="str">
        <f>TRIM(MID(SUBSTITUTE($AW$70,$BA$62,REPT(" ",LEN($AW$70))),($BA81-1)*LEN($AW$70)+1,LEN($AW$70)))</f>
        <v/>
      </c>
      <c r="BG81" s="60" t="str">
        <f>TRIM(MID(SUBSTITUTE($AW$71,$BA$62,REPT(" ",LEN($AW$71))),($BA81-1)*LEN($AW$71)+1,LEN($AW$71)))</f>
        <v/>
      </c>
      <c r="BH81" s="60" t="str">
        <f>TRIM(MID(SUBSTITUTE($AW$72,$BA$62,REPT(" ",LEN($AW$72))),($BA81-1)*LEN($AW$72)+1,LEN($AW$72)))</f>
        <v/>
      </c>
      <c r="BI81" s="60" t="str">
        <f>TRIM(MID(SUBSTITUTE($AW$73,$BA$62,REPT(" ",LEN($AW$73))),($BA81-1)*LEN($AW$73)+1,LEN($AW$73)))</f>
        <v/>
      </c>
      <c r="BJ81" s="60" t="str">
        <f>TRIM(MID(SUBSTITUTE($AW$74,$BA$62,REPT(" ",LEN($AW$74))),($BA81-1)*LEN($AW$74)+1,LEN($AW$74)))</f>
        <v/>
      </c>
      <c r="BK81" s="60" t="str">
        <f>TRIM(MID(SUBSTITUTE($AW$75,$BA$62,REPT(" ",LEN($AW$75))),($BA81-1)*LEN($AW$75)+1,LEN($AW$75)))</f>
        <v/>
      </c>
      <c r="BL81" s="60" t="str">
        <f>TRIM(MID(SUBSTITUTE($AW$76,$BA$62,REPT(" ",LEN($AW$76))),($BA81-1)*LEN($AW$76)+1,LEN($AW$76)))</f>
        <v/>
      </c>
      <c r="BM81" s="60" t="str">
        <f>TRIM(MID(SUBSTITUTE($AW$77,$BA$62,REPT(" ",LEN($AW$77))),($BA81-1)*LEN($AW$77)+1,LEN($AW$77)))</f>
        <v/>
      </c>
      <c r="BN81" s="60" t="str">
        <f>TRIM(MID(SUBSTITUTE($AW$78,$BA$62,REPT(" ",LEN($AW$78))),($BA81-1)*LEN($AW$78)+1,LEN($AW$78)))</f>
        <v/>
      </c>
      <c r="BO81" s="60" t="str">
        <f>TRIM(MID(SUBSTITUTE($AW$79,$BA$62,REPT(" ",LEN($AW$79))),($BA81-1)*LEN($AW$79)+1,LEN($AW$79)))</f>
        <v/>
      </c>
      <c r="BP81" s="60" t="str">
        <f>TRIM(MID(SUBSTITUTE($AW$80,$BA$62,REPT(" ",LEN($AW$80))),($BA81-1)*LEN($AW$80)+1,LEN($AW$80)))</f>
        <v/>
      </c>
      <c r="BQ81" s="60" t="str">
        <f>TRIM(MID(SUBSTITUTE($AW$81,$BA$62,REPT(" ",LEN($AW$81))),($BA81-1)*LEN($AW$81)+1,LEN($AW$81)))</f>
        <v/>
      </c>
      <c r="BR81" s="60" t="str">
        <f>TRIM(MID(SUBSTITUTE($AW$82,$BA$62,REPT(" ",LEN($AW$82))),($BA81-1)*LEN($AW$82)+1,LEN($AW$82)))</f>
        <v/>
      </c>
      <c r="BS81" s="60" t="str">
        <f>TRIM(MID(SUBSTITUTE($AW$83,$BA$62,REPT(" ",LEN($AW$83))),($BA81-1)*LEN($AW$83)+1,LEN($AW$83)))</f>
        <v/>
      </c>
      <c r="BT81" s="60" t="str">
        <f>TRIM(MID(SUBSTITUTE($AW$84,$BA$62,REPT(" ",LEN($AW$84))),($BA81-1)*LEN($AW$84)+1,LEN($AW$84)))</f>
        <v/>
      </c>
      <c r="BU81" s="150" t="str">
        <f>TRIM(MID(SUBSTITUTE($AW$85,$BA$62,REPT(" ",LEN($AW$85))),($BA81-1)*LEN($AW$85)+1,LEN($AW$85)))</f>
        <v/>
      </c>
      <c r="BV81" s="224" t="str">
        <f>IF(BX81=0,"",CONCATENATE(BW81,"66:",BW81,BX81+65))</f>
        <v/>
      </c>
      <c r="BW81" s="60" t="s">
        <v>204</v>
      </c>
      <c r="BX81" s="60">
        <f>BQ64</f>
        <v>0</v>
      </c>
    </row>
    <row r="82" spans="1:76" s="99" customFormat="1" ht="15.6" customHeight="1">
      <c r="B82" s="285">
        <v>17</v>
      </c>
      <c r="C82" s="166" t="str">
        <f>IF(D82="","",C27)</f>
        <v/>
      </c>
      <c r="D82" s="237" t="str">
        <f>IF(OR(K27="", K27=0),"",D27)</f>
        <v/>
      </c>
      <c r="E82" s="207" t="str">
        <f>IF(AX82="","",AX82)</f>
        <v/>
      </c>
      <c r="F82" s="739"/>
      <c r="G82" s="740"/>
      <c r="H82" s="204" t="str">
        <f>IF(D82="","",AB82)</f>
        <v/>
      </c>
      <c r="I82" s="330" t="str">
        <f>IF(OR(K27="",K27=0),"",K27)</f>
        <v/>
      </c>
      <c r="J82" s="931" t="str">
        <f>IF(F82="","",VLOOKUP(F82,'10. Condition and Temporal'!$B$6:$F$103,5,FALSE))</f>
        <v/>
      </c>
      <c r="K82" s="932"/>
      <c r="L82" s="25" t="str">
        <f>IFERROR(IF(D82="","",IF(AX82="Distinctiveness",(((((I82*AH82*AJ82*AY82)-(I82*V82*X82))*(AV82*AT82))+(I82*V82*X82))*AP82)/1000,((((I82*AH82*AJ82*AY82)-(I82*V82*X82*AJ27))*(AV82*AR82))+(I82*V82*X82*AJ27))*AP82/1000)),"This intervention is not permitted within the SSM ▲")</f>
        <v/>
      </c>
      <c r="M82" s="933" t="str">
        <f>IFERROR(IF(F82="","",L82-AD82), "Error ▲")</f>
        <v/>
      </c>
      <c r="N82" s="934"/>
      <c r="O82" s="135"/>
      <c r="P82" s="87"/>
      <c r="R82" s="655"/>
      <c r="T82" s="217" t="str">
        <f>IF(D82="","",K27)</f>
        <v/>
      </c>
      <c r="U82" s="161" t="str">
        <f>IF($D82="","",T27)</f>
        <v/>
      </c>
      <c r="V82" s="162" t="str">
        <f>IF($D82="","",V27)</f>
        <v/>
      </c>
      <c r="W82" s="160" t="str">
        <f>IF($D82="","",W27)</f>
        <v/>
      </c>
      <c r="X82" s="61" t="str">
        <f>IF($D82="","",X27)</f>
        <v/>
      </c>
      <c r="Y82" s="349"/>
      <c r="Z82" s="349"/>
      <c r="AA82" s="349"/>
      <c r="AB82" s="150" t="str">
        <f>IF($D82="","",AB27)</f>
        <v/>
      </c>
      <c r="AC82" s="164" t="str">
        <f>IF($D82="","",AD27)</f>
        <v/>
      </c>
      <c r="AD82" s="162" t="str">
        <f>IF(AC82="","",((T82*V82*X82)*AC82*AJ27)/1000)</f>
        <v/>
      </c>
      <c r="AE82" s="219" t="str">
        <f>IF(AD82="","",IF(AH82&lt;V82,"Not Acceptable","Acceptable"))</f>
        <v/>
      </c>
      <c r="AF82" s="160" t="str">
        <f>IF(D82="","",I82)</f>
        <v/>
      </c>
      <c r="AG82" s="161" t="str">
        <f>IF(D82="","",VLOOKUP(F82,'9. All Habitats + Multipliers'!$C$4:$K$102,5,FALSE))</f>
        <v/>
      </c>
      <c r="AH82" s="162" t="str">
        <f>IF(AG82="","",VLOOKUP(AG82,'11. Lists'!$B$47:$D$49,2,FALSE))</f>
        <v/>
      </c>
      <c r="AI82" s="161" t="str">
        <f>IF(D82="","",J82)</f>
        <v/>
      </c>
      <c r="AJ82" s="466" t="str">
        <f>IF(AI82="","",VLOOKUP(AI82,'11. Lists'!$F$47:$G$51,2,FALSE))</f>
        <v/>
      </c>
      <c r="AK82" s="467"/>
      <c r="AL82" s="467"/>
      <c r="AM82" s="467"/>
      <c r="AN82" s="466" t="str">
        <f>IF(H82="","",H82)</f>
        <v/>
      </c>
      <c r="AO82" s="163" t="str">
        <f>IF(AN82="","",VLOOKUP(AN82,'11. Lists'!$F$36:$H$38,2,FALSE))</f>
        <v/>
      </c>
      <c r="AP82" s="162" t="str">
        <f>IF(AN82="","",VLOOKUP(AN82,'11. Lists'!$F$36:$H$38,3,FALSE))</f>
        <v/>
      </c>
      <c r="AQ82" s="161" t="str">
        <f>IF(D82="","",IF(AX82="Distinctiveness","N/A",VLOOKUP(F82,'10. Condition and Temporal'!$B$6:$L$103,11,FALSE)))</f>
        <v/>
      </c>
      <c r="AR82" s="165" t="str">
        <f>IF(AQ82="","",IF(AQ82="N/A","1",VLOOKUP(AQ82,'11. Lists'!$I$47:$K$80,3,FALSE)))</f>
        <v/>
      </c>
      <c r="AS82" s="180" t="str">
        <f>IF(D82="","",IF(AX82="Condition","N/A",VLOOKUP(F82,'10. Condition and Temporal'!$B$6:$M$106,12,FALSE)))</f>
        <v/>
      </c>
      <c r="AT82" s="165" t="str">
        <f>IF(AS82="","",IF(AS82="N/A","1",VLOOKUP(AS82,'11. Lists'!$I$47:$K$80,3,FALSE)))</f>
        <v/>
      </c>
      <c r="AU82" s="164" t="str">
        <f>IF(D82="","",VLOOKUP(F82,'9. All Habitats + Multipliers'!$C$4:$K$102,8,FALSE))</f>
        <v/>
      </c>
      <c r="AV82" s="162" t="str">
        <f>IF(AU82="","",VLOOKUP(AU82,'11. Lists'!$J$35:$K$38,2,FALSE))</f>
        <v/>
      </c>
      <c r="AW82" s="161" t="str">
        <f>IF(D82="","",VLOOKUP(D82,'10. Condition and Temporal'!$B$6:$M$103,4,FALSE))</f>
        <v/>
      </c>
      <c r="AX82" s="451" t="str">
        <f>IF(F82="","",IF(D82=F82,"Condition","Distinctiveness"))</f>
        <v/>
      </c>
      <c r="AY82" s="471" t="str">
        <v>1</v>
      </c>
      <c r="AZ82" s="468" t="str">
        <v>1</v>
      </c>
      <c r="BA82" s="61">
        <v>17</v>
      </c>
      <c r="BB82" s="60" t="str">
        <f>TRIM(MID(SUBSTITUTE($AW$66,$BA$62,REPT(" ",LEN($AW$66))),($BA82-1)*LEN($AW$66)+1,LEN($AW$66)))</f>
        <v/>
      </c>
      <c r="BC82" s="60" t="str">
        <f>TRIM(MID(SUBSTITUTE($AW$67,$BA$62,REPT(" ",LEN($AW$67))),($BA82-1)*LEN($AW$67)+1,LEN($AW$67)))</f>
        <v/>
      </c>
      <c r="BD82" s="60" t="str">
        <f>TRIM(MID(SUBSTITUTE($AW$68,$BA$62,REPT(" ",LEN($AW$68))),($BA82-1)*LEN($AW$68)+1,LEN($AW$68)))</f>
        <v/>
      </c>
      <c r="BE82" s="60" t="str">
        <f>TRIM(MID(SUBSTITUTE($AW$69,$BA$62,REPT(" ",LEN($AW$69))),($BA82-1)*LEN($AW$69)+1,LEN($AW$69)))</f>
        <v/>
      </c>
      <c r="BF82" s="60" t="str">
        <f>TRIM(MID(SUBSTITUTE($AW$70,$BA$62,REPT(" ",LEN($AW$70))),($BA82-1)*LEN($AW$70)+1,LEN($AW$70)))</f>
        <v/>
      </c>
      <c r="BG82" s="60" t="str">
        <f>TRIM(MID(SUBSTITUTE($AW$71,$BA$62,REPT(" ",LEN($AW$71))),($BA82-1)*LEN($AW$71)+1,LEN($AW$71)))</f>
        <v/>
      </c>
      <c r="BH82" s="60" t="str">
        <f>TRIM(MID(SUBSTITUTE($AW$72,$BA$62,REPT(" ",LEN($AW$72))),($BA82-1)*LEN($AW$72)+1,LEN($AW$72)))</f>
        <v/>
      </c>
      <c r="BI82" s="60" t="str">
        <f>TRIM(MID(SUBSTITUTE($AW$73,$BA$62,REPT(" ",LEN($AW$73))),($BA82-1)*LEN($AW$73)+1,LEN($AW$73)))</f>
        <v/>
      </c>
      <c r="BJ82" s="60" t="str">
        <f>TRIM(MID(SUBSTITUTE($AW$74,$BA$62,REPT(" ",LEN($AW$74))),($BA82-1)*LEN($AW$74)+1,LEN($AW$74)))</f>
        <v/>
      </c>
      <c r="BK82" s="60" t="str">
        <f>TRIM(MID(SUBSTITUTE($AW$75,$BA$62,REPT(" ",LEN($AW$75))),($BA82-1)*LEN($AW$75)+1,LEN($AW$75)))</f>
        <v/>
      </c>
      <c r="BL82" s="60" t="str">
        <f>TRIM(MID(SUBSTITUTE($AW$76,$BA$62,REPT(" ",LEN($AW$76))),($BA82-1)*LEN($AW$76)+1,LEN($AW$76)))</f>
        <v/>
      </c>
      <c r="BM82" s="60" t="str">
        <f>TRIM(MID(SUBSTITUTE($AW$77,$BA$62,REPT(" ",LEN($AW$77))),($BA82-1)*LEN($AW$77)+1,LEN($AW$77)))</f>
        <v/>
      </c>
      <c r="BN82" s="60" t="str">
        <f>TRIM(MID(SUBSTITUTE($AW$78,$BA$62,REPT(" ",LEN($AW$78))),($BA82-1)*LEN($AW$78)+1,LEN($AW$78)))</f>
        <v/>
      </c>
      <c r="BO82" s="60" t="str">
        <f>TRIM(MID(SUBSTITUTE($AW$79,$BA$62,REPT(" ",LEN($AW$79))),($BA82-1)*LEN($AW$79)+1,LEN($AW$79)))</f>
        <v/>
      </c>
      <c r="BP82" s="60" t="str">
        <f>TRIM(MID(SUBSTITUTE($AW$80,$BA$62,REPT(" ",LEN($AW$80))),($BA82-1)*LEN($AW$80)+1,LEN($AW$80)))</f>
        <v/>
      </c>
      <c r="BQ82" s="60" t="str">
        <f>TRIM(MID(SUBSTITUTE($AW$81,$BA$62,REPT(" ",LEN($AW$81))),($BA82-1)*LEN($AW$81)+1,LEN($AW$81)))</f>
        <v/>
      </c>
      <c r="BR82" s="60" t="str">
        <f>TRIM(MID(SUBSTITUTE($AW$82,$BA$62,REPT(" ",LEN($AW$82))),($BA82-1)*LEN($AW$82)+1,LEN($AW$82)))</f>
        <v/>
      </c>
      <c r="BS82" s="60" t="str">
        <f>TRIM(MID(SUBSTITUTE($AW$83,$BA$62,REPT(" ",LEN($AW$83))),($BA82-1)*LEN($AW$83)+1,LEN($AW$83)))</f>
        <v/>
      </c>
      <c r="BT82" s="60" t="str">
        <f>TRIM(MID(SUBSTITUTE($AW$84,$BA$62,REPT(" ",LEN($AW$84))),($BA82-1)*LEN($AW$84)+1,LEN($AW$84)))</f>
        <v/>
      </c>
      <c r="BU82" s="150" t="str">
        <f>TRIM(MID(SUBSTITUTE($AW$85,$BA$62,REPT(" ",LEN($AW$85))),($BA82-1)*LEN($AW$85)+1,LEN($AW$85)))</f>
        <v/>
      </c>
      <c r="BV82" s="224" t="str">
        <f>IF(BX82=0,"",CONCATENATE(BW82,"66:",BW82,BX82+65))</f>
        <v/>
      </c>
      <c r="BW82" s="60" t="s">
        <v>205</v>
      </c>
      <c r="BX82" s="60">
        <f>BR64</f>
        <v>0</v>
      </c>
    </row>
    <row r="83" spans="1:76" s="99" customFormat="1" ht="15.75" customHeight="1">
      <c r="B83" s="285">
        <v>18</v>
      </c>
      <c r="C83" s="166" t="str">
        <f>IF(D83="","",C28)</f>
        <v/>
      </c>
      <c r="D83" s="237" t="str">
        <f>IF(OR(K28="", K28=0),"",D28)</f>
        <v/>
      </c>
      <c r="E83" s="207" t="str">
        <f>IF(AX83="","",AX83)</f>
        <v/>
      </c>
      <c r="F83" s="739"/>
      <c r="G83" s="740"/>
      <c r="H83" s="204" t="str">
        <f>IF(D83="","",AB83)</f>
        <v/>
      </c>
      <c r="I83" s="330" t="str">
        <f>IF(OR(K28="",K28=0),"",K28)</f>
        <v/>
      </c>
      <c r="J83" s="931" t="str">
        <f>IF(F83="","",VLOOKUP(F83,'10. Condition and Temporal'!$B$6:$F$103,5,FALSE))</f>
        <v/>
      </c>
      <c r="K83" s="932"/>
      <c r="L83" s="25" t="str">
        <f>IFERROR(IF(D83="","",IF(AX83="Distinctiveness",(((((I83*AH83*AJ83*AY83)-(I83*V83*X83))*(AV83*AT83))+(I83*V83*X83))*AP83)/1000,((((I83*AH83*AJ83*AY83)-(I83*V83*X83*AJ28))*(AV83*AR83))+(I83*V83*X83*AJ28))*AP83/1000)),"This intervention is not permitted within the SSM ▲")</f>
        <v/>
      </c>
      <c r="M83" s="933" t="str">
        <f>IFERROR(IF(F83="","",L83-AD83), "Error ▲")</f>
        <v/>
      </c>
      <c r="N83" s="934"/>
      <c r="O83" s="135"/>
      <c r="P83" s="87"/>
      <c r="R83" s="655"/>
      <c r="T83" s="217" t="str">
        <f>IF(D83="","",K28)</f>
        <v/>
      </c>
      <c r="U83" s="161" t="str">
        <f>IF($D83="","",T28)</f>
        <v/>
      </c>
      <c r="V83" s="162" t="str">
        <f>IF($D83="","",V28)</f>
        <v/>
      </c>
      <c r="W83" s="160" t="str">
        <f>IF($D83="","",W28)</f>
        <v/>
      </c>
      <c r="X83" s="61" t="str">
        <f>IF($D83="","",X28)</f>
        <v/>
      </c>
      <c r="Y83" s="349"/>
      <c r="Z83" s="349"/>
      <c r="AA83" s="349"/>
      <c r="AB83" s="150" t="str">
        <f>IF($D83="","",AB28)</f>
        <v/>
      </c>
      <c r="AC83" s="164" t="str">
        <f>IF($D83="","",AD28)</f>
        <v/>
      </c>
      <c r="AD83" s="162" t="str">
        <f>IF(AC83="","",((T83*V83*X83)*AC83*AJ28)/1000)</f>
        <v/>
      </c>
      <c r="AE83" s="219" t="str">
        <f>IF(AD83="","",IF(AH83&lt;V83,"Not Acceptable","Acceptable"))</f>
        <v/>
      </c>
      <c r="AF83" s="160" t="str">
        <f>IF(D83="","",I83)</f>
        <v/>
      </c>
      <c r="AG83" s="161" t="str">
        <f>IF(D83="","",VLOOKUP(F83,'9. All Habitats + Multipliers'!$C$4:$K$102,5,FALSE))</f>
        <v/>
      </c>
      <c r="AH83" s="162" t="str">
        <f>IF(AG83="","",VLOOKUP(AG83,'11. Lists'!$B$47:$D$49,2,FALSE))</f>
        <v/>
      </c>
      <c r="AI83" s="161" t="str">
        <f>IF(D83="","",J83)</f>
        <v/>
      </c>
      <c r="AJ83" s="466" t="str">
        <f>IF(AI83="","",VLOOKUP(AI83,'11. Lists'!$F$47:$G$51,2,FALSE))</f>
        <v/>
      </c>
      <c r="AK83" s="467"/>
      <c r="AL83" s="467"/>
      <c r="AM83" s="467"/>
      <c r="AN83" s="466" t="str">
        <f>IF(H83="","",H83)</f>
        <v/>
      </c>
      <c r="AO83" s="163" t="str">
        <f>IF(AN83="","",VLOOKUP(AN83,'11. Lists'!$F$36:$H$38,2,FALSE))</f>
        <v/>
      </c>
      <c r="AP83" s="162" t="str">
        <f>IF(AN83="","",VLOOKUP(AN83,'11. Lists'!$F$36:$H$38,3,FALSE))</f>
        <v/>
      </c>
      <c r="AQ83" s="161" t="str">
        <f>IF(D83="","",IF(AX83="Distinctiveness","N/A",VLOOKUP(F83,'10. Condition and Temporal'!$B$6:$L$103,11,FALSE)))</f>
        <v/>
      </c>
      <c r="AR83" s="165" t="str">
        <f>IF(AQ83="","",IF(AQ83="N/A","1",VLOOKUP(AQ83,'11. Lists'!$I$47:$K$80,3,FALSE)))</f>
        <v/>
      </c>
      <c r="AS83" s="180" t="str">
        <f>IF(D83="","",IF(AX83="Condition","N/A",VLOOKUP(F83,'10. Condition and Temporal'!$B$6:$M$106,12,FALSE)))</f>
        <v/>
      </c>
      <c r="AT83" s="165" t="str">
        <f>IF(AS83="","",IF(AS83="N/A","1",VLOOKUP(AS83,'11. Lists'!$I$47:$K$80,3,FALSE)))</f>
        <v/>
      </c>
      <c r="AU83" s="164" t="str">
        <f>IF(D83="","",VLOOKUP(F83,'9. All Habitats + Multipliers'!$C$4:$K$102,8,FALSE))</f>
        <v/>
      </c>
      <c r="AV83" s="162" t="str">
        <f>IF(AU83="","",VLOOKUP(AU83,'11. Lists'!$J$35:$K$38,2,FALSE))</f>
        <v/>
      </c>
      <c r="AW83" s="161" t="str">
        <f>IF(D83="","",VLOOKUP(D83,'10. Condition and Temporal'!$B$6:$M$103,4,FALSE))</f>
        <v/>
      </c>
      <c r="AX83" s="451" t="str">
        <f>IF(F83="","",IF(D83=F83,"Condition","Distinctiveness"))</f>
        <v/>
      </c>
      <c r="AY83" s="471" t="str">
        <v>1</v>
      </c>
      <c r="AZ83" s="468" t="str">
        <v>1</v>
      </c>
      <c r="BA83" s="61">
        <v>18</v>
      </c>
      <c r="BB83" s="60" t="str">
        <f>TRIM(MID(SUBSTITUTE($AW$66,$BA$62,REPT(" ",LEN($AW$66))),($BA83-1)*LEN($AW$66)+1,LEN($AW$66)))</f>
        <v/>
      </c>
      <c r="BC83" s="60" t="str">
        <f>TRIM(MID(SUBSTITUTE($AW$67,$BA$62,REPT(" ",LEN($AW$67))),($BA83-1)*LEN($AW$67)+1,LEN($AW$67)))</f>
        <v/>
      </c>
      <c r="BD83" s="60" t="str">
        <f>TRIM(MID(SUBSTITUTE($AW$68,$BA$62,REPT(" ",LEN($AW$68))),($BA83-1)*LEN($AW$68)+1,LEN($AW$68)))</f>
        <v/>
      </c>
      <c r="BE83" s="60" t="str">
        <f>TRIM(MID(SUBSTITUTE($AW$69,$BA$62,REPT(" ",LEN($AW$69))),($BA83-1)*LEN($AW$69)+1,LEN($AW$69)))</f>
        <v/>
      </c>
      <c r="BF83" s="60" t="str">
        <f>TRIM(MID(SUBSTITUTE($AW$70,$BA$62,REPT(" ",LEN($AW$70))),($BA83-1)*LEN($AW$70)+1,LEN($AW$70)))</f>
        <v/>
      </c>
      <c r="BG83" s="60" t="str">
        <f>TRIM(MID(SUBSTITUTE($AW$71,$BA$62,REPT(" ",LEN($AW$71))),($BA83-1)*LEN($AW$71)+1,LEN($AW$71)))</f>
        <v/>
      </c>
      <c r="BH83" s="60" t="str">
        <f>TRIM(MID(SUBSTITUTE($AW$72,$BA$62,REPT(" ",LEN($AW$72))),($BA83-1)*LEN($AW$72)+1,LEN($AW$72)))</f>
        <v/>
      </c>
      <c r="BI83" s="60" t="str">
        <f>TRIM(MID(SUBSTITUTE($AW$73,$BA$62,REPT(" ",LEN($AW$73))),($BA83-1)*LEN($AW$73)+1,LEN($AW$73)))</f>
        <v/>
      </c>
      <c r="BJ83" s="60" t="str">
        <f>TRIM(MID(SUBSTITUTE($AW$74,$BA$62,REPT(" ",LEN($AW$74))),($BA83-1)*LEN($AW$74)+1,LEN($AW$74)))</f>
        <v/>
      </c>
      <c r="BK83" s="60" t="str">
        <f>TRIM(MID(SUBSTITUTE($AW$75,$BA$62,REPT(" ",LEN($AW$75))),($BA83-1)*LEN($AW$75)+1,LEN($AW$75)))</f>
        <v/>
      </c>
      <c r="BL83" s="60" t="str">
        <f>TRIM(MID(SUBSTITUTE($AW$76,$BA$62,REPT(" ",LEN($AW$76))),($BA83-1)*LEN($AW$76)+1,LEN($AW$76)))</f>
        <v/>
      </c>
      <c r="BM83" s="60" t="str">
        <f>TRIM(MID(SUBSTITUTE($AW$77,$BA$62,REPT(" ",LEN($AW$77))),($BA83-1)*LEN($AW$77)+1,LEN($AW$77)))</f>
        <v/>
      </c>
      <c r="BN83" s="60" t="str">
        <f>TRIM(MID(SUBSTITUTE($AW$78,$BA$62,REPT(" ",LEN($AW$78))),($BA83-1)*LEN($AW$78)+1,LEN($AW$78)))</f>
        <v/>
      </c>
      <c r="BO83" s="60" t="str">
        <f>TRIM(MID(SUBSTITUTE($AW$79,$BA$62,REPT(" ",LEN($AW$79))),($BA83-1)*LEN($AW$79)+1,LEN($AW$79)))</f>
        <v/>
      </c>
      <c r="BP83" s="60" t="str">
        <f>TRIM(MID(SUBSTITUTE($AW$80,$BA$62,REPT(" ",LEN($AW$80))),($BA83-1)*LEN($AW$80)+1,LEN($AW$80)))</f>
        <v/>
      </c>
      <c r="BQ83" s="60" t="str">
        <f>TRIM(MID(SUBSTITUTE($AW$81,$BA$62,REPT(" ",LEN($AW$81))),($BA83-1)*LEN($AW$81)+1,LEN($AW$81)))</f>
        <v/>
      </c>
      <c r="BR83" s="60" t="str">
        <f>TRIM(MID(SUBSTITUTE($AW$82,$BA$62,REPT(" ",LEN($AW$82))),($BA83-1)*LEN($AW$82)+1,LEN($AW$82)))</f>
        <v/>
      </c>
      <c r="BS83" s="60" t="str">
        <f>TRIM(MID(SUBSTITUTE($AW$83,$BA$62,REPT(" ",LEN($AW$83))),($BA83-1)*LEN($AW$83)+1,LEN($AW$83)))</f>
        <v/>
      </c>
      <c r="BT83" s="60" t="str">
        <f>TRIM(MID(SUBSTITUTE($AW$84,$BA$62,REPT(" ",LEN($AW$84))),($BA83-1)*LEN($AW$84)+1,LEN($AW$84)))</f>
        <v/>
      </c>
      <c r="BU83" s="150" t="str">
        <f>TRIM(MID(SUBSTITUTE($AW$85,$BA$62,REPT(" ",LEN($AW$85))),($BA83-1)*LEN($AW$85)+1,LEN($AW$85)))</f>
        <v/>
      </c>
      <c r="BV83" s="224" t="str">
        <f>IF(BX83=0,"",CONCATENATE(BW83,"66:",BW83,BX83+65))</f>
        <v/>
      </c>
      <c r="BW83" s="60" t="s">
        <v>206</v>
      </c>
      <c r="BX83" s="60">
        <f>BS64</f>
        <v>0</v>
      </c>
    </row>
    <row r="84" spans="1:76" s="99" customFormat="1" ht="15.75" customHeight="1">
      <c r="B84" s="285">
        <v>19</v>
      </c>
      <c r="C84" s="166" t="str">
        <f>IF(D84="","",C29)</f>
        <v/>
      </c>
      <c r="D84" s="237" t="str">
        <f>IF(OR(K29="", K29=0),"",D29)</f>
        <v/>
      </c>
      <c r="E84" s="207" t="str">
        <f>IF(AX84="","",AX84)</f>
        <v/>
      </c>
      <c r="F84" s="739"/>
      <c r="G84" s="740"/>
      <c r="H84" s="204" t="str">
        <f>IF(D84="","",AB84)</f>
        <v/>
      </c>
      <c r="I84" s="330" t="str">
        <f>IF(OR(K29="",K29=0),"",K29)</f>
        <v/>
      </c>
      <c r="J84" s="931" t="str">
        <f>IF(F84="","",VLOOKUP(F84,'10. Condition and Temporal'!$B$6:$F$103,5,FALSE))</f>
        <v/>
      </c>
      <c r="K84" s="932"/>
      <c r="L84" s="25" t="str">
        <f>IFERROR(IF(D84="","",IF(AX84="Distinctiveness",(((((I84*AH84*AJ84*AY84)-(I84*V84*X84))*(AV84*AT84))+(I84*V84*X84))*AP84)/1000,((((I84*AH84*AJ84*AY84)-(I84*V84*X84*AJ29))*(AV84*AR84))+(I84*V84*X84*AJ29))*AP84/1000)),"This intervention is not permitted within the SSM ▲")</f>
        <v/>
      </c>
      <c r="M84" s="933" t="str">
        <f>IFERROR(IF(F84="","",L84-AD84), "Error ▲")</f>
        <v/>
      </c>
      <c r="N84" s="934"/>
      <c r="O84" s="135"/>
      <c r="P84" s="87"/>
      <c r="R84" s="655"/>
      <c r="T84" s="217" t="str">
        <f>IF(D84="","",K29)</f>
        <v/>
      </c>
      <c r="U84" s="161" t="str">
        <f>IF($D84="","",T29)</f>
        <v/>
      </c>
      <c r="V84" s="162" t="str">
        <f>IF($D84="","",V29)</f>
        <v/>
      </c>
      <c r="W84" s="160" t="str">
        <f>IF($D84="","",W29)</f>
        <v/>
      </c>
      <c r="X84" s="61" t="str">
        <f>IF($D84="","",X29)</f>
        <v/>
      </c>
      <c r="Y84" s="349"/>
      <c r="Z84" s="349"/>
      <c r="AA84" s="349"/>
      <c r="AB84" s="150" t="str">
        <f>IF($D84="","",AB29)</f>
        <v/>
      </c>
      <c r="AC84" s="164" t="str">
        <f>IF($D84="","",AD29)</f>
        <v/>
      </c>
      <c r="AD84" s="162" t="str">
        <f>IF(AC84="","",((T84*V84*X84)*AC84*AJ29)/1000)</f>
        <v/>
      </c>
      <c r="AE84" s="219" t="str">
        <f>IF(AD84="","",IF(AH84&lt;V84,"Not Acceptable","Acceptable"))</f>
        <v/>
      </c>
      <c r="AF84" s="160" t="str">
        <f>IF(D84="","",I84)</f>
        <v/>
      </c>
      <c r="AG84" s="161" t="str">
        <f>IF(D84="","",VLOOKUP(F84,'9. All Habitats + Multipliers'!$C$4:$K$102,5,FALSE))</f>
        <v/>
      </c>
      <c r="AH84" s="162" t="str">
        <f>IF(AG84="","",VLOOKUP(AG84,'11. Lists'!$B$47:$D$49,2,FALSE))</f>
        <v/>
      </c>
      <c r="AI84" s="161" t="str">
        <f>IF(D84="","",J84)</f>
        <v/>
      </c>
      <c r="AJ84" s="466" t="str">
        <f>IF(AI84="","",VLOOKUP(AI84,'11. Lists'!$F$47:$G$51,2,FALSE))</f>
        <v/>
      </c>
      <c r="AK84" s="467"/>
      <c r="AL84" s="467"/>
      <c r="AM84" s="467"/>
      <c r="AN84" s="466" t="str">
        <f>IF(H84="","",H84)</f>
        <v/>
      </c>
      <c r="AO84" s="163" t="str">
        <f>IF(AN84="","",VLOOKUP(AN84,'11. Lists'!$F$36:$H$38,2,FALSE))</f>
        <v/>
      </c>
      <c r="AP84" s="162" t="str">
        <f>IF(AN84="","",VLOOKUP(AN84,'11. Lists'!$F$36:$H$38,3,FALSE))</f>
        <v/>
      </c>
      <c r="AQ84" s="161" t="str">
        <f>IF(D84="","",IF(AX84="Distinctiveness","N/A",VLOOKUP(F84,'10. Condition and Temporal'!$B$6:$L$103,11,FALSE)))</f>
        <v/>
      </c>
      <c r="AR84" s="165" t="str">
        <f>IF(AQ84="","",IF(AQ84="N/A","1",VLOOKUP(AQ84,'11. Lists'!$I$47:$K$80,3,FALSE)))</f>
        <v/>
      </c>
      <c r="AS84" s="180" t="str">
        <f>IF(D84="","",IF(AX84="Condition","N/A",VLOOKUP(F84,'10. Condition and Temporal'!$B$6:$M$106,12,FALSE)))</f>
        <v/>
      </c>
      <c r="AT84" s="165" t="str">
        <f>IF(AS84="","",IF(AS84="N/A","1",VLOOKUP(AS84,'11. Lists'!$I$47:$K$80,3,FALSE)))</f>
        <v/>
      </c>
      <c r="AU84" s="164" t="str">
        <f>IF(D84="","",VLOOKUP(F84,'9. All Habitats + Multipliers'!$C$4:$K$102,8,FALSE))</f>
        <v/>
      </c>
      <c r="AV84" s="162" t="str">
        <f>IF(AU84="","",VLOOKUP(AU84,'11. Lists'!$J$35:$K$38,2,FALSE))</f>
        <v/>
      </c>
      <c r="AW84" s="161" t="str">
        <f>IF(D84="","",VLOOKUP(D84,'10. Condition and Temporal'!$B$6:$M$103,4,FALSE))</f>
        <v/>
      </c>
      <c r="AX84" s="451" t="str">
        <f>IF(F84="","",IF(D84=F84,"Condition","Distinctiveness"))</f>
        <v/>
      </c>
      <c r="AY84" s="471" t="str">
        <v>1</v>
      </c>
      <c r="AZ84" s="468" t="str">
        <v>1</v>
      </c>
      <c r="BA84" s="61">
        <v>19</v>
      </c>
      <c r="BB84" s="60" t="str">
        <f>TRIM(MID(SUBSTITUTE($AW$66,$BA$62,REPT(" ",LEN($AW$66))),($BA84-1)*LEN($AW$66)+1,LEN($AW$66)))</f>
        <v/>
      </c>
      <c r="BC84" s="60" t="str">
        <f>TRIM(MID(SUBSTITUTE($AW$67,$BA$62,REPT(" ",LEN($AW$67))),($BA84-1)*LEN($AW$67)+1,LEN($AW$67)))</f>
        <v/>
      </c>
      <c r="BD84" s="60" t="str">
        <f>TRIM(MID(SUBSTITUTE($AW$68,$BA$62,REPT(" ",LEN($AW$68))),($BA84-1)*LEN($AW$68)+1,LEN($AW$68)))</f>
        <v/>
      </c>
      <c r="BE84" s="60" t="str">
        <f>TRIM(MID(SUBSTITUTE($AW$69,$BA$62,REPT(" ",LEN($AW$69))),($BA84-1)*LEN($AW$69)+1,LEN($AW$69)))</f>
        <v/>
      </c>
      <c r="BF84" s="60" t="str">
        <f>TRIM(MID(SUBSTITUTE($AW$70,$BA$62,REPT(" ",LEN($AW$70))),($BA84-1)*LEN($AW$70)+1,LEN($AW$70)))</f>
        <v/>
      </c>
      <c r="BG84" s="60" t="str">
        <f>TRIM(MID(SUBSTITUTE($AW$71,$BA$62,REPT(" ",LEN($AW$71))),($BA84-1)*LEN($AW$71)+1,LEN($AW$71)))</f>
        <v/>
      </c>
      <c r="BH84" s="60" t="str">
        <f>TRIM(MID(SUBSTITUTE($AW$72,$BA$62,REPT(" ",LEN($AW$72))),($BA84-1)*LEN($AW$72)+1,LEN($AW$72)))</f>
        <v/>
      </c>
      <c r="BI84" s="60" t="str">
        <f>TRIM(MID(SUBSTITUTE($AW$73,$BA$62,REPT(" ",LEN($AW$73))),($BA84-1)*LEN($AW$73)+1,LEN($AW$73)))</f>
        <v/>
      </c>
      <c r="BJ84" s="60" t="str">
        <f>TRIM(MID(SUBSTITUTE($AW$74,$BA$62,REPT(" ",LEN($AW$74))),($BA84-1)*LEN($AW$74)+1,LEN($AW$74)))</f>
        <v/>
      </c>
      <c r="BK84" s="60" t="str">
        <f>TRIM(MID(SUBSTITUTE($AW$75,$BA$62,REPT(" ",LEN($AW$75))),($BA84-1)*LEN($AW$75)+1,LEN($AW$75)))</f>
        <v/>
      </c>
      <c r="BL84" s="60" t="str">
        <f>TRIM(MID(SUBSTITUTE($AW$76,$BA$62,REPT(" ",LEN($AW$76))),($BA84-1)*LEN($AW$76)+1,LEN($AW$76)))</f>
        <v/>
      </c>
      <c r="BM84" s="60" t="str">
        <f>TRIM(MID(SUBSTITUTE($AW$77,$BA$62,REPT(" ",LEN($AW$77))),($BA84-1)*LEN($AW$77)+1,LEN($AW$77)))</f>
        <v/>
      </c>
      <c r="BN84" s="60" t="str">
        <f>TRIM(MID(SUBSTITUTE($AW$78,$BA$62,REPT(" ",LEN($AW$78))),($BA84-1)*LEN($AW$78)+1,LEN($AW$78)))</f>
        <v/>
      </c>
      <c r="BO84" s="60" t="str">
        <f>TRIM(MID(SUBSTITUTE($AW$79,$BA$62,REPT(" ",LEN($AW$79))),($BA84-1)*LEN($AW$79)+1,LEN($AW$79)))</f>
        <v/>
      </c>
      <c r="BP84" s="60" t="str">
        <f>TRIM(MID(SUBSTITUTE($AW$80,$BA$62,REPT(" ",LEN($AW$80))),($BA84-1)*LEN($AW$80)+1,LEN($AW$80)))</f>
        <v/>
      </c>
      <c r="BQ84" s="60" t="str">
        <f>TRIM(MID(SUBSTITUTE($AW$81,$BA$62,REPT(" ",LEN($AW$81))),($BA84-1)*LEN($AW$81)+1,LEN($AW$81)))</f>
        <v/>
      </c>
      <c r="BR84" s="60" t="str">
        <f>TRIM(MID(SUBSTITUTE($AW$82,$BA$62,REPT(" ",LEN($AW$82))),($BA84-1)*LEN($AW$82)+1,LEN($AW$82)))</f>
        <v/>
      </c>
      <c r="BS84" s="60" t="str">
        <f>TRIM(MID(SUBSTITUTE($AW$83,$BA$62,REPT(" ",LEN($AW$83))),($BA84-1)*LEN($AW$83)+1,LEN($AW$83)))</f>
        <v/>
      </c>
      <c r="BT84" s="60" t="str">
        <f>TRIM(MID(SUBSTITUTE($AW$84,$BA$62,REPT(" ",LEN($AW$84))),($BA84-1)*LEN($AW$84)+1,LEN($AW$84)))</f>
        <v/>
      </c>
      <c r="BU84" s="150" t="str">
        <f>TRIM(MID(SUBSTITUTE($AW$85,$BA$62,REPT(" ",LEN($AW$85))),($BA84-1)*LEN($AW$85)+1,LEN($AW$85)))</f>
        <v/>
      </c>
      <c r="BV84" s="224" t="str">
        <f>IF(BX84=0,"",CONCATENATE(BW84,"66:",BW84,BX84+65))</f>
        <v/>
      </c>
      <c r="BW84" s="60" t="s">
        <v>207</v>
      </c>
      <c r="BX84" s="60">
        <f>BT64</f>
        <v>0</v>
      </c>
    </row>
    <row r="85" spans="1:76" s="99" customFormat="1" ht="16.149999999999999" customHeight="1">
      <c r="B85" s="286">
        <v>20</v>
      </c>
      <c r="C85" s="184" t="str">
        <f>IF(D85="","",C30)</f>
        <v/>
      </c>
      <c r="D85" s="413" t="str">
        <f>IF(OR(K30="", K30=0),"",D30)</f>
        <v/>
      </c>
      <c r="E85" s="208" t="str">
        <f>IF(AX85="","",AX85)</f>
        <v/>
      </c>
      <c r="F85" s="745"/>
      <c r="G85" s="746"/>
      <c r="H85" s="205" t="str">
        <f>IF(D85="","",AB85)</f>
        <v/>
      </c>
      <c r="I85" s="417" t="str">
        <f>IF(OR(K30="",K30=0),"",K30)</f>
        <v/>
      </c>
      <c r="J85" s="935" t="str">
        <f>IF(F85="","",VLOOKUP(F85,'10. Condition and Temporal'!$B$6:$F$103,5,FALSE))</f>
        <v/>
      </c>
      <c r="K85" s="936"/>
      <c r="L85" s="20" t="str">
        <f>IFERROR(IF(D85="","",IF(AX85="Distinctiveness",(((((I85*AH85*AJ85*AY85)-(I85*V85*X85))*(AV85*AT85))+(I85*V85*X85))*AP85)/1000,((((I85*AH85*AJ85*AY85)-(I85*V85*X85*AJ30))*(AV85*AR85))+(I85*V85*X85*AJ30))*AP85/1000)),"This intervention is not permitted within the SSM ▲")</f>
        <v/>
      </c>
      <c r="M85" s="937" t="str">
        <f>IFERROR(IF(F85="","",L85-AD85), "Error ▲")</f>
        <v/>
      </c>
      <c r="N85" s="938"/>
      <c r="O85" s="136"/>
      <c r="P85" s="89"/>
      <c r="R85" s="655"/>
      <c r="T85" s="217" t="str">
        <f>IF(D85="","",K30)</f>
        <v/>
      </c>
      <c r="U85" s="161" t="str">
        <f>IF($D85="","",T30)</f>
        <v/>
      </c>
      <c r="V85" s="162" t="str">
        <f>IF($D85="","",V30)</f>
        <v/>
      </c>
      <c r="W85" s="160" t="str">
        <f>IF($D85="","",W30)</f>
        <v/>
      </c>
      <c r="X85" s="57" t="str">
        <f>IF($D85="","",X30)</f>
        <v/>
      </c>
      <c r="Y85" s="364"/>
      <c r="Z85" s="364"/>
      <c r="AA85" s="364"/>
      <c r="AB85" s="153" t="str">
        <f>IF($D85="","",AB30)</f>
        <v/>
      </c>
      <c r="AC85" s="164" t="str">
        <f>IF($D85="","",AD30)</f>
        <v/>
      </c>
      <c r="AD85" s="162" t="str">
        <f>IF(AC85="","",((T85*V85*X85)*AC85*AJ30)/1000)</f>
        <v/>
      </c>
      <c r="AE85" s="219" t="str">
        <f>IF(AD85="","",IF(AH85&lt;V85,"Not Acceptable","Acceptable"))</f>
        <v/>
      </c>
      <c r="AF85" s="160" t="str">
        <f>IF(D85="","",I85)</f>
        <v/>
      </c>
      <c r="AG85" s="161" t="str">
        <f>IF(D85="","",VLOOKUP(F85,'9. All Habitats + Multipliers'!$C$4:$K$102,5,FALSE))</f>
        <v/>
      </c>
      <c r="AH85" s="162" t="str">
        <f>IF(AG85="","",VLOOKUP(AG85,'11. Lists'!$B$47:$D$49,2,FALSE))</f>
        <v/>
      </c>
      <c r="AI85" s="161" t="str">
        <f>IF(D85="","",J85)</f>
        <v/>
      </c>
      <c r="AJ85" s="466" t="str">
        <f>IF(AI85="","",VLOOKUP(AI85,'11. Lists'!$F$47:$G$51,2,FALSE))</f>
        <v/>
      </c>
      <c r="AK85" s="467"/>
      <c r="AL85" s="467"/>
      <c r="AM85" s="467"/>
      <c r="AN85" s="466" t="str">
        <f>IF(H85="","",H85)</f>
        <v/>
      </c>
      <c r="AO85" s="163" t="str">
        <f>IF(AN85="","",VLOOKUP(AN85,'11. Lists'!$F$36:$H$38,2,FALSE))</f>
        <v/>
      </c>
      <c r="AP85" s="162" t="str">
        <f>IF(AN85="","",VLOOKUP(AN85,'11. Lists'!$F$36:$H$38,3,FALSE))</f>
        <v/>
      </c>
      <c r="AQ85" s="161" t="str">
        <f>IF(D85="","",IF(AX85="Distinctiveness","N/A",VLOOKUP(F85,'10. Condition and Temporal'!$B$6:$L$103,11,FALSE)))</f>
        <v/>
      </c>
      <c r="AR85" s="165" t="str">
        <f>IF(AQ85="","",IF(AQ85="N/A","1",VLOOKUP(AQ85,'11. Lists'!$I$47:$K$80,3,FALSE)))</f>
        <v/>
      </c>
      <c r="AS85" s="180" t="str">
        <f>IF(D85="","",IF(AX85="Condition","N/A",VLOOKUP(F85,'10. Condition and Temporal'!$B$6:$M$106,12,FALSE)))</f>
        <v/>
      </c>
      <c r="AT85" s="165" t="str">
        <f>IF(AS85="","",IF(AS85="N/A","1",VLOOKUP(AS85,'11. Lists'!$I$47:$K$80,3,FALSE)))</f>
        <v/>
      </c>
      <c r="AU85" s="164" t="str">
        <f>IF(D85="","",VLOOKUP(F85,'9. All Habitats + Multipliers'!$C$4:$K$102,8,FALSE))</f>
        <v/>
      </c>
      <c r="AV85" s="162" t="str">
        <f>IF(AU85="","",VLOOKUP(AU85,'11. Lists'!$J$35:$K$38,2,FALSE))</f>
        <v/>
      </c>
      <c r="AW85" s="161" t="str">
        <f>IF(D85="","",VLOOKUP(D85,'10. Condition and Temporal'!$B$6:$M$103,4,FALSE))</f>
        <v/>
      </c>
      <c r="AX85" s="451" t="str">
        <f>IF(F85="","",IF(D85=F85,"Condition","Distinctiveness"))</f>
        <v/>
      </c>
      <c r="AY85" s="472" t="str">
        <v>1</v>
      </c>
      <c r="AZ85" s="468" t="str">
        <v>1</v>
      </c>
      <c r="BA85" s="57">
        <v>20</v>
      </c>
      <c r="BB85" s="60" t="str">
        <f>TRIM(MID(SUBSTITUTE($AW$66,$BA$62,REPT(" ",LEN($AW$66))),($BA85-1)*LEN($AW$66)+1,LEN($AW$66)))</f>
        <v/>
      </c>
      <c r="BC85" s="60" t="str">
        <f>TRIM(MID(SUBSTITUTE($AW$67,$BA$62,REPT(" ",LEN($AW$67))),($BA85-1)*LEN($AW$67)+1,LEN($AW$67)))</f>
        <v/>
      </c>
      <c r="BD85" s="60" t="str">
        <f>TRIM(MID(SUBSTITUTE($AW$68,$BA$62,REPT(" ",LEN($AW$68))),($BA85-1)*LEN($AW$68)+1,LEN($AW$68)))</f>
        <v/>
      </c>
      <c r="BE85" s="60" t="str">
        <f>TRIM(MID(SUBSTITUTE($AW$69,$BA$62,REPT(" ",LEN($AW$69))),($BA85-1)*LEN($AW$69)+1,LEN($AW$69)))</f>
        <v/>
      </c>
      <c r="BF85" s="60" t="str">
        <f>TRIM(MID(SUBSTITUTE($AW$70,$BA$62,REPT(" ",LEN($AW$70))),($BA85-1)*LEN($AW$70)+1,LEN($AW$70)))</f>
        <v/>
      </c>
      <c r="BG85" s="60" t="str">
        <f>TRIM(MID(SUBSTITUTE($AW$71,$BA$62,REPT(" ",LEN($AW$71))),($BA85-1)*LEN($AW$71)+1,LEN($AW$71)))</f>
        <v/>
      </c>
      <c r="BH85" s="60" t="str">
        <f>TRIM(MID(SUBSTITUTE($AW$72,$BA$62,REPT(" ",LEN($AW$72))),($BA85-1)*LEN($AW$72)+1,LEN($AW$72)))</f>
        <v/>
      </c>
      <c r="BI85" s="60" t="str">
        <f>TRIM(MID(SUBSTITUTE($AW$73,$BA$62,REPT(" ",LEN($AW$73))),($BA85-1)*LEN($AW$73)+1,LEN($AW$73)))</f>
        <v/>
      </c>
      <c r="BJ85" s="60" t="str">
        <f>TRIM(MID(SUBSTITUTE($AW$74,$BA$62,REPT(" ",LEN($AW$74))),($BA85-1)*LEN($AW$74)+1,LEN($AW$74)))</f>
        <v/>
      </c>
      <c r="BK85" s="60" t="str">
        <f>TRIM(MID(SUBSTITUTE($AW$75,$BA$62,REPT(" ",LEN($AW$75))),($BA85-1)*LEN($AW$75)+1,LEN($AW$75)))</f>
        <v/>
      </c>
      <c r="BL85" s="60" t="str">
        <f>TRIM(MID(SUBSTITUTE($AW$76,$BA$62,REPT(" ",LEN($AW$76))),($BA85-1)*LEN($AW$76)+1,LEN($AW$76)))</f>
        <v/>
      </c>
      <c r="BM85" s="60" t="str">
        <f>TRIM(MID(SUBSTITUTE($AW$77,$BA$62,REPT(" ",LEN($AW$77))),($BA85-1)*LEN($AW$77)+1,LEN($AW$77)))</f>
        <v/>
      </c>
      <c r="BN85" s="60" t="str">
        <f>TRIM(MID(SUBSTITUTE($AW$78,$BA$62,REPT(" ",LEN($AW$78))),($BA85-1)*LEN($AW$78)+1,LEN($AW$78)))</f>
        <v/>
      </c>
      <c r="BO85" s="60" t="str">
        <f>TRIM(MID(SUBSTITUTE($AW$79,$BA$62,REPT(" ",LEN($AW$79))),($BA85-1)*LEN($AW$79)+1,LEN($AW$79)))</f>
        <v/>
      </c>
      <c r="BP85" s="60" t="str">
        <f>TRIM(MID(SUBSTITUTE($AW$80,$BA$62,REPT(" ",LEN($AW$80))),($BA85-1)*LEN($AW$80)+1,LEN($AW$80)))</f>
        <v/>
      </c>
      <c r="BQ85" s="60" t="str">
        <f>TRIM(MID(SUBSTITUTE($AW$81,$BA$62,REPT(" ",LEN($AW$81))),($BA85-1)*LEN($AW$81)+1,LEN($AW$81)))</f>
        <v/>
      </c>
      <c r="BR85" s="60" t="str">
        <f>TRIM(MID(SUBSTITUTE($AW$82,$BA$62,REPT(" ",LEN($AW$82))),($BA85-1)*LEN($AW$82)+1,LEN($AW$82)))</f>
        <v/>
      </c>
      <c r="BS85" s="60" t="str">
        <f>TRIM(MID(SUBSTITUTE($AW$83,$BA$62,REPT(" ",LEN($AW$83))),($BA85-1)*LEN($AW$83)+1,LEN($AW$83)))</f>
        <v/>
      </c>
      <c r="BT85" s="60" t="str">
        <f>TRIM(MID(SUBSTITUTE($AW$84,$BA$62,REPT(" ",LEN($AW$84))),($BA85-1)*LEN($AW$84)+1,LEN($AW$84)))</f>
        <v/>
      </c>
      <c r="BU85" s="150" t="str">
        <f>TRIM(MID(SUBSTITUTE($AW$85,$BA$62,REPT(" ",LEN($AW$85))),($BA85-1)*LEN($AW$85)+1,LEN($AW$85)))</f>
        <v/>
      </c>
      <c r="BV85" s="224" t="str">
        <f>IF(BX85=0,"",CONCATENATE(BW85,"66:",BW85,BX85+65))</f>
        <v/>
      </c>
      <c r="BW85" s="60" t="s">
        <v>208</v>
      </c>
      <c r="BX85" s="60">
        <f>BU64</f>
        <v>0</v>
      </c>
    </row>
    <row r="86" spans="1:76" s="99" customFormat="1" ht="15" customHeight="1">
      <c r="H86" s="289" t="s">
        <v>258</v>
      </c>
      <c r="I86" s="335">
        <f>SUM(I66:I85)</f>
        <v>0</v>
      </c>
      <c r="J86" s="407"/>
      <c r="L86" s="415">
        <f>SUM(L66:L85)</f>
        <v>0</v>
      </c>
      <c r="M86" s="749">
        <f>SUM(M66:N85)</f>
        <v>0</v>
      </c>
      <c r="N86" s="750"/>
      <c r="R86" s="655"/>
      <c r="AJ86" s="199"/>
      <c r="AK86" s="199"/>
      <c r="AL86" s="199"/>
      <c r="AM86" s="199"/>
      <c r="AN86" s="199"/>
    </row>
    <row r="87" spans="1:76" s="99" customFormat="1">
      <c r="C87" s="100"/>
      <c r="R87" s="655"/>
      <c r="AJ87" s="199"/>
      <c r="AK87" s="199"/>
      <c r="AL87" s="199"/>
      <c r="AM87" s="199"/>
      <c r="AN87" s="199"/>
    </row>
    <row r="88" spans="1:76" s="99" customFormat="1">
      <c r="R88" s="655"/>
      <c r="AJ88" s="199"/>
      <c r="AK88" s="199"/>
      <c r="AL88" s="199"/>
      <c r="AM88" s="199"/>
      <c r="AN88" s="199"/>
    </row>
    <row r="89" spans="1:76" s="99" customFormat="1" ht="19.149999999999999" customHeight="1">
      <c r="R89" s="655"/>
      <c r="AJ89" s="199"/>
      <c r="AK89" s="199"/>
      <c r="AL89" s="199"/>
      <c r="AM89" s="199"/>
      <c r="AN89" s="199"/>
    </row>
    <row r="90" spans="1:76" s="99" customFormat="1">
      <c r="R90" s="655"/>
      <c r="AJ90" s="199"/>
      <c r="AK90" s="199"/>
      <c r="AL90" s="199"/>
      <c r="AM90" s="199"/>
      <c r="AN90" s="199"/>
    </row>
    <row r="91" spans="1:76" s="99" customFormat="1">
      <c r="A91" s="689" t="s">
        <v>223</v>
      </c>
      <c r="B91" s="689"/>
      <c r="C91" s="689"/>
      <c r="D91" s="689"/>
      <c r="E91" s="689"/>
      <c r="F91" s="689"/>
      <c r="G91" s="689"/>
      <c r="H91" s="689"/>
      <c r="I91" s="689"/>
      <c r="J91" s="689"/>
      <c r="K91" s="689"/>
      <c r="L91" s="689"/>
      <c r="M91" s="689"/>
      <c r="N91" s="689"/>
      <c r="O91" s="689"/>
      <c r="P91" s="689"/>
      <c r="Q91" s="689"/>
      <c r="R91" s="655"/>
      <c r="AJ91" s="199"/>
      <c r="AK91" s="199"/>
      <c r="AL91" s="199"/>
      <c r="AM91" s="199"/>
      <c r="AN91" s="199"/>
    </row>
    <row r="92" spans="1:76" s="99" customFormat="1">
      <c r="A92" s="689"/>
      <c r="B92" s="689"/>
      <c r="C92" s="689"/>
      <c r="D92" s="689"/>
      <c r="E92" s="689"/>
      <c r="F92" s="689"/>
      <c r="G92" s="689"/>
      <c r="H92" s="689"/>
      <c r="I92" s="689"/>
      <c r="J92" s="689"/>
      <c r="K92" s="689"/>
      <c r="L92" s="689"/>
      <c r="M92" s="689"/>
      <c r="N92" s="689"/>
      <c r="O92" s="689"/>
      <c r="P92" s="689"/>
      <c r="Q92" s="689"/>
      <c r="R92" s="655"/>
      <c r="AJ92" s="199"/>
      <c r="AK92" s="199"/>
      <c r="AL92" s="199"/>
      <c r="AM92" s="199"/>
      <c r="AN92" s="199"/>
    </row>
    <row r="93" spans="1:76" s="99" customFormat="1">
      <c r="A93" s="689"/>
      <c r="B93" s="689"/>
      <c r="C93" s="689"/>
      <c r="D93" s="689"/>
      <c r="E93" s="689"/>
      <c r="F93" s="689"/>
      <c r="G93" s="689"/>
      <c r="H93" s="689"/>
      <c r="I93" s="689"/>
      <c r="J93" s="689"/>
      <c r="K93" s="689"/>
      <c r="L93" s="689"/>
      <c r="M93" s="689"/>
      <c r="N93" s="689"/>
      <c r="O93" s="689"/>
      <c r="P93" s="689"/>
      <c r="Q93" s="689"/>
      <c r="R93" s="655"/>
      <c r="AJ93" s="199"/>
      <c r="AK93" s="199"/>
      <c r="AL93" s="199"/>
      <c r="AM93" s="199"/>
      <c r="AN93" s="199"/>
    </row>
    <row r="94" spans="1:76" s="99" customFormat="1">
      <c r="R94" s="655"/>
      <c r="AJ94" s="199"/>
      <c r="AK94" s="199"/>
      <c r="AL94" s="199"/>
      <c r="AM94" s="199"/>
      <c r="AN94" s="199"/>
    </row>
    <row r="95" spans="1:76" s="99" customFormat="1" ht="21" customHeight="1">
      <c r="C95" s="121" t="s">
        <v>224</v>
      </c>
      <c r="D95" s="100"/>
      <c r="E95" s="100"/>
      <c r="F95" s="100"/>
      <c r="G95" s="100"/>
      <c r="R95" s="655"/>
      <c r="AJ95" s="199"/>
      <c r="AK95" s="199"/>
      <c r="AL95" s="199"/>
      <c r="AM95" s="199"/>
      <c r="AN95" s="199"/>
    </row>
    <row r="96" spans="1:76" s="99" customFormat="1" ht="15" customHeight="1">
      <c r="R96" s="655"/>
      <c r="AJ96" s="199"/>
      <c r="AK96" s="199"/>
      <c r="AL96" s="199"/>
      <c r="AM96" s="199"/>
      <c r="AN96" s="199"/>
    </row>
    <row r="97" spans="3:40" s="99" customFormat="1" ht="36.6" customHeight="1">
      <c r="C97" s="872" t="s">
        <v>263</v>
      </c>
      <c r="D97" s="874"/>
      <c r="E97" s="875" t="str" cm="1">
        <f t="array" aca="1" ref="E97" ca="1">IF(OR(I103:I106="No ▲"),"Error - Trading Rules Not Satisfied ▲","Trading Rules Satisfied ✓")</f>
        <v>Trading Rules Satisfied ✓</v>
      </c>
      <c r="F97" s="875"/>
      <c r="G97" s="875"/>
      <c r="H97" s="875"/>
      <c r="I97" s="876"/>
      <c r="J97" s="199">
        <f ca="1">IFERROR(FIND("Error",E97),0)</f>
        <v>0</v>
      </c>
      <c r="R97" s="655"/>
      <c r="AJ97" s="199"/>
      <c r="AK97" s="199"/>
      <c r="AL97" s="199"/>
      <c r="AM97" s="199"/>
      <c r="AN97" s="199"/>
    </row>
    <row r="98" spans="3:40" s="99" customFormat="1">
      <c r="R98" s="655"/>
      <c r="AJ98" s="199"/>
      <c r="AK98" s="199"/>
      <c r="AL98" s="199"/>
      <c r="AM98" s="199"/>
      <c r="AN98" s="199"/>
    </row>
    <row r="99" spans="3:40" s="99" customFormat="1" ht="21" customHeight="1">
      <c r="C99" s="121" t="s">
        <v>227</v>
      </c>
      <c r="R99" s="655"/>
      <c r="AJ99" s="199"/>
      <c r="AK99" s="199"/>
      <c r="AL99" s="199"/>
      <c r="AM99" s="199"/>
      <c r="AN99" s="199"/>
    </row>
    <row r="100" spans="3:40" s="99" customFormat="1">
      <c r="R100" s="655"/>
      <c r="AJ100" s="199"/>
      <c r="AK100" s="199"/>
      <c r="AL100" s="199"/>
      <c r="AM100" s="199"/>
      <c r="AN100" s="199"/>
    </row>
    <row r="101" spans="3:40" s="99" customFormat="1" ht="15" customHeight="1">
      <c r="J101" s="423"/>
      <c r="R101" s="655"/>
      <c r="AJ101" s="199"/>
      <c r="AK101" s="199"/>
      <c r="AL101" s="199"/>
      <c r="AM101" s="199"/>
      <c r="AN101" s="199"/>
    </row>
    <row r="102" spans="3:40" s="99" customFormat="1" ht="40.5" customHeight="1">
      <c r="C102" s="443" t="s">
        <v>165</v>
      </c>
      <c r="D102" s="433" t="s">
        <v>112</v>
      </c>
      <c r="E102" s="433" t="s">
        <v>289</v>
      </c>
      <c r="F102" s="433" t="s">
        <v>230</v>
      </c>
      <c r="G102" s="433" t="s">
        <v>231</v>
      </c>
      <c r="H102" s="433" t="s">
        <v>232</v>
      </c>
      <c r="I102" s="434" t="s">
        <v>233</v>
      </c>
      <c r="J102" s="424"/>
      <c r="R102" s="655"/>
      <c r="AJ102" s="199"/>
      <c r="AK102" s="199"/>
      <c r="AL102" s="199"/>
      <c r="AM102" s="199"/>
      <c r="AN102" s="199"/>
    </row>
    <row r="103" spans="3:40" s="99" customFormat="1" ht="30" customHeight="1">
      <c r="C103" s="927" t="s">
        <v>283</v>
      </c>
      <c r="D103" s="863" t="s">
        <v>246</v>
      </c>
      <c r="E103" s="435" t="s">
        <v>290</v>
      </c>
      <c r="F103" s="436">
        <f ca="1">SUMIF($D$11:$E$30, $E$103, $L$11:$L$30)</f>
        <v>0</v>
      </c>
      <c r="G103" s="436">
        <f>IF($I$59+$I$86+$P$1=0,0,SUMIF($D$39:$D$58,$E$103,$L$39:$N$58)+SUMIF($F$66:$G$85,$E$103,$L$66:$L$85)+SUMIF($D$11:$E$30,$E$103,$AE$11:$AE$30))</f>
        <v>0</v>
      </c>
      <c r="H103" s="436">
        <f ca="1">$G$103-$F$103</f>
        <v>0</v>
      </c>
      <c r="I103" s="860" t="str">
        <f ca="1">IF(AND($H$103&gt;=0, H104&gt;=0),"Yes ✓", "No ▲")</f>
        <v>Yes ✓</v>
      </c>
      <c r="J103" s="424"/>
      <c r="R103" s="655"/>
      <c r="AJ103" s="199"/>
      <c r="AK103" s="199"/>
      <c r="AL103" s="199"/>
      <c r="AM103" s="199"/>
      <c r="AN103" s="199"/>
    </row>
    <row r="104" spans="3:40" s="99" customFormat="1" ht="30" customHeight="1">
      <c r="C104" s="928"/>
      <c r="D104" s="864"/>
      <c r="E104" s="421" t="s">
        <v>291</v>
      </c>
      <c r="F104" s="422">
        <f ca="1">SUMIF($D$11:$E$30,$E$104,$L$11:$L$30)</f>
        <v>0</v>
      </c>
      <c r="G104" s="422">
        <f>IF($I$59+$I$86+$P$1=0,0,SUMIF($D$39:$D$58,$E$104,$L$39:$N$58)+SUMIF($F$66:$G$85,$E$104,$L$66:$L$85)+SUMIF($D$11:$E$30,$E$104,$AE$11:$AE$30))</f>
        <v>0</v>
      </c>
      <c r="H104" s="422">
        <f ca="1">$G$104-$F$104</f>
        <v>0</v>
      </c>
      <c r="I104" s="861"/>
      <c r="J104" s="424"/>
      <c r="R104" s="655"/>
      <c r="AJ104" s="199"/>
      <c r="AK104" s="199"/>
      <c r="AL104" s="199"/>
      <c r="AM104" s="199"/>
      <c r="AN104" s="199"/>
    </row>
    <row r="105" spans="3:40" s="99" customFormat="1" ht="30" customHeight="1">
      <c r="C105" s="928"/>
      <c r="D105" s="866"/>
      <c r="E105" s="437" t="s">
        <v>269</v>
      </c>
      <c r="F105" s="438">
        <f ca="1">SUM(F103:F104)</f>
        <v>0</v>
      </c>
      <c r="G105" s="438">
        <f>SUM(G103:G104)</f>
        <v>0</v>
      </c>
      <c r="H105" s="438">
        <f ca="1">SUM($H$103:$H$104)</f>
        <v>0</v>
      </c>
      <c r="I105" s="862"/>
      <c r="J105" s="199">
        <f ca="1">IF($I$103= "No ▲",1,0)</f>
        <v>0</v>
      </c>
      <c r="R105" s="655"/>
      <c r="AJ105" s="199"/>
      <c r="AK105" s="199"/>
      <c r="AL105" s="199"/>
      <c r="AM105" s="199"/>
      <c r="AN105" s="199"/>
    </row>
    <row r="106" spans="3:40" s="99" customFormat="1" ht="30" customHeight="1">
      <c r="C106" s="929"/>
      <c r="D106" s="439" t="s">
        <v>247</v>
      </c>
      <c r="E106" s="440" t="s">
        <v>292</v>
      </c>
      <c r="F106" s="441">
        <f ca="1">SUMIF($D$11:$E$30,$E$106,$L$11:$L$30)</f>
        <v>0</v>
      </c>
      <c r="G106" s="441">
        <f>IF($I$59+$I$86+$P$1=0,0,SUMIF($D$39:$D$58,$E$106,$L$39:$N$58)+SUMIF($F$66:$G$85,$E$106,$L$66:$L$85)+SUMIF($D$11:$E$30,$E$106,$AE$11:$AE$30))</f>
        <v>0</v>
      </c>
      <c r="H106" s="441">
        <f ca="1">$G$106-$F$106</f>
        <v>0</v>
      </c>
      <c r="I106" s="442" t="str">
        <f ca="1">IF($G$107&gt;=0,"Yes ✓", "No ▲")</f>
        <v>Yes ✓</v>
      </c>
      <c r="J106" s="199">
        <f ca="1">IF($I$106= "No ▲",1,0)</f>
        <v>0</v>
      </c>
      <c r="R106" s="655"/>
      <c r="AJ106" s="199"/>
      <c r="AK106" s="199"/>
      <c r="AL106" s="199"/>
      <c r="AM106" s="199"/>
      <c r="AN106" s="199"/>
    </row>
    <row r="107" spans="3:40" s="99" customFormat="1" ht="12" customHeight="1">
      <c r="G107" s="427">
        <f ca="1">IF(H105&gt;0,($H$105+$H$106),H106)</f>
        <v>0</v>
      </c>
      <c r="J107" s="423"/>
      <c r="R107" s="655"/>
      <c r="AJ107" s="199"/>
      <c r="AK107" s="199"/>
      <c r="AL107" s="199"/>
      <c r="AM107" s="199"/>
      <c r="AN107" s="199"/>
    </row>
    <row r="108" spans="3:40" s="99" customFormat="1" ht="18" customHeight="1">
      <c r="C108" s="833" t="s">
        <v>293</v>
      </c>
      <c r="D108" s="930"/>
      <c r="E108" s="930"/>
      <c r="F108" s="930"/>
      <c r="G108" s="430">
        <f ca="1">$H$105</f>
        <v>0</v>
      </c>
      <c r="H108" s="424"/>
      <c r="J108" s="423"/>
      <c r="R108" s="655"/>
      <c r="AJ108" s="199"/>
      <c r="AK108" s="199"/>
      <c r="AL108" s="199"/>
      <c r="AM108" s="199"/>
      <c r="AN108" s="199"/>
    </row>
    <row r="109" spans="3:40" s="99" customFormat="1" ht="18.600000000000001" customHeight="1">
      <c r="C109" s="866" t="s">
        <v>294</v>
      </c>
      <c r="D109" s="634"/>
      <c r="E109" s="634"/>
      <c r="F109" s="634"/>
      <c r="G109" s="431">
        <f ca="1">IF($H$105&lt;=0,$H$106,($H$106+$H$105))</f>
        <v>0</v>
      </c>
      <c r="R109" s="655"/>
      <c r="AJ109" s="199"/>
      <c r="AK109" s="199"/>
      <c r="AL109" s="199"/>
      <c r="AM109" s="199"/>
      <c r="AN109" s="199"/>
    </row>
    <row r="110" spans="3:40" s="99" customFormat="1">
      <c r="R110" s="655"/>
      <c r="AJ110" s="199"/>
      <c r="AK110" s="199"/>
      <c r="AL110" s="199"/>
      <c r="AM110" s="199"/>
      <c r="AN110" s="199"/>
    </row>
    <row r="111" spans="3:40" s="99" customFormat="1">
      <c r="R111" s="655"/>
      <c r="AJ111" s="199"/>
      <c r="AK111" s="199"/>
      <c r="AL111" s="199"/>
      <c r="AM111" s="199"/>
      <c r="AN111" s="199"/>
    </row>
    <row r="112" spans="3:40" s="99" customFormat="1">
      <c r="R112" s="655"/>
      <c r="AJ112" s="199"/>
      <c r="AK112" s="199"/>
      <c r="AL112" s="199"/>
      <c r="AM112" s="199"/>
      <c r="AN112" s="199"/>
    </row>
    <row r="113" spans="18:40" s="99" customFormat="1">
      <c r="R113" s="655"/>
      <c r="AJ113" s="199"/>
      <c r="AK113" s="199"/>
      <c r="AL113" s="199"/>
      <c r="AM113" s="199"/>
      <c r="AN113" s="199"/>
    </row>
    <row r="114" spans="18:40" s="99" customFormat="1">
      <c r="R114" s="655"/>
      <c r="AJ114" s="199"/>
      <c r="AK114" s="199"/>
      <c r="AL114" s="199"/>
      <c r="AM114" s="199"/>
      <c r="AN114" s="199"/>
    </row>
    <row r="115" spans="18:40" s="99" customFormat="1">
      <c r="R115" s="655"/>
      <c r="AJ115" s="199"/>
      <c r="AK115" s="199"/>
      <c r="AL115" s="199"/>
      <c r="AM115" s="199"/>
      <c r="AN115" s="199"/>
    </row>
    <row r="116" spans="18:40" s="99" customFormat="1">
      <c r="R116" s="655"/>
      <c r="AJ116" s="199"/>
      <c r="AK116" s="199"/>
      <c r="AL116" s="199"/>
      <c r="AM116" s="199"/>
      <c r="AN116" s="199"/>
    </row>
    <row r="117" spans="18:40" s="99" customFormat="1">
      <c r="R117" s="655"/>
      <c r="AJ117" s="199"/>
      <c r="AK117" s="199"/>
      <c r="AL117" s="199"/>
      <c r="AM117" s="199"/>
      <c r="AN117" s="199"/>
    </row>
    <row r="118" spans="18:40" s="99" customFormat="1">
      <c r="R118" s="655"/>
      <c r="AJ118" s="199"/>
      <c r="AK118" s="199"/>
      <c r="AL118" s="199"/>
      <c r="AM118" s="199"/>
      <c r="AN118" s="199"/>
    </row>
    <row r="119" spans="18:40" s="99" customFormat="1">
      <c r="R119" s="655"/>
      <c r="AJ119" s="199"/>
      <c r="AK119" s="199"/>
      <c r="AL119" s="199"/>
      <c r="AM119" s="199"/>
      <c r="AN119" s="199"/>
    </row>
    <row r="120" spans="18:40" s="99" customFormat="1">
      <c r="R120" s="655"/>
      <c r="AJ120" s="199"/>
      <c r="AK120" s="199"/>
      <c r="AL120" s="199"/>
      <c r="AM120" s="199"/>
      <c r="AN120" s="199"/>
    </row>
    <row r="121" spans="18:40" s="99" customFormat="1">
      <c r="R121" s="655"/>
      <c r="AJ121" s="199"/>
      <c r="AK121" s="199"/>
      <c r="AL121" s="199"/>
      <c r="AM121" s="199"/>
      <c r="AN121" s="199"/>
    </row>
    <row r="122" spans="18:40" s="99" customFormat="1">
      <c r="R122" s="655"/>
      <c r="AJ122" s="199"/>
      <c r="AK122" s="199"/>
      <c r="AL122" s="199"/>
      <c r="AM122" s="199"/>
      <c r="AN122" s="199"/>
    </row>
    <row r="123" spans="18:40" s="99" customFormat="1">
      <c r="R123" s="655"/>
      <c r="AJ123" s="199"/>
      <c r="AK123" s="199"/>
      <c r="AL123" s="199"/>
      <c r="AM123" s="199"/>
      <c r="AN123" s="199"/>
    </row>
    <row r="124" spans="18:40" s="99" customFormat="1">
      <c r="R124" s="655"/>
      <c r="AJ124" s="199"/>
      <c r="AK124" s="199"/>
      <c r="AL124" s="199"/>
      <c r="AM124" s="199"/>
      <c r="AN124" s="199"/>
    </row>
    <row r="125" spans="18:40" s="99" customFormat="1">
      <c r="R125" s="655"/>
      <c r="AJ125" s="199"/>
      <c r="AK125" s="199"/>
      <c r="AL125" s="199"/>
      <c r="AM125" s="199"/>
      <c r="AN125" s="199"/>
    </row>
    <row r="126" spans="18:40" s="99" customFormat="1">
      <c r="R126" s="655"/>
      <c r="AJ126" s="199"/>
      <c r="AK126" s="199"/>
      <c r="AL126" s="199"/>
      <c r="AM126" s="199"/>
      <c r="AN126" s="199"/>
    </row>
    <row r="127" spans="18:40" s="99" customFormat="1">
      <c r="R127" s="655"/>
      <c r="AJ127" s="199"/>
      <c r="AK127" s="199"/>
      <c r="AL127" s="199"/>
      <c r="AM127" s="199"/>
      <c r="AN127" s="199"/>
    </row>
    <row r="128" spans="18:40" s="99" customFormat="1">
      <c r="R128" s="655"/>
      <c r="AJ128" s="199"/>
      <c r="AK128" s="199"/>
      <c r="AL128" s="199"/>
      <c r="AM128" s="199"/>
      <c r="AN128" s="199"/>
    </row>
    <row r="129" spans="18:40" s="99" customFormat="1">
      <c r="R129" s="655"/>
      <c r="AJ129" s="199"/>
      <c r="AK129" s="199"/>
      <c r="AL129" s="199"/>
      <c r="AM129" s="199"/>
      <c r="AN129" s="199"/>
    </row>
    <row r="130" spans="18:40" s="99" customFormat="1">
      <c r="R130" s="655"/>
      <c r="AJ130" s="199"/>
      <c r="AK130" s="199"/>
      <c r="AL130" s="199"/>
      <c r="AM130" s="199"/>
      <c r="AN130" s="199"/>
    </row>
  </sheetData>
  <sheetProtection algorithmName="SHA-512" hashValue="7HLOq8XY9RtwIsu9pKITXtzaQIkQskpS6tcsZ2zCm6OVJoyAyiRkR2xiJp8Xa5RHWgDMsUw1fQYkWK8oO9QE9Q==" saltValue="AuX3pbM0XTjmrHH9XTgd6Q==" spinCount="100000" sheet="1" formatRows="0"/>
  <mergeCells count="272">
    <mergeCell ref="B9:B10"/>
    <mergeCell ref="C9:E9"/>
    <mergeCell ref="F9:H10"/>
    <mergeCell ref="I9:K9"/>
    <mergeCell ref="L9:N9"/>
    <mergeCell ref="O9:P9"/>
    <mergeCell ref="D11:E11"/>
    <mergeCell ref="F11:H11"/>
    <mergeCell ref="D15:E15"/>
    <mergeCell ref="F15:H15"/>
    <mergeCell ref="T9:V9"/>
    <mergeCell ref="W9:X9"/>
    <mergeCell ref="Y9:AA9"/>
    <mergeCell ref="AB9:AD9"/>
    <mergeCell ref="AE9:AG9"/>
    <mergeCell ref="AH9:AH10"/>
    <mergeCell ref="AI9:AI10"/>
    <mergeCell ref="AJ9:AJ10"/>
    <mergeCell ref="D10:E10"/>
    <mergeCell ref="T10:U10"/>
    <mergeCell ref="R1:R31"/>
    <mergeCell ref="C2:D2"/>
    <mergeCell ref="F2:H6"/>
    <mergeCell ref="J2:M5"/>
    <mergeCell ref="C3:D3"/>
    <mergeCell ref="D19:E19"/>
    <mergeCell ref="F19:H19"/>
    <mergeCell ref="D23:E23"/>
    <mergeCell ref="F23:H23"/>
    <mergeCell ref="D27:E27"/>
    <mergeCell ref="F27:H27"/>
    <mergeCell ref="T11:U11"/>
    <mergeCell ref="D12:E12"/>
    <mergeCell ref="F12:H12"/>
    <mergeCell ref="T12:U12"/>
    <mergeCell ref="D13:E13"/>
    <mergeCell ref="F13:H13"/>
    <mergeCell ref="T13:U13"/>
    <mergeCell ref="D14:E14"/>
    <mergeCell ref="F14:H14"/>
    <mergeCell ref="T14:U14"/>
    <mergeCell ref="T15:U15"/>
    <mergeCell ref="D16:E16"/>
    <mergeCell ref="F16:H16"/>
    <mergeCell ref="T16:U16"/>
    <mergeCell ref="D17:E17"/>
    <mergeCell ref="F17:H17"/>
    <mergeCell ref="T17:U17"/>
    <mergeCell ref="D18:E18"/>
    <mergeCell ref="F18:H18"/>
    <mergeCell ref="T18:U18"/>
    <mergeCell ref="T19:U19"/>
    <mergeCell ref="D20:E20"/>
    <mergeCell ref="F20:H20"/>
    <mergeCell ref="T20:U20"/>
    <mergeCell ref="D21:E21"/>
    <mergeCell ref="F21:H21"/>
    <mergeCell ref="T21:U21"/>
    <mergeCell ref="D22:E22"/>
    <mergeCell ref="F22:H22"/>
    <mergeCell ref="T22:U22"/>
    <mergeCell ref="T23:U23"/>
    <mergeCell ref="D24:E24"/>
    <mergeCell ref="F24:H24"/>
    <mergeCell ref="T24:U24"/>
    <mergeCell ref="D25:E25"/>
    <mergeCell ref="F25:H25"/>
    <mergeCell ref="T25:U25"/>
    <mergeCell ref="D26:E26"/>
    <mergeCell ref="F26:H26"/>
    <mergeCell ref="T26:U26"/>
    <mergeCell ref="T27:U27"/>
    <mergeCell ref="D28:E28"/>
    <mergeCell ref="F28:H28"/>
    <mergeCell ref="T28:U28"/>
    <mergeCell ref="D29:E29"/>
    <mergeCell ref="F29:H29"/>
    <mergeCell ref="T29:U29"/>
    <mergeCell ref="D30:E30"/>
    <mergeCell ref="F30:H30"/>
    <mergeCell ref="T30:U30"/>
    <mergeCell ref="I32:N32"/>
    <mergeCell ref="I33:N33"/>
    <mergeCell ref="R34:R62"/>
    <mergeCell ref="B37:B38"/>
    <mergeCell ref="C37:D37"/>
    <mergeCell ref="E37:G37"/>
    <mergeCell ref="H37:H38"/>
    <mergeCell ref="I37:K38"/>
    <mergeCell ref="L37:N38"/>
    <mergeCell ref="O37:P37"/>
    <mergeCell ref="F39:G39"/>
    <mergeCell ref="I39:K39"/>
    <mergeCell ref="L39:N39"/>
    <mergeCell ref="F42:G42"/>
    <mergeCell ref="I42:K42"/>
    <mergeCell ref="L42:N42"/>
    <mergeCell ref="F45:G45"/>
    <mergeCell ref="I45:K45"/>
    <mergeCell ref="L45:N45"/>
    <mergeCell ref="F48:G48"/>
    <mergeCell ref="I48:K48"/>
    <mergeCell ref="L48:N48"/>
    <mergeCell ref="F51:G51"/>
    <mergeCell ref="I51:K51"/>
    <mergeCell ref="T37:V37"/>
    <mergeCell ref="W37:X37"/>
    <mergeCell ref="Y37:AA37"/>
    <mergeCell ref="AB37:AD37"/>
    <mergeCell ref="AE37:AF37"/>
    <mergeCell ref="AG37:AH37"/>
    <mergeCell ref="AI37:AI38"/>
    <mergeCell ref="F38:G38"/>
    <mergeCell ref="T38:U38"/>
    <mergeCell ref="T39:U39"/>
    <mergeCell ref="F40:G40"/>
    <mergeCell ref="I40:K40"/>
    <mergeCell ref="L40:N40"/>
    <mergeCell ref="T40:U40"/>
    <mergeCell ref="F41:G41"/>
    <mergeCell ref="I41:K41"/>
    <mergeCell ref="L41:N41"/>
    <mergeCell ref="T41:U41"/>
    <mergeCell ref="T42:U42"/>
    <mergeCell ref="F43:G43"/>
    <mergeCell ref="I43:K43"/>
    <mergeCell ref="L43:N43"/>
    <mergeCell ref="T43:U43"/>
    <mergeCell ref="F44:G44"/>
    <mergeCell ref="I44:K44"/>
    <mergeCell ref="L44:N44"/>
    <mergeCell ref="T44:U44"/>
    <mergeCell ref="T45:U45"/>
    <mergeCell ref="F46:G46"/>
    <mergeCell ref="I46:K46"/>
    <mergeCell ref="L46:N46"/>
    <mergeCell ref="T46:U46"/>
    <mergeCell ref="F47:G47"/>
    <mergeCell ref="I47:K47"/>
    <mergeCell ref="L47:N47"/>
    <mergeCell ref="T47:U47"/>
    <mergeCell ref="T48:U48"/>
    <mergeCell ref="F49:G49"/>
    <mergeCell ref="I49:K49"/>
    <mergeCell ref="L49:N49"/>
    <mergeCell ref="T49:U49"/>
    <mergeCell ref="F50:G50"/>
    <mergeCell ref="I50:K50"/>
    <mergeCell ref="L50:N50"/>
    <mergeCell ref="T50:U50"/>
    <mergeCell ref="L51:N51"/>
    <mergeCell ref="T51:U51"/>
    <mergeCell ref="F52:G52"/>
    <mergeCell ref="I52:K52"/>
    <mergeCell ref="L52:N52"/>
    <mergeCell ref="T52:U52"/>
    <mergeCell ref="F53:G53"/>
    <mergeCell ref="I53:K53"/>
    <mergeCell ref="L53:N53"/>
    <mergeCell ref="T53:U53"/>
    <mergeCell ref="F54:G54"/>
    <mergeCell ref="I54:K54"/>
    <mergeCell ref="L54:N54"/>
    <mergeCell ref="T54:U54"/>
    <mergeCell ref="F55:G55"/>
    <mergeCell ref="I55:K55"/>
    <mergeCell ref="L55:N55"/>
    <mergeCell ref="T55:U55"/>
    <mergeCell ref="F56:G56"/>
    <mergeCell ref="I56:K56"/>
    <mergeCell ref="L56:N56"/>
    <mergeCell ref="T56:U56"/>
    <mergeCell ref="F57:G57"/>
    <mergeCell ref="I57:K57"/>
    <mergeCell ref="L57:N57"/>
    <mergeCell ref="T57:U57"/>
    <mergeCell ref="F58:G58"/>
    <mergeCell ref="I58:K58"/>
    <mergeCell ref="L58:N58"/>
    <mergeCell ref="T58:U58"/>
    <mergeCell ref="I59:K59"/>
    <mergeCell ref="L59:N59"/>
    <mergeCell ref="A63:A65"/>
    <mergeCell ref="R63:R88"/>
    <mergeCell ref="BA63:BA64"/>
    <mergeCell ref="B64:B65"/>
    <mergeCell ref="C64:D64"/>
    <mergeCell ref="E64:G64"/>
    <mergeCell ref="H64:H65"/>
    <mergeCell ref="I64:I65"/>
    <mergeCell ref="J64:K65"/>
    <mergeCell ref="L64:L65"/>
    <mergeCell ref="M64:N65"/>
    <mergeCell ref="O64:P64"/>
    <mergeCell ref="T64:AD64"/>
    <mergeCell ref="AE64:AE65"/>
    <mergeCell ref="AF64:AP64"/>
    <mergeCell ref="AQ64:AQ65"/>
    <mergeCell ref="AR64:AV64"/>
    <mergeCell ref="F65:G65"/>
    <mergeCell ref="F66:G66"/>
    <mergeCell ref="J66:K66"/>
    <mergeCell ref="M66:N66"/>
    <mergeCell ref="F67:G67"/>
    <mergeCell ref="J67:K67"/>
    <mergeCell ref="M67:N67"/>
    <mergeCell ref="F68:G68"/>
    <mergeCell ref="J68:K68"/>
    <mergeCell ref="M68:N68"/>
    <mergeCell ref="F69:G69"/>
    <mergeCell ref="J69:K69"/>
    <mergeCell ref="M69:N69"/>
    <mergeCell ref="F70:G70"/>
    <mergeCell ref="J70:K70"/>
    <mergeCell ref="M70:N70"/>
    <mergeCell ref="F71:G71"/>
    <mergeCell ref="J71:K71"/>
    <mergeCell ref="M71:N71"/>
    <mergeCell ref="F72:G72"/>
    <mergeCell ref="J72:K72"/>
    <mergeCell ref="M72:N72"/>
    <mergeCell ref="F73:G73"/>
    <mergeCell ref="J73:K73"/>
    <mergeCell ref="M73:N73"/>
    <mergeCell ref="F74:G74"/>
    <mergeCell ref="J74:K74"/>
    <mergeCell ref="M74:N74"/>
    <mergeCell ref="F75:G75"/>
    <mergeCell ref="J75:K75"/>
    <mergeCell ref="M75:N75"/>
    <mergeCell ref="F76:G76"/>
    <mergeCell ref="J76:K76"/>
    <mergeCell ref="M76:N76"/>
    <mergeCell ref="F77:G77"/>
    <mergeCell ref="J77:K77"/>
    <mergeCell ref="M77:N77"/>
    <mergeCell ref="F78:G78"/>
    <mergeCell ref="J78:K78"/>
    <mergeCell ref="M78:N78"/>
    <mergeCell ref="F79:G79"/>
    <mergeCell ref="J79:K79"/>
    <mergeCell ref="M79:N79"/>
    <mergeCell ref="F80:G80"/>
    <mergeCell ref="J80:K80"/>
    <mergeCell ref="M80:N80"/>
    <mergeCell ref="F81:G81"/>
    <mergeCell ref="J81:K81"/>
    <mergeCell ref="M81:N81"/>
    <mergeCell ref="F82:G82"/>
    <mergeCell ref="J82:K82"/>
    <mergeCell ref="M82:N82"/>
    <mergeCell ref="F83:G83"/>
    <mergeCell ref="J83:K83"/>
    <mergeCell ref="M83:N83"/>
    <mergeCell ref="F84:G84"/>
    <mergeCell ref="J84:K84"/>
    <mergeCell ref="M84:N84"/>
    <mergeCell ref="F85:G85"/>
    <mergeCell ref="J85:K85"/>
    <mergeCell ref="M85:N85"/>
    <mergeCell ref="M86:N86"/>
    <mergeCell ref="R89:R97"/>
    <mergeCell ref="A91:Q93"/>
    <mergeCell ref="C97:D97"/>
    <mergeCell ref="E97:I97"/>
    <mergeCell ref="R98:R100"/>
    <mergeCell ref="R101:R130"/>
    <mergeCell ref="C103:C106"/>
    <mergeCell ref="D103:D105"/>
    <mergeCell ref="I103:I105"/>
    <mergeCell ref="C108:F108"/>
    <mergeCell ref="C109:F109"/>
  </mergeCells>
  <conditionalFormatting sqref="I103 I106">
    <cfRule type="containsText" dxfId="100" priority="1" operator="containsText" text="No">
      <formula>NOT(ISERROR(SEARCH("No",I103)))</formula>
    </cfRule>
    <cfRule type="containsText" dxfId="99" priority="2" operator="containsText" text="Yes">
      <formula>NOT(ISERROR(SEARCH("Yes",I103)))</formula>
    </cfRule>
  </conditionalFormatting>
  <conditionalFormatting sqref="P1:P5 I33:N33 M66:N85">
    <cfRule type="containsText" dxfId="98" priority="3" operator="containsText" text="▲">
      <formula>NOT(ISERROR(SEARCH("▲",P1)))</formula>
    </cfRule>
  </conditionalFormatting>
  <conditionalFormatting sqref="I33:N33">
    <cfRule type="containsText" dxfId="97" priority="4" operator="containsText" text=" ✓">
      <formula>NOT(ISERROR(SEARCH(" ✓",I33)))</formula>
    </cfRule>
  </conditionalFormatting>
  <conditionalFormatting sqref="L66:L85">
    <cfRule type="containsText" dxfId="96" priority="5" operator="containsText" text="▲">
      <formula>NOT(ISERROR(SEARCH("▲",L66)))</formula>
    </cfRule>
    <cfRule type="cellIs" dxfId="95" priority="6" operator="equal">
      <formula>"Alternative Compensation"</formula>
    </cfRule>
    <cfRule type="cellIs" dxfId="94" priority="7" operator="equal">
      <formula>"Unacceptable Loss"</formula>
    </cfRule>
    <cfRule type="cellIs" dxfId="93" priority="8" operator="equal">
      <formula>"Compensation Agreed"</formula>
    </cfRule>
    <cfRule type="cellIs" dxfId="92" priority="9" operator="equal">
      <formula>"Unacceptable Loss"</formula>
    </cfRule>
    <cfRule type="cellIs" dxfId="91" priority="10" operator="equal">
      <formula>"Compensation Agreed"</formula>
    </cfRule>
    <cfRule type="cellIs" dxfId="90" priority="11" operator="equal">
      <formula>"Unacceptable Loss"</formula>
    </cfRule>
  </conditionalFormatting>
  <conditionalFormatting sqref="L39:N58">
    <cfRule type="containsText" dxfId="89" priority="12" operator="containsText" text="▲">
      <formula>NOT(ISERROR(SEARCH("▲",L39)))</formula>
    </cfRule>
    <cfRule type="containsText" dxfId="88" priority="13" operator="containsText" text="value">
      <formula>NOT(ISERROR(SEARCH("value",L39)))</formula>
    </cfRule>
  </conditionalFormatting>
  <conditionalFormatting sqref="L39:M58">
    <cfRule type="cellIs" dxfId="87" priority="14" operator="equal">
      <formula>"Alternative Compensation"</formula>
    </cfRule>
    <cfRule type="cellIs" dxfId="86" priority="15" operator="equal">
      <formula>"Unacceptable Loss"</formula>
    </cfRule>
    <cfRule type="cellIs" dxfId="85" priority="16" operator="equal">
      <formula>"Compensation Agreed"</formula>
    </cfRule>
    <cfRule type="cellIs" dxfId="84" priority="17" operator="equal">
      <formula>"Unacceptable Loss"</formula>
    </cfRule>
    <cfRule type="cellIs" dxfId="83" priority="18" operator="equal">
      <formula>"Compensation Agreed"</formula>
    </cfRule>
    <cfRule type="cellIs" dxfId="82" priority="19" operator="equal">
      <formula>"Unacceptable Loss"</formula>
    </cfRule>
  </conditionalFormatting>
  <conditionalFormatting sqref="N11:N30">
    <cfRule type="containsText" dxfId="81" priority="20" operator="containsText" text="value">
      <formula>NOT(ISERROR(SEARCH("value",N11)))</formula>
    </cfRule>
    <cfRule type="containsText" dxfId="80" priority="23" operator="containsText" text="▲">
      <formula>NOT(ISERROR(SEARCH("▲",N11)))</formula>
    </cfRule>
    <cfRule type="cellIs" dxfId="79" priority="25" operator="equal">
      <formula>"Alternative Compensation"</formula>
    </cfRule>
    <cfRule type="cellIs" dxfId="78" priority="26" operator="equal">
      <formula>"Unacceptable Loss"</formula>
    </cfRule>
    <cfRule type="cellIs" dxfId="77" priority="27" operator="equal">
      <formula>"Compensation Agreed"</formula>
    </cfRule>
    <cfRule type="cellIs" dxfId="76" priority="28" operator="equal">
      <formula>"Unacceptable Loss"</formula>
    </cfRule>
    <cfRule type="cellIs" dxfId="75" priority="29" operator="equal">
      <formula>"Compensation Agreed"</formula>
    </cfRule>
    <cfRule type="cellIs" dxfId="74" priority="30" operator="equal">
      <formula>"Unacceptable Loss"</formula>
    </cfRule>
  </conditionalFormatting>
  <conditionalFormatting sqref="L11:L30">
    <cfRule type="containsText" dxfId="73" priority="21" operator="containsText" text="▲">
      <formula>NOT(ISERROR(SEARCH("▲",L11)))</formula>
    </cfRule>
    <cfRule type="containsText" dxfId="72" priority="22" operator="containsText" text="value">
      <formula>NOT(ISERROR(SEARCH("value",L11)))</formula>
    </cfRule>
  </conditionalFormatting>
  <conditionalFormatting sqref="M11:M30">
    <cfRule type="containsText" dxfId="71" priority="24" operator="containsText" text="error">
      <formula>NOT(ISERROR(SEARCH("error",M11)))</formula>
    </cfRule>
  </conditionalFormatting>
  <conditionalFormatting sqref="L11:M30">
    <cfRule type="cellIs" dxfId="70" priority="31" operator="equal">
      <formula>"Any loss Unacceptable"</formula>
    </cfRule>
    <cfRule type="expression" dxfId="69" priority="32">
      <formula>"p18=""Avoid"""</formula>
    </cfRule>
  </conditionalFormatting>
  <conditionalFormatting sqref="M66:M85">
    <cfRule type="cellIs" dxfId="68" priority="33" operator="equal">
      <formula>"Alternative Compensation"</formula>
    </cfRule>
    <cfRule type="cellIs" dxfId="67" priority="34" operator="equal">
      <formula>"Unacceptable Loss"</formula>
    </cfRule>
    <cfRule type="cellIs" dxfId="66" priority="35" operator="equal">
      <formula>"Compensation Agreed"</formula>
    </cfRule>
    <cfRule type="cellIs" dxfId="65" priority="36" operator="equal">
      <formula>"Unacceptable Loss"</formula>
    </cfRule>
    <cfRule type="cellIs" dxfId="64" priority="37" operator="equal">
      <formula>"Compensation Agreed"</formula>
    </cfRule>
    <cfRule type="cellIs" dxfId="63" priority="38" operator="equal">
      <formula>"Unacceptable Loss"</formula>
    </cfRule>
  </conditionalFormatting>
  <conditionalFormatting sqref="F66:G85">
    <cfRule type="expression" dxfId="62" priority="39">
      <formula>$D66=""</formula>
    </cfRule>
  </conditionalFormatting>
  <conditionalFormatting sqref="E66:E85">
    <cfRule type="cellIs" dxfId="61" priority="40" operator="equal">
      <formula>"Enhancement not possible"</formula>
    </cfRule>
  </conditionalFormatting>
  <conditionalFormatting sqref="AJ66:AJ85">
    <cfRule type="cellIs" dxfId="60" priority="41" operator="equal">
      <formula>"Not Possible"</formula>
    </cfRule>
  </conditionalFormatting>
  <conditionalFormatting sqref="F58">
    <cfRule type="containsBlanks" dxfId="59" priority="42" stopIfTrue="1">
      <formula>LEN(TRIM(F58))=0</formula>
    </cfRule>
    <cfRule type="expression" dxfId="58" priority="43">
      <formula>ISNUMBER(SEARCH(F58,E58,1))</formula>
    </cfRule>
  </conditionalFormatting>
  <conditionalFormatting sqref="J2">
    <cfRule type="containsText" dxfId="57" priority="44" operator="containsText" text="Technical">
      <formula>NOT(ISERROR(SEARCH("Technical",J2)))</formula>
    </cfRule>
  </conditionalFormatting>
  <conditionalFormatting sqref="I32:N32">
    <cfRule type="containsText" dxfId="56" priority="45" operator="containsText" text="error">
      <formula>NOT(ISERROR(SEARCH("error",I32)))</formula>
    </cfRule>
    <cfRule type="containsText" dxfId="55" priority="46" operator="containsText" text="acceptable">
      <formula>NOT(ISERROR(SEARCH("acceptable",I32)))</formula>
    </cfRule>
  </conditionalFormatting>
  <conditionalFormatting sqref="K11:K30">
    <cfRule type="expression" dxfId="54" priority="47">
      <formula>$AI11="Enhancement not possible"</formula>
    </cfRule>
  </conditionalFormatting>
  <conditionalFormatting sqref="L86">
    <cfRule type="cellIs" dxfId="53" priority="48" operator="equal">
      <formula>"Any loss Unacceptable"</formula>
    </cfRule>
    <cfRule type="expression" dxfId="52" priority="49">
      <formula>"p18=""Avoid"""</formula>
    </cfRule>
  </conditionalFormatting>
  <conditionalFormatting sqref="I86">
    <cfRule type="cellIs" dxfId="51" priority="50" operator="equal">
      <formula>"Any loss Unacceptable"</formula>
    </cfRule>
    <cfRule type="expression" dxfId="50" priority="51">
      <formula>"p18=""Avoid"""</formula>
    </cfRule>
  </conditionalFormatting>
  <conditionalFormatting sqref="X39:X58">
    <cfRule type="cellIs" dxfId="49" priority="52" operator="equal">
      <formula>"Not Possible"</formula>
    </cfRule>
  </conditionalFormatting>
  <conditionalFormatting sqref="J2 O6">
    <cfRule type="containsText" dxfId="48" priority="53" operator="containsText" text="Errors Present On Sheet">
      <formula>NOT(ISERROR(SEARCH("Errors Present On Sheet",J2)))</formula>
    </cfRule>
  </conditionalFormatting>
  <conditionalFormatting sqref="E97">
    <cfRule type="containsText" dxfId="47" priority="54" operator="containsText" text="Trading Rules Satisfied">
      <formula>NOT(ISERROR(SEARCH("Trading Rules Satisfied",E97)))</formula>
    </cfRule>
    <cfRule type="containsText" dxfId="46" priority="55" operator="containsText" text="Error - Trading Rules Not Satisfied">
      <formula>NOT(ISERROR(SEARCH("Error - Trading Rules Not Satisfied",E97)))</formula>
    </cfRule>
  </conditionalFormatting>
  <conditionalFormatting sqref="I31">
    <cfRule type="cellIs" dxfId="45" priority="56" operator="greaterThan">
      <formula>5000</formula>
    </cfRule>
  </conditionalFormatting>
  <conditionalFormatting sqref="AG11:AG30">
    <cfRule type="cellIs" dxfId="44" priority="57" operator="equal">
      <formula>"Unacceptable Loss"</formula>
    </cfRule>
  </conditionalFormatting>
  <conditionalFormatting sqref="X11:X30">
    <cfRule type="cellIs" dxfId="43" priority="58" operator="equal">
      <formula>"Not Possible"</formula>
    </cfRule>
  </conditionalFormatting>
  <conditionalFormatting sqref="F39">
    <cfRule type="containsBlanks" dxfId="42" priority="59" stopIfTrue="1">
      <formula>LEN(TRIM(F39))=0</formula>
    </cfRule>
    <cfRule type="expression" dxfId="41" priority="60">
      <formula>ISNUMBER(SEARCH(F39,E39,1))</formula>
    </cfRule>
  </conditionalFormatting>
  <conditionalFormatting sqref="F40:F57">
    <cfRule type="containsBlanks" dxfId="40" priority="61" stopIfTrue="1">
      <formula>LEN(TRIM(F40))=0</formula>
    </cfRule>
    <cfRule type="expression" dxfId="39" priority="62">
      <formula>ISNUMBER(SEARCH(F40,E40,1))</formula>
    </cfRule>
  </conditionalFormatting>
  <dataValidations count="2">
    <dataValidation type="list" allowBlank="1" showInputMessage="1" showErrorMessage="1" sqref="D11:E30 D39:D58" xr:uid="{00000000-0002-0000-0600-000000000000}">
      <formula1>INDIRECT(SUBSTITUTE(C11," ",""))</formula1>
    </dataValidation>
    <dataValidation type="list" allowBlank="1" showInputMessage="1" showErrorMessage="1" sqref="F66:G85" xr:uid="{00000000-0002-0000-0600-000001000000}">
      <formula1>INDIRECT(BV66)</formula1>
    </dataValidation>
  </dataValidations>
  <pageMargins left="0.7" right="0.7" top="0.75" bottom="0.75" header="0.3" footer="0.3"/>
  <pageSetup paperSize="9" orientation="portrait" r:id="rId1"/>
  <ignoredErrors>
    <ignoredError sqref="V11"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743-8657-4010-ADC8-C713B63CD1F8}">
  <sheetPr codeName="Sheet8">
    <tabColor rgb="FFFFC000"/>
    <pageSetUpPr fitToPage="1"/>
  </sheetPr>
  <dimension ref="A1:AF74"/>
  <sheetViews>
    <sheetView zoomScale="80" zoomScaleNormal="80" workbookViewId="0"/>
  </sheetViews>
  <sheetFormatPr defaultColWidth="0" defaultRowHeight="15.6" zeroHeight="1"/>
  <cols>
    <col min="1" max="1" width="14.28515625" customWidth="1"/>
    <col min="2" max="2" width="30.5703125" customWidth="1"/>
    <col min="3" max="3" width="45.28515625" customWidth="1"/>
    <col min="4" max="4" width="76.42578125" customWidth="1"/>
    <col min="5" max="5" width="13" bestFit="1" customWidth="1"/>
    <col min="6" max="6" width="19.5703125" style="484" customWidth="1"/>
    <col min="7" max="7" width="29.28515625" hidden="1" customWidth="1"/>
    <col min="8" max="9" width="10.7109375" hidden="1" customWidth="1"/>
    <col min="10" max="10" width="15" hidden="1" customWidth="1"/>
    <col min="11" max="11" width="10.28515625" hidden="1" customWidth="1"/>
    <col min="12" max="16" width="8.7109375" hidden="1" customWidth="1"/>
    <col min="17" max="17" width="11.5703125" hidden="1" customWidth="1"/>
    <col min="18" max="18" width="8.7109375" hidden="1" customWidth="1"/>
    <col min="19" max="19" width="11.28515625" hidden="1" customWidth="1"/>
    <col min="20" max="24" width="8.7109375" hidden="1" customWidth="1"/>
    <col min="25" max="32" width="0" hidden="1" customWidth="1"/>
    <col min="33" max="33" width="8.7109375" hidden="1" customWidth="1"/>
    <col min="34" max="16384" width="8.7109375" hidden="1"/>
  </cols>
  <sheetData>
    <row r="1" spans="1:24" ht="16.149999999999999" customHeight="1">
      <c r="A1" s="99"/>
      <c r="B1" s="99"/>
      <c r="C1" s="99"/>
      <c r="D1" s="99"/>
      <c r="E1" s="99"/>
      <c r="F1" s="479"/>
      <c r="G1" s="99"/>
      <c r="H1" s="99"/>
      <c r="I1" s="99"/>
      <c r="J1" s="99"/>
      <c r="K1" s="99"/>
      <c r="L1" s="99"/>
      <c r="M1" s="99"/>
      <c r="N1" s="99"/>
      <c r="O1" s="99"/>
      <c r="P1" s="99"/>
      <c r="Q1" s="99"/>
      <c r="R1" s="99"/>
      <c r="S1" s="99"/>
      <c r="T1" s="99"/>
      <c r="U1" s="99"/>
      <c r="V1" s="99"/>
      <c r="W1" s="99"/>
      <c r="X1" s="99"/>
    </row>
    <row r="2" spans="1:24" ht="24.6" customHeight="1">
      <c r="A2" s="99"/>
      <c r="B2" s="646" t="s">
        <v>83</v>
      </c>
      <c r="C2" s="647"/>
      <c r="D2" s="632" t="str">
        <f>IF('2. Site Details'!D4="","Enter site name on 2. Site Details",'2. Site Details'!D4)</f>
        <v>8 cliffe lane</v>
      </c>
      <c r="E2" s="633"/>
      <c r="F2" s="486"/>
      <c r="G2" s="116"/>
      <c r="H2" s="116"/>
      <c r="I2" s="116"/>
      <c r="J2" s="116"/>
      <c r="K2" s="116"/>
      <c r="L2" s="116"/>
      <c r="M2" s="116"/>
      <c r="N2" s="116"/>
      <c r="O2" s="116"/>
      <c r="P2" s="116"/>
      <c r="Q2" s="116"/>
      <c r="R2" s="116"/>
      <c r="S2" s="116"/>
      <c r="T2" s="116"/>
      <c r="U2" s="116"/>
      <c r="V2" s="116"/>
      <c r="W2" s="116"/>
      <c r="X2" s="99"/>
    </row>
    <row r="3" spans="1:24" ht="24.6" customHeight="1">
      <c r="A3" s="99"/>
      <c r="B3" s="649" t="s">
        <v>16</v>
      </c>
      <c r="C3" s="650"/>
      <c r="D3" s="634" t="s">
        <v>295</v>
      </c>
      <c r="E3" s="635"/>
      <c r="F3" s="480"/>
      <c r="G3" s="116"/>
      <c r="H3" s="1007"/>
      <c r="I3" s="1007"/>
      <c r="J3" s="1007"/>
      <c r="K3" s="1007"/>
      <c r="L3" s="1007"/>
      <c r="M3" s="1007"/>
      <c r="N3" s="1007"/>
      <c r="O3" s="1007"/>
      <c r="P3" s="116"/>
      <c r="Q3" s="116"/>
      <c r="R3" s="116"/>
      <c r="S3" s="116"/>
      <c r="T3" s="116"/>
      <c r="U3" s="116"/>
      <c r="V3" s="116"/>
      <c r="W3" s="116"/>
      <c r="X3" s="99"/>
    </row>
    <row r="4" spans="1:24" ht="34.15" customHeight="1">
      <c r="A4" s="99"/>
      <c r="B4" s="120" t="s">
        <v>295</v>
      </c>
      <c r="C4" s="99"/>
      <c r="D4" s="99"/>
      <c r="E4" s="99"/>
      <c r="F4" s="480"/>
      <c r="G4" s="116"/>
      <c r="H4" s="116"/>
      <c r="I4" s="116"/>
      <c r="J4" s="116"/>
      <c r="K4" s="116"/>
      <c r="L4" s="116"/>
      <c r="M4" s="116"/>
      <c r="N4" s="116"/>
      <c r="O4" s="116"/>
      <c r="P4" s="116"/>
      <c r="Q4" s="116"/>
      <c r="R4" s="116"/>
      <c r="S4" s="116"/>
      <c r="T4" s="116"/>
      <c r="U4" s="116"/>
      <c r="V4" s="116"/>
      <c r="W4" s="116"/>
      <c r="X4" s="99"/>
    </row>
    <row r="5" spans="1:24" ht="24.6" customHeight="1">
      <c r="A5" s="99"/>
      <c r="B5" s="630" t="s">
        <v>296</v>
      </c>
      <c r="C5" s="1001"/>
      <c r="D5" s="1002" t="str">
        <f>IF(OR(D27&gt;0,D28&gt;0,D29&gt;0),"BNG Targets Not Met ▲","BNG Targets Met ✓")</f>
        <v>BNG Targets Not Met ▲</v>
      </c>
      <c r="E5" s="876"/>
      <c r="F5" s="480"/>
      <c r="G5" s="116"/>
      <c r="H5" s="116"/>
      <c r="I5" s="116"/>
      <c r="J5" s="116"/>
      <c r="K5" s="116"/>
      <c r="L5" s="116"/>
      <c r="M5" s="116"/>
      <c r="N5" s="116"/>
      <c r="O5" s="116"/>
      <c r="P5" s="116"/>
      <c r="Q5" s="116"/>
      <c r="R5" s="116"/>
      <c r="S5" s="116"/>
      <c r="T5" s="116"/>
      <c r="U5" s="116"/>
      <c r="V5" s="116"/>
      <c r="W5" s="116"/>
      <c r="X5" s="99"/>
    </row>
    <row r="6" spans="1:24" ht="24.6" customHeight="1">
      <c r="A6" s="99"/>
      <c r="B6" s="99"/>
      <c r="C6" s="99"/>
      <c r="D6" s="206"/>
      <c r="E6" s="206"/>
      <c r="F6" s="480"/>
      <c r="G6" s="116"/>
      <c r="H6" s="116"/>
      <c r="I6" s="116"/>
      <c r="J6" s="116"/>
      <c r="K6" s="116"/>
      <c r="L6" s="116"/>
      <c r="M6" s="116"/>
      <c r="N6" s="116"/>
      <c r="O6" s="116"/>
      <c r="P6" s="116"/>
      <c r="Q6" s="116"/>
      <c r="R6" s="116"/>
      <c r="S6" s="116"/>
      <c r="T6" s="116"/>
      <c r="U6" s="116"/>
      <c r="V6" s="116"/>
      <c r="W6" s="116"/>
      <c r="X6" s="99"/>
    </row>
    <row r="7" spans="1:24" ht="24.6" customHeight="1">
      <c r="A7" s="99"/>
      <c r="B7" s="630" t="s">
        <v>297</v>
      </c>
      <c r="C7" s="631"/>
      <c r="D7" s="1003" t="str">
        <f ca="1">IF('5. Area Habitats'!J108+'5. Area Habitats'!J109+'6. Hedges &amp; Lines of Trees'!J97+'7. Watercourses'!J97&gt;0,"Trading Rules Not Satisfied ▲","Trading Rules Satisfied ✓")</f>
        <v>Trading Rules Not Satisfied ▲</v>
      </c>
      <c r="E7" s="1004"/>
      <c r="F7" s="487"/>
      <c r="G7" s="381"/>
      <c r="H7" s="382"/>
      <c r="I7" s="383"/>
      <c r="J7" s="116"/>
      <c r="K7" s="116"/>
      <c r="L7" s="116"/>
      <c r="M7" s="116"/>
      <c r="N7" s="116"/>
      <c r="O7" s="116"/>
      <c r="P7" s="116"/>
      <c r="Q7" s="116"/>
      <c r="R7" s="116"/>
      <c r="S7" s="116"/>
      <c r="T7" s="116"/>
      <c r="U7" s="116"/>
      <c r="V7" s="116"/>
      <c r="W7" s="116"/>
      <c r="X7" s="99"/>
    </row>
    <row r="8" spans="1:24" ht="24.6" customHeight="1">
      <c r="A8" s="99"/>
      <c r="B8" s="99"/>
      <c r="C8" s="99"/>
      <c r="D8" s="206"/>
      <c r="E8" s="206"/>
      <c r="F8" s="487"/>
      <c r="G8" s="116"/>
      <c r="H8" s="116"/>
      <c r="I8" s="116"/>
      <c r="J8" s="116"/>
      <c r="K8" s="116"/>
      <c r="L8" s="116"/>
      <c r="M8" s="116"/>
      <c r="N8" s="116"/>
      <c r="O8" s="116"/>
      <c r="P8" s="116"/>
      <c r="Q8" s="116"/>
      <c r="R8" s="116"/>
      <c r="S8" s="116"/>
      <c r="T8" s="116"/>
      <c r="U8" s="116"/>
      <c r="V8" s="116"/>
      <c r="W8" s="116"/>
      <c r="X8" s="99"/>
    </row>
    <row r="9" spans="1:24" ht="24.6" customHeight="1">
      <c r="A9" s="99"/>
      <c r="B9" s="630" t="s">
        <v>298</v>
      </c>
      <c r="C9" s="1001"/>
      <c r="D9" s="1005" t="str">
        <f ca="1">IF(OR(D5="BNG Targets Not Met ▲",D7="Trading Rules Not Satisfied ▲"),"Scheme alterations or offsite units required","Check for input errors/rule breaks present in the metric ⚠")</f>
        <v>Scheme alterations or offsite units required</v>
      </c>
      <c r="E9" s="1006"/>
      <c r="F9" s="480"/>
      <c r="G9" s="103"/>
      <c r="H9" s="103"/>
      <c r="I9" s="103"/>
      <c r="J9" s="103"/>
      <c r="K9" s="103"/>
      <c r="L9" s="103"/>
      <c r="M9" s="103"/>
      <c r="N9" s="103"/>
      <c r="O9" s="103"/>
      <c r="P9" s="103"/>
      <c r="Q9" s="118"/>
      <c r="R9" s="103"/>
      <c r="S9" s="116"/>
      <c r="T9" s="116"/>
      <c r="U9" s="116"/>
      <c r="V9" s="116"/>
      <c r="W9" s="116"/>
      <c r="X9" s="99"/>
    </row>
    <row r="10" spans="1:24" ht="43.5" customHeight="1">
      <c r="A10" s="99"/>
      <c r="B10" s="99"/>
      <c r="C10" s="99"/>
      <c r="D10" s="995"/>
      <c r="E10" s="995"/>
      <c r="F10" s="480" t="s">
        <v>299</v>
      </c>
      <c r="G10" s="103"/>
      <c r="H10" s="103"/>
      <c r="I10" s="103"/>
      <c r="J10" s="103"/>
      <c r="K10" s="103"/>
      <c r="L10" s="103"/>
      <c r="M10" s="103"/>
      <c r="N10" s="103"/>
      <c r="O10" s="103"/>
      <c r="P10" s="103"/>
      <c r="Q10" s="118"/>
      <c r="R10" s="103"/>
      <c r="S10" s="116"/>
      <c r="T10" s="116"/>
      <c r="U10" s="116"/>
      <c r="V10" s="116"/>
      <c r="W10" s="116"/>
      <c r="X10" s="99"/>
    </row>
    <row r="11" spans="1:24" ht="24.6" customHeight="1">
      <c r="A11" s="99"/>
      <c r="B11" s="996" t="s">
        <v>300</v>
      </c>
      <c r="C11" s="294" t="s">
        <v>301</v>
      </c>
      <c r="D11" s="473">
        <f>IF('5. Area Habitats'!L32=0,"Zero Units Baseline",'5. Area Habitats'!L32)</f>
        <v>0.30134388000000001</v>
      </c>
      <c r="E11" s="474"/>
      <c r="F11" s="480">
        <f>('2. Site Details'!$D$13/100)*$D$11</f>
        <v>3.0134388000000002E-2</v>
      </c>
      <c r="G11" s="377"/>
      <c r="H11" s="103"/>
      <c r="I11" s="103"/>
      <c r="J11" s="103"/>
      <c r="K11" s="103"/>
      <c r="L11" s="103"/>
      <c r="M11" s="103"/>
      <c r="N11" s="103"/>
      <c r="O11" s="103"/>
      <c r="P11" s="103"/>
      <c r="Q11" s="118"/>
      <c r="R11" s="103"/>
      <c r="S11" s="116"/>
      <c r="T11" s="116"/>
      <c r="U11" s="116"/>
      <c r="V11" s="116"/>
      <c r="W11" s="116"/>
      <c r="X11" s="99"/>
    </row>
    <row r="12" spans="1:24" ht="24.6" customHeight="1">
      <c r="A12" s="99"/>
      <c r="B12" s="997"/>
      <c r="C12" s="295" t="s">
        <v>302</v>
      </c>
      <c r="D12" s="475" t="str">
        <f>IF('6. Hedges &amp; Lines of Trees'!L31=0,"Zero Units Baseline",'6. Hedges &amp; Lines of Trees'!L31)</f>
        <v>Zero Units Baseline</v>
      </c>
      <c r="E12" s="476"/>
      <c r="F12" s="480" t="e">
        <f>('2. Site Details'!$D$14/100)*$D$12</f>
        <v>#VALUE!</v>
      </c>
      <c r="G12" s="378"/>
      <c r="H12" s="103"/>
      <c r="I12" s="103"/>
      <c r="J12" s="103"/>
      <c r="K12" s="103"/>
      <c r="L12" s="103"/>
      <c r="M12" s="103"/>
      <c r="N12" s="103"/>
      <c r="O12" s="103"/>
      <c r="P12" s="103"/>
      <c r="Q12" s="118"/>
      <c r="R12" s="103"/>
      <c r="S12" s="116"/>
      <c r="T12" s="116"/>
      <c r="U12" s="116"/>
      <c r="V12" s="116"/>
      <c r="W12" s="116"/>
      <c r="X12" s="99"/>
    </row>
    <row r="13" spans="1:24" ht="24.6" customHeight="1">
      <c r="A13" s="99"/>
      <c r="B13" s="998"/>
      <c r="C13" s="296" t="s">
        <v>303</v>
      </c>
      <c r="D13" s="477" t="str">
        <f>IF('7. Watercourses'!L31=0,"Zero Units Baseline",'7. Watercourses'!L31)</f>
        <v>Zero Units Baseline</v>
      </c>
      <c r="E13" s="478"/>
      <c r="F13" s="480" t="e">
        <f>('2. Site Details'!$D$15/100)*$D$13</f>
        <v>#VALUE!</v>
      </c>
      <c r="G13" s="379"/>
      <c r="H13" s="103"/>
      <c r="I13" s="103"/>
      <c r="J13" s="103"/>
      <c r="K13" s="103"/>
      <c r="L13" s="103"/>
      <c r="M13" s="103"/>
      <c r="N13" s="103"/>
      <c r="O13" s="103"/>
      <c r="P13" s="103"/>
      <c r="Q13" s="118"/>
      <c r="R13" s="103"/>
      <c r="S13" s="116"/>
      <c r="T13" s="116"/>
      <c r="U13" s="116"/>
      <c r="V13" s="116"/>
      <c r="W13" s="116"/>
      <c r="X13" s="99"/>
    </row>
    <row r="14" spans="1:24" ht="24.6" customHeight="1">
      <c r="A14" s="99"/>
      <c r="B14" s="99"/>
      <c r="C14" s="99"/>
      <c r="D14" s="206"/>
      <c r="E14" s="206"/>
      <c r="F14" s="480" t="s">
        <v>304</v>
      </c>
      <c r="G14" s="103"/>
      <c r="H14" s="103"/>
      <c r="I14" s="103"/>
      <c r="J14" s="103"/>
      <c r="K14" s="103"/>
      <c r="L14" s="103"/>
      <c r="M14" s="103"/>
      <c r="N14" s="103"/>
      <c r="O14" s="103"/>
      <c r="P14" s="103"/>
      <c r="Q14" s="118"/>
      <c r="R14" s="103"/>
      <c r="S14" s="116"/>
      <c r="T14" s="116"/>
      <c r="U14" s="116"/>
      <c r="V14" s="116"/>
      <c r="W14" s="116"/>
      <c r="X14" s="99"/>
    </row>
    <row r="15" spans="1:24" ht="24.6" customHeight="1">
      <c r="A15" s="99"/>
      <c r="B15" s="996" t="s">
        <v>305</v>
      </c>
      <c r="C15" s="294" t="s">
        <v>301</v>
      </c>
      <c r="D15" s="473">
        <f>'5. Area Habitats'!P3+'5. Area Habitats'!P4+'5. Area Habitats'!P1</f>
        <v>0.27196492149999996</v>
      </c>
      <c r="E15" s="474"/>
      <c r="F15" s="481">
        <f>D11+F11</f>
        <v>0.33147826800000002</v>
      </c>
      <c r="G15" s="103"/>
      <c r="H15" s="103"/>
      <c r="I15" s="103"/>
      <c r="J15" s="103"/>
      <c r="K15" s="103"/>
      <c r="L15" s="103"/>
      <c r="M15" s="103"/>
      <c r="N15" s="103"/>
      <c r="O15" s="103"/>
      <c r="P15" s="103"/>
      <c r="Q15" s="118"/>
      <c r="R15" s="103"/>
      <c r="S15" s="116"/>
      <c r="T15" s="116"/>
      <c r="U15" s="116"/>
      <c r="V15" s="116"/>
      <c r="W15" s="116"/>
      <c r="X15" s="99"/>
    </row>
    <row r="16" spans="1:24" ht="24.6" customHeight="1">
      <c r="A16" s="99"/>
      <c r="B16" s="997"/>
      <c r="C16" s="295" t="s">
        <v>302</v>
      </c>
      <c r="D16" s="475">
        <f>'6. Hedges &amp; Lines of Trees'!P3+'6. Hedges &amp; Lines of Trees'!P4+'6. Hedges &amp; Lines of Trees'!P1</f>
        <v>0</v>
      </c>
      <c r="E16" s="476"/>
      <c r="F16" s="481" t="e">
        <f>D12+F12</f>
        <v>#VALUE!</v>
      </c>
      <c r="G16" s="103"/>
      <c r="H16" s="103"/>
      <c r="I16" s="103"/>
      <c r="J16" s="103"/>
      <c r="K16" s="103"/>
      <c r="L16" s="103"/>
      <c r="M16" s="103"/>
      <c r="N16" s="103"/>
      <c r="O16" s="103"/>
      <c r="P16" s="103"/>
      <c r="Q16" s="118"/>
      <c r="R16" s="103"/>
      <c r="S16" s="116"/>
      <c r="T16" s="116"/>
      <c r="U16" s="116"/>
      <c r="V16" s="116"/>
      <c r="W16" s="116"/>
      <c r="X16" s="99"/>
    </row>
    <row r="17" spans="1:24" ht="24.6" customHeight="1">
      <c r="A17" s="99"/>
      <c r="B17" s="998"/>
      <c r="C17" s="296" t="s">
        <v>303</v>
      </c>
      <c r="D17" s="477">
        <f>'7. Watercourses'!P3+'7. Watercourses'!P4+'7. Watercourses'!P1</f>
        <v>0</v>
      </c>
      <c r="E17" s="478"/>
      <c r="F17" s="481" t="e">
        <f>D13+F13</f>
        <v>#VALUE!</v>
      </c>
      <c r="G17" s="103"/>
      <c r="H17" s="103"/>
      <c r="I17" s="103"/>
      <c r="J17" s="103"/>
      <c r="K17" s="103"/>
      <c r="L17" s="103"/>
      <c r="M17" s="103"/>
      <c r="N17" s="103"/>
      <c r="O17" s="103"/>
      <c r="P17" s="103"/>
      <c r="Q17" s="118"/>
      <c r="R17" s="103"/>
      <c r="S17" s="116"/>
      <c r="T17" s="116"/>
      <c r="U17" s="116"/>
      <c r="V17" s="116"/>
      <c r="W17" s="116"/>
      <c r="X17" s="99"/>
    </row>
    <row r="18" spans="1:24" ht="24.6" customHeight="1">
      <c r="A18" s="99"/>
      <c r="B18" s="99"/>
      <c r="C18" s="99"/>
      <c r="D18" s="206"/>
      <c r="E18" s="206"/>
      <c r="F18" s="480"/>
      <c r="G18" s="103"/>
      <c r="H18" s="103"/>
      <c r="I18" s="103"/>
      <c r="J18" s="103"/>
      <c r="K18" s="103"/>
      <c r="L18" s="103"/>
      <c r="M18" s="103"/>
      <c r="N18" s="103"/>
      <c r="O18" s="103"/>
      <c r="P18" s="103"/>
      <c r="Q18" s="118"/>
      <c r="R18" s="103"/>
      <c r="S18" s="116"/>
      <c r="T18" s="116"/>
      <c r="U18" s="116"/>
      <c r="V18" s="116"/>
      <c r="W18" s="116"/>
      <c r="X18" s="99"/>
    </row>
    <row r="19" spans="1:24" ht="24.6" customHeight="1">
      <c r="A19" s="99"/>
      <c r="B19" s="996" t="s">
        <v>306</v>
      </c>
      <c r="C19" s="514" t="s">
        <v>301</v>
      </c>
      <c r="D19" s="519">
        <f>'5. Area Habitats'!P5</f>
        <v>-2.9378958500000052E-2</v>
      </c>
      <c r="E19" s="520" t="str" cm="1">
        <f t="array" ref="E19">_xlfn.IFS(D19&gt;=F11,"✓",D19&lt;0,"▲", D19&lt;F11,"⚠")</f>
        <v>▲</v>
      </c>
      <c r="F19" s="482">
        <f>F11/D11</f>
        <v>0.1</v>
      </c>
      <c r="G19" s="103"/>
      <c r="H19" s="103"/>
      <c r="I19" s="103"/>
      <c r="J19" s="103"/>
      <c r="K19" s="103"/>
      <c r="L19" s="103"/>
      <c r="M19" s="103"/>
      <c r="N19" s="103"/>
      <c r="O19" s="103"/>
      <c r="P19" s="103"/>
      <c r="Q19" s="118"/>
      <c r="R19" s="103"/>
      <c r="S19" s="116"/>
      <c r="T19" s="116"/>
      <c r="U19" s="116"/>
      <c r="V19" s="116"/>
      <c r="W19" s="116"/>
      <c r="X19" s="99"/>
    </row>
    <row r="20" spans="1:24" ht="24.6" customHeight="1">
      <c r="A20" s="99"/>
      <c r="B20" s="997"/>
      <c r="C20" s="515" t="s">
        <v>302</v>
      </c>
      <c r="D20" s="521">
        <f>'6. Hedges &amp; Lines of Trees'!P5</f>
        <v>0</v>
      </c>
      <c r="E20" s="522" t="e" cm="1">
        <f t="array" ref="E20">_xlfn.IFS(D20&gt;=F12,"✓",D20&lt;0,"▲", D20&lt;F12,"⚠")</f>
        <v>#VALUE!</v>
      </c>
      <c r="F20" s="482" t="e">
        <f>F12/D12</f>
        <v>#VALUE!</v>
      </c>
      <c r="G20" s="103"/>
      <c r="H20" s="103"/>
      <c r="I20" s="103"/>
      <c r="J20" s="103"/>
      <c r="K20" s="103"/>
      <c r="L20" s="103"/>
      <c r="M20" s="103"/>
      <c r="N20" s="103"/>
      <c r="O20" s="103"/>
      <c r="P20" s="103"/>
      <c r="Q20" s="118"/>
      <c r="R20" s="103"/>
      <c r="S20" s="116"/>
      <c r="T20" s="116"/>
      <c r="U20" s="116"/>
      <c r="V20" s="116"/>
      <c r="W20" s="116"/>
      <c r="X20" s="99"/>
    </row>
    <row r="21" spans="1:24" ht="24.6" customHeight="1">
      <c r="A21" s="99"/>
      <c r="B21" s="998"/>
      <c r="C21" s="516" t="s">
        <v>303</v>
      </c>
      <c r="D21" s="517">
        <f>'7. Watercourses'!P5</f>
        <v>0</v>
      </c>
      <c r="E21" s="518" t="e" cm="1">
        <f t="array" ref="E21">_xlfn.IFS(D21&gt;=F13,"✓",D21&lt;0,"▲", D21&lt;F13,"⚠")</f>
        <v>#VALUE!</v>
      </c>
      <c r="F21" s="482" t="e">
        <f>F13/D13</f>
        <v>#VALUE!</v>
      </c>
      <c r="G21" s="103"/>
      <c r="H21" s="103"/>
      <c r="I21" s="103"/>
      <c r="J21" s="103"/>
      <c r="K21" s="103"/>
      <c r="L21" s="103"/>
      <c r="M21" s="103"/>
      <c r="N21" s="103"/>
      <c r="O21" s="103"/>
      <c r="P21" s="103"/>
      <c r="Q21" s="118"/>
      <c r="R21" s="103"/>
      <c r="S21" s="116"/>
      <c r="T21" s="116"/>
      <c r="U21" s="116"/>
      <c r="V21" s="116"/>
      <c r="W21" s="116"/>
      <c r="X21" s="99"/>
    </row>
    <row r="22" spans="1:24" ht="24.6" customHeight="1">
      <c r="A22" s="99"/>
      <c r="B22" s="101"/>
      <c r="C22" s="190"/>
      <c r="D22" s="109"/>
      <c r="E22" s="109"/>
      <c r="F22" s="480"/>
      <c r="G22" s="103"/>
      <c r="H22" s="103"/>
      <c r="I22" s="103"/>
      <c r="J22" s="103"/>
      <c r="K22" s="103"/>
      <c r="L22" s="103"/>
      <c r="M22" s="103"/>
      <c r="N22" s="103"/>
      <c r="O22" s="103"/>
      <c r="P22" s="103"/>
      <c r="Q22" s="118"/>
      <c r="R22" s="103"/>
      <c r="S22" s="116"/>
      <c r="T22" s="116"/>
      <c r="U22" s="116"/>
      <c r="V22" s="116"/>
      <c r="W22" s="116"/>
      <c r="X22" s="99"/>
    </row>
    <row r="23" spans="1:24" ht="24.6" customHeight="1">
      <c r="A23" s="99"/>
      <c r="B23" s="667" t="s">
        <v>307</v>
      </c>
      <c r="C23" s="514" t="s">
        <v>301</v>
      </c>
      <c r="D23" s="523">
        <f>IF(D11="Zero Units Baseline","% target not appropriate",D19/D11)</f>
        <v>-9.7493131435090211E-2</v>
      </c>
      <c r="E23" s="524" t="str" cm="1">
        <f t="array" ref="E23">_xlfn.IFS(D23&gt;=F19,"✓",D23&lt;0,"▲", D23&lt;F19,"⚠")</f>
        <v>▲</v>
      </c>
      <c r="F23" s="480">
        <f>$D$23*100</f>
        <v>-9.7493131435090206</v>
      </c>
      <c r="G23" s="103"/>
      <c r="H23" s="103"/>
      <c r="I23" s="103"/>
      <c r="J23" s="103"/>
      <c r="K23" s="103"/>
      <c r="L23" s="103"/>
      <c r="M23" s="103"/>
      <c r="N23" s="103"/>
      <c r="O23" s="103"/>
      <c r="P23" s="103"/>
      <c r="Q23" s="118"/>
      <c r="R23" s="103"/>
      <c r="S23" s="116"/>
      <c r="T23" s="116"/>
      <c r="U23" s="116"/>
      <c r="V23" s="116"/>
      <c r="W23" s="116"/>
      <c r="X23" s="99"/>
    </row>
    <row r="24" spans="1:24" ht="24.6" customHeight="1">
      <c r="A24" s="99"/>
      <c r="B24" s="999"/>
      <c r="C24" s="515" t="s">
        <v>302</v>
      </c>
      <c r="D24" s="525" t="str">
        <f>IF(D12="Zero Units Baseline","% target not appropriate",D20/D12)</f>
        <v>% target not appropriate</v>
      </c>
      <c r="E24" s="526" t="e" cm="1">
        <f t="array" ref="E24">_xlfn.IFS(D24&gt;=F20,"✓",D24&lt;0,"▲", D24&lt;F20,"⚠")</f>
        <v>#VALUE!</v>
      </c>
      <c r="F24" s="480" t="e">
        <f>$D$24*100</f>
        <v>#VALUE!</v>
      </c>
      <c r="G24" s="103"/>
      <c r="H24" s="103"/>
      <c r="I24" s="103"/>
      <c r="J24" s="103"/>
      <c r="K24" s="103"/>
      <c r="L24" s="103"/>
      <c r="M24" s="103"/>
      <c r="N24" s="103"/>
      <c r="O24" s="103"/>
      <c r="P24" s="103"/>
      <c r="Q24" s="118"/>
      <c r="R24" s="103"/>
      <c r="S24" s="116"/>
      <c r="T24" s="116"/>
      <c r="U24" s="116"/>
      <c r="V24" s="116"/>
      <c r="W24" s="116"/>
      <c r="X24" s="99"/>
    </row>
    <row r="25" spans="1:24" ht="24.6" customHeight="1">
      <c r="A25" s="99"/>
      <c r="B25" s="1000"/>
      <c r="C25" s="516" t="s">
        <v>303</v>
      </c>
      <c r="D25" s="527" t="str">
        <f>IF(D13="Zero Units Baseline","% target not appropriate",D21/D13)</f>
        <v>% target not appropriate</v>
      </c>
      <c r="E25" s="528" t="e" cm="1">
        <f t="array" ref="E25">_xlfn.IFS(D25&gt;=F21,"✓",D25&lt;0,"▲", D25&lt;F21,"⚠")</f>
        <v>#VALUE!</v>
      </c>
      <c r="F25" s="480" t="e">
        <f>$D$25*100</f>
        <v>#VALUE!</v>
      </c>
      <c r="G25" s="103"/>
      <c r="H25" s="103"/>
      <c r="I25" s="103"/>
      <c r="J25" s="103"/>
      <c r="K25" s="103"/>
      <c r="L25" s="103"/>
      <c r="M25" s="103"/>
      <c r="N25" s="103"/>
      <c r="O25" s="103"/>
      <c r="P25" s="103"/>
      <c r="Q25" s="118"/>
      <c r="R25" s="103"/>
      <c r="S25" s="116"/>
      <c r="T25" s="116"/>
      <c r="U25" s="116"/>
      <c r="V25" s="116"/>
      <c r="W25" s="116"/>
      <c r="X25" s="99"/>
    </row>
    <row r="26" spans="1:24" ht="24.6" customHeight="1">
      <c r="A26" s="99"/>
      <c r="B26" s="99"/>
      <c r="C26" s="99"/>
      <c r="D26" s="206"/>
      <c r="E26" s="206"/>
      <c r="F26" s="480"/>
      <c r="G26" s="103"/>
      <c r="H26" s="103"/>
      <c r="I26" s="103"/>
      <c r="J26" s="103"/>
      <c r="K26" s="103"/>
      <c r="L26" s="103"/>
      <c r="M26" s="103"/>
      <c r="N26" s="103"/>
      <c r="O26" s="103"/>
      <c r="P26" s="103"/>
      <c r="Q26" s="118"/>
      <c r="R26" s="103"/>
      <c r="S26" s="116"/>
      <c r="T26" s="116"/>
      <c r="U26" s="116"/>
      <c r="V26" s="116"/>
      <c r="W26" s="116"/>
      <c r="X26" s="99"/>
    </row>
    <row r="27" spans="1:24" ht="24.6" customHeight="1">
      <c r="A27" s="99"/>
      <c r="B27" s="983" t="s">
        <v>308</v>
      </c>
      <c r="C27" s="984"/>
      <c r="D27" s="985">
        <f>IFERROR(IF(D11="Zero Units Baseline",IF('2. Site Details'!D17&lt;=D15,0,'2. Site Details'!D17-D15),(IF((D11*(1+('2. Site Details'!D13/100)))-D15&lt;0,0,F15-D15))),"")</f>
        <v>5.9513346500000064E-2</v>
      </c>
      <c r="E27" s="986"/>
      <c r="F27" s="480"/>
      <c r="G27" s="103"/>
      <c r="H27" s="103"/>
      <c r="I27" s="103"/>
      <c r="J27" s="103"/>
      <c r="K27" s="103"/>
      <c r="L27" s="103"/>
      <c r="M27" s="103"/>
      <c r="N27" s="103"/>
      <c r="O27" s="103"/>
      <c r="P27" s="103"/>
      <c r="Q27" s="118"/>
      <c r="R27" s="103"/>
      <c r="S27" s="116"/>
      <c r="T27" s="116"/>
      <c r="U27" s="116"/>
      <c r="V27" s="116"/>
      <c r="W27" s="116"/>
      <c r="X27" s="99"/>
    </row>
    <row r="28" spans="1:24" ht="24.6" customHeight="1">
      <c r="A28" s="99"/>
      <c r="B28" s="987" t="s">
        <v>309</v>
      </c>
      <c r="C28" s="988"/>
      <c r="D28" s="989">
        <f>IFERROR(IF(D12="Zero Units Baseline",IF('2. Site Details'!D18&lt;=D16,0,'2. Site Details'!D18-D16),(IF((D12*(1+('2. Site Details'!D14/100)))-D16&lt;0,0,F16-D16))),"")</f>
        <v>0</v>
      </c>
      <c r="E28" s="990"/>
      <c r="F28" s="480"/>
      <c r="G28" s="201"/>
      <c r="H28" s="103"/>
      <c r="I28" s="103"/>
      <c r="J28" s="103"/>
      <c r="K28" s="103"/>
      <c r="L28" s="103"/>
      <c r="M28" s="103"/>
      <c r="N28" s="103"/>
      <c r="O28" s="103"/>
      <c r="P28" s="103"/>
      <c r="Q28" s="118"/>
      <c r="R28" s="103"/>
      <c r="S28" s="116"/>
      <c r="T28" s="116"/>
      <c r="U28" s="116"/>
      <c r="V28" s="116"/>
      <c r="W28" s="116"/>
      <c r="X28" s="99"/>
    </row>
    <row r="29" spans="1:24" ht="24.6" customHeight="1">
      <c r="A29" s="99"/>
      <c r="B29" s="991" t="s">
        <v>310</v>
      </c>
      <c r="C29" s="992"/>
      <c r="D29" s="993">
        <f>IFERROR(IF(D13="Zero Units Baseline",IF('2. Site Details'!D19&lt;=D17,0,'2. Site Details'!D19-D17),(IF((D13*(1+('2. Site Details'!D15/100)))-D17&lt;0,0,F17-D17))),"")</f>
        <v>0</v>
      </c>
      <c r="E29" s="994"/>
      <c r="F29" s="480"/>
      <c r="G29" s="103"/>
      <c r="H29" s="103"/>
      <c r="I29" s="103"/>
      <c r="J29" s="103"/>
      <c r="K29" s="103"/>
      <c r="L29" s="103"/>
      <c r="M29" s="103"/>
      <c r="N29" s="103"/>
      <c r="O29" s="103"/>
      <c r="P29" s="103"/>
      <c r="Q29" s="118"/>
      <c r="R29" s="103"/>
      <c r="S29" s="116"/>
      <c r="T29" s="116"/>
      <c r="U29" s="116"/>
      <c r="V29" s="116"/>
      <c r="W29" s="116"/>
      <c r="X29" s="99"/>
    </row>
    <row r="30" spans="1:24" ht="10.15" customHeight="1">
      <c r="A30" s="99"/>
      <c r="B30" s="99"/>
      <c r="C30" s="99"/>
      <c r="D30" s="206"/>
      <c r="E30" s="206"/>
      <c r="F30" s="480"/>
      <c r="G30" s="103"/>
      <c r="H30" s="103"/>
      <c r="I30" s="103"/>
      <c r="J30" s="103"/>
      <c r="K30" s="103"/>
      <c r="L30" s="103"/>
      <c r="M30" s="103"/>
      <c r="N30" s="103"/>
      <c r="O30" s="103"/>
      <c r="P30" s="103"/>
      <c r="Q30" s="118"/>
      <c r="R30" s="103"/>
      <c r="S30" s="116"/>
      <c r="T30" s="116"/>
      <c r="U30" s="116"/>
      <c r="V30" s="116"/>
      <c r="W30" s="116"/>
      <c r="X30" s="99"/>
    </row>
    <row r="31" spans="1:24" ht="19.899999999999999" customHeight="1">
      <c r="A31" s="99"/>
      <c r="B31" s="120"/>
      <c r="C31" s="99"/>
      <c r="D31" s="206"/>
      <c r="E31" s="206"/>
      <c r="F31" s="480"/>
      <c r="G31" s="103"/>
      <c r="H31" s="103"/>
      <c r="I31" s="103"/>
      <c r="J31" s="103"/>
      <c r="K31" s="103"/>
      <c r="L31" s="103"/>
      <c r="M31" s="103"/>
      <c r="N31" s="103"/>
      <c r="O31" s="103"/>
      <c r="P31" s="103"/>
      <c r="Q31" s="118"/>
      <c r="R31" s="103"/>
      <c r="S31" s="116"/>
      <c r="T31" s="116"/>
      <c r="U31" s="116"/>
      <c r="V31" s="116"/>
      <c r="W31" s="116"/>
      <c r="X31" s="99"/>
    </row>
    <row r="32" spans="1:24" ht="9" customHeight="1">
      <c r="A32" s="99"/>
      <c r="B32" s="99"/>
      <c r="C32" s="99"/>
      <c r="D32" s="206"/>
      <c r="E32" s="206"/>
      <c r="F32" s="480"/>
      <c r="G32" s="99"/>
      <c r="H32" s="103"/>
      <c r="I32" s="103"/>
      <c r="J32" s="103"/>
      <c r="K32" s="103"/>
      <c r="L32" s="103"/>
      <c r="M32" s="103"/>
      <c r="N32" s="103"/>
      <c r="O32" s="103"/>
      <c r="P32" s="103"/>
      <c r="Q32" s="118"/>
      <c r="R32" s="103"/>
      <c r="S32" s="116"/>
      <c r="T32" s="116"/>
      <c r="U32" s="116"/>
      <c r="V32" s="116"/>
      <c r="W32" s="116"/>
      <c r="X32" s="99"/>
    </row>
    <row r="33" spans="1:24" ht="23.65" customHeight="1">
      <c r="A33" s="99"/>
      <c r="B33" s="120" t="s">
        <v>311</v>
      </c>
      <c r="C33" s="99"/>
      <c r="D33" s="206"/>
      <c r="E33" s="206"/>
      <c r="F33" s="480"/>
      <c r="G33" s="103"/>
      <c r="H33" s="103"/>
      <c r="I33" s="103"/>
      <c r="J33" s="103"/>
      <c r="K33" s="103"/>
      <c r="L33" s="103"/>
      <c r="M33" s="103"/>
      <c r="N33" s="103"/>
      <c r="O33" s="103"/>
      <c r="P33" s="103"/>
      <c r="Q33" s="118"/>
      <c r="R33" s="103"/>
      <c r="S33" s="99"/>
      <c r="T33" s="99"/>
      <c r="U33" s="99"/>
      <c r="V33" s="99"/>
      <c r="W33" s="99"/>
      <c r="X33" s="99"/>
    </row>
    <row r="34" spans="1:24" s="119" customFormat="1" ht="23.65" customHeight="1">
      <c r="A34" s="103"/>
      <c r="B34" s="120"/>
      <c r="C34" s="99"/>
      <c r="D34" s="206"/>
      <c r="E34" s="206"/>
      <c r="F34" s="480"/>
      <c r="G34" s="99"/>
      <c r="H34" s="99"/>
      <c r="I34" s="99"/>
      <c r="J34" s="99"/>
      <c r="K34" s="99"/>
      <c r="L34" s="99"/>
      <c r="M34" s="99"/>
      <c r="N34" s="99"/>
      <c r="O34" s="99"/>
      <c r="P34" s="103"/>
      <c r="Q34" s="118"/>
      <c r="R34" s="103"/>
      <c r="S34" s="103"/>
      <c r="T34" s="103"/>
      <c r="U34" s="103"/>
      <c r="V34" s="103"/>
      <c r="W34" s="103"/>
      <c r="X34" s="103"/>
    </row>
    <row r="35" spans="1:24" s="119" customFormat="1" ht="23.65" customHeight="1">
      <c r="A35" s="103"/>
      <c r="B35" s="99"/>
      <c r="C35" s="99" t="s">
        <v>312</v>
      </c>
      <c r="D35" s="99" t="s">
        <v>313</v>
      </c>
      <c r="E35" s="116"/>
      <c r="F35" s="480"/>
      <c r="G35" s="99"/>
      <c r="H35" s="99"/>
      <c r="I35" s="99"/>
      <c r="J35" s="99"/>
      <c r="K35" s="99"/>
      <c r="L35" s="99"/>
      <c r="M35" s="99"/>
      <c r="N35" s="99"/>
      <c r="O35" s="99"/>
      <c r="P35" s="103"/>
      <c r="Q35" s="118"/>
      <c r="R35" s="103"/>
      <c r="S35" s="103"/>
      <c r="T35" s="103"/>
      <c r="U35" s="103"/>
      <c r="V35" s="103"/>
      <c r="W35" s="103"/>
      <c r="X35" s="103"/>
    </row>
    <row r="36" spans="1:24" ht="23.65" customHeight="1">
      <c r="A36" s="99"/>
      <c r="B36" s="380" t="s">
        <v>301</v>
      </c>
      <c r="C36" s="115">
        <f>IF(D11="Zero Units Baseline",0,D11)</f>
        <v>0.30134388000000001</v>
      </c>
      <c r="D36" s="115">
        <f>D15</f>
        <v>0.27196492149999996</v>
      </c>
      <c r="E36" s="116"/>
      <c r="F36" s="480"/>
      <c r="G36" s="99"/>
      <c r="H36" s="99"/>
      <c r="I36" s="99"/>
      <c r="J36" s="99"/>
      <c r="K36" s="99"/>
      <c r="L36" s="99"/>
      <c r="M36" s="99"/>
      <c r="N36" s="99"/>
      <c r="O36" s="99"/>
      <c r="P36" s="99"/>
      <c r="Q36" s="118"/>
      <c r="R36" s="103"/>
      <c r="S36" s="103"/>
      <c r="T36" s="103"/>
      <c r="U36" s="103"/>
      <c r="V36" s="103"/>
      <c r="W36" s="103"/>
      <c r="X36" s="99"/>
    </row>
    <row r="37" spans="1:24" ht="23.65" customHeight="1">
      <c r="A37" s="99"/>
      <c r="B37" s="380" t="s">
        <v>302</v>
      </c>
      <c r="C37" s="115">
        <f>IF(D12="Zero Units Baseline",0,D12)</f>
        <v>0</v>
      </c>
      <c r="D37" s="115">
        <f>D16</f>
        <v>0</v>
      </c>
      <c r="E37" s="116"/>
      <c r="F37" s="480"/>
      <c r="G37" s="99"/>
      <c r="H37" s="99"/>
      <c r="I37" s="99"/>
      <c r="J37" s="99"/>
      <c r="K37" s="99"/>
      <c r="L37" s="99"/>
      <c r="M37" s="99"/>
      <c r="N37" s="99"/>
      <c r="O37" s="99"/>
      <c r="P37" s="99"/>
      <c r="Q37" s="118"/>
      <c r="R37" s="103"/>
      <c r="S37" s="103"/>
      <c r="T37" s="103"/>
      <c r="U37" s="103"/>
      <c r="V37" s="103"/>
      <c r="W37" s="103"/>
      <c r="X37" s="99"/>
    </row>
    <row r="38" spans="1:24" ht="23.65" customHeight="1">
      <c r="A38" s="99"/>
      <c r="B38" s="380" t="s">
        <v>314</v>
      </c>
      <c r="C38" s="115">
        <f>IF(D13="Zero Units Baseline",0,D13)</f>
        <v>0</v>
      </c>
      <c r="D38" s="115">
        <f>D17</f>
        <v>0</v>
      </c>
      <c r="E38" s="116"/>
      <c r="F38" s="480"/>
      <c r="G38" s="99"/>
      <c r="H38" s="99"/>
      <c r="I38" s="99"/>
      <c r="J38" s="99"/>
      <c r="K38" s="99"/>
      <c r="L38" s="99"/>
      <c r="M38" s="99"/>
      <c r="N38" s="99"/>
      <c r="O38" s="99"/>
      <c r="P38" s="99"/>
      <c r="Q38" s="118"/>
      <c r="R38" s="103"/>
      <c r="S38" s="103"/>
      <c r="T38" s="103"/>
      <c r="U38" s="103"/>
      <c r="V38" s="103"/>
      <c r="W38" s="103"/>
      <c r="X38" s="99"/>
    </row>
    <row r="39" spans="1:24" ht="23.65" customHeight="1">
      <c r="A39" s="99"/>
      <c r="B39" s="120"/>
      <c r="C39" s="99"/>
      <c r="D39" s="206"/>
      <c r="E39" s="206"/>
      <c r="F39" s="480"/>
      <c r="G39" s="99"/>
      <c r="H39" s="99"/>
      <c r="I39" s="99"/>
      <c r="J39" s="99"/>
      <c r="K39" s="99"/>
      <c r="L39" s="99"/>
      <c r="M39" s="99"/>
      <c r="N39" s="99"/>
      <c r="O39" s="99"/>
      <c r="P39" s="99"/>
      <c r="Q39" s="118"/>
      <c r="R39" s="103"/>
      <c r="S39" s="103"/>
      <c r="T39" s="103"/>
      <c r="U39" s="103"/>
      <c r="V39" s="103"/>
      <c r="W39" s="103"/>
      <c r="X39" s="99"/>
    </row>
    <row r="40" spans="1:24" ht="23.65" customHeight="1">
      <c r="A40" s="99"/>
      <c r="B40" s="120"/>
      <c r="C40" s="99"/>
      <c r="D40" s="206"/>
      <c r="E40" s="206"/>
      <c r="F40" s="480"/>
      <c r="G40" s="99"/>
      <c r="H40" s="99"/>
      <c r="I40" s="99"/>
      <c r="J40" s="99"/>
      <c r="K40" s="99"/>
      <c r="L40" s="99"/>
      <c r="M40" s="99"/>
      <c r="N40" s="99"/>
      <c r="O40" s="99"/>
      <c r="P40" s="99"/>
      <c r="Q40" s="118"/>
      <c r="R40" s="103"/>
      <c r="S40" s="103"/>
      <c r="T40" s="103"/>
      <c r="U40" s="103"/>
      <c r="V40" s="103"/>
      <c r="W40" s="103"/>
      <c r="X40" s="99"/>
    </row>
    <row r="41" spans="1:24" ht="23.65" customHeight="1">
      <c r="A41" s="99"/>
      <c r="B41" s="120"/>
      <c r="C41" s="99"/>
      <c r="D41" s="206"/>
      <c r="E41" s="206"/>
      <c r="F41" s="480"/>
      <c r="G41" s="99"/>
      <c r="H41" s="99"/>
      <c r="I41" s="99"/>
      <c r="J41" s="99"/>
      <c r="K41" s="99"/>
      <c r="L41" s="99"/>
      <c r="M41" s="99"/>
      <c r="N41" s="99"/>
      <c r="O41" s="99"/>
      <c r="P41" s="99"/>
      <c r="Q41" s="118"/>
      <c r="R41" s="103"/>
      <c r="S41" s="103"/>
      <c r="T41" s="103"/>
      <c r="U41" s="103"/>
      <c r="V41" s="103"/>
      <c r="W41" s="103"/>
      <c r="X41" s="99"/>
    </row>
    <row r="42" spans="1:24" ht="23.65" customHeight="1">
      <c r="A42" s="99"/>
      <c r="B42" s="120"/>
      <c r="C42" s="99"/>
      <c r="D42" s="206"/>
      <c r="E42" s="206"/>
      <c r="F42" s="480"/>
      <c r="G42" s="101"/>
      <c r="H42" s="101"/>
      <c r="I42" s="101"/>
      <c r="J42" s="101"/>
      <c r="K42" s="101"/>
      <c r="L42" s="101"/>
      <c r="M42" s="102"/>
      <c r="N42" s="102"/>
      <c r="O42" s="99"/>
      <c r="P42" s="99"/>
      <c r="Q42" s="118"/>
      <c r="R42" s="103"/>
      <c r="S42" s="103"/>
      <c r="T42" s="103"/>
      <c r="U42" s="103"/>
      <c r="V42" s="103"/>
      <c r="W42" s="103"/>
      <c r="X42" s="99"/>
    </row>
    <row r="43" spans="1:24" ht="23.65" customHeight="1">
      <c r="A43" s="99"/>
      <c r="B43" s="120"/>
      <c r="C43" s="99"/>
      <c r="D43" s="206"/>
      <c r="E43" s="206"/>
      <c r="F43" s="480"/>
      <c r="G43" s="99"/>
      <c r="H43" s="99"/>
      <c r="I43" s="99"/>
      <c r="J43" s="99"/>
      <c r="K43" s="99"/>
      <c r="L43" s="99"/>
      <c r="M43" s="99"/>
      <c r="N43" s="99"/>
      <c r="O43" s="99"/>
      <c r="P43" s="99"/>
      <c r="Q43" s="99"/>
      <c r="R43" s="99"/>
      <c r="S43" s="99"/>
      <c r="T43" s="99"/>
      <c r="U43" s="99"/>
      <c r="V43" s="99"/>
      <c r="W43" s="99"/>
      <c r="X43" s="99"/>
    </row>
    <row r="44" spans="1:24" ht="36.75" customHeight="1">
      <c r="A44" s="99"/>
      <c r="B44" s="120"/>
      <c r="C44" s="99"/>
      <c r="D44" s="206"/>
      <c r="E44" s="206"/>
      <c r="F44" s="480"/>
      <c r="G44" s="99"/>
      <c r="H44" s="99"/>
      <c r="I44" s="99"/>
      <c r="J44" s="99"/>
      <c r="K44" s="99"/>
      <c r="L44" s="99"/>
      <c r="M44" s="99"/>
      <c r="N44" s="99"/>
      <c r="O44" s="99"/>
      <c r="P44" s="99"/>
      <c r="Q44" s="99"/>
      <c r="R44" s="99"/>
      <c r="S44" s="99"/>
      <c r="T44" s="99"/>
      <c r="U44" s="99"/>
      <c r="V44" s="99"/>
      <c r="W44" s="99"/>
      <c r="X44" s="99"/>
    </row>
    <row r="45" spans="1:24" ht="21" customHeight="1">
      <c r="A45" s="99"/>
      <c r="B45" s="120"/>
      <c r="C45" s="99"/>
      <c r="D45" s="206"/>
      <c r="E45" s="206"/>
      <c r="F45" s="480"/>
      <c r="G45" s="99"/>
      <c r="H45" s="99"/>
      <c r="I45" s="99"/>
      <c r="J45" s="99"/>
      <c r="K45" s="99"/>
      <c r="L45" s="99"/>
      <c r="M45" s="99"/>
      <c r="N45" s="99"/>
      <c r="O45" s="99"/>
      <c r="P45" s="99"/>
      <c r="Q45" s="99"/>
      <c r="R45" s="99"/>
      <c r="S45" s="99"/>
      <c r="T45" s="99"/>
      <c r="U45" s="99"/>
      <c r="V45" s="99"/>
      <c r="W45" s="99"/>
      <c r="X45" s="99"/>
    </row>
    <row r="46" spans="1:24" s="119" customFormat="1" ht="21" customHeight="1">
      <c r="A46" s="103"/>
      <c r="B46" s="120"/>
      <c r="C46" s="99"/>
      <c r="D46" s="206"/>
      <c r="E46" s="206"/>
      <c r="F46" s="480"/>
      <c r="G46" s="120"/>
      <c r="H46" s="103"/>
      <c r="I46" s="103"/>
      <c r="J46" s="103"/>
      <c r="K46" s="103"/>
      <c r="L46" s="103"/>
      <c r="M46" s="103"/>
      <c r="N46" s="103"/>
      <c r="O46" s="103"/>
      <c r="P46" s="103"/>
      <c r="Q46" s="103"/>
      <c r="R46" s="103"/>
      <c r="S46" s="103"/>
      <c r="T46" s="103"/>
      <c r="U46" s="103"/>
      <c r="V46" s="103"/>
      <c r="W46" s="103"/>
      <c r="X46" s="103"/>
    </row>
    <row r="47" spans="1:24" s="119" customFormat="1" ht="21" customHeight="1">
      <c r="A47" s="103"/>
      <c r="B47" s="120"/>
      <c r="C47" s="99"/>
      <c r="D47" s="206"/>
      <c r="E47" s="206"/>
      <c r="F47" s="480"/>
      <c r="G47" s="120"/>
      <c r="H47" s="103"/>
      <c r="I47" s="103"/>
      <c r="J47" s="103"/>
      <c r="K47" s="103"/>
      <c r="L47" s="103"/>
      <c r="M47" s="103"/>
      <c r="N47" s="103"/>
      <c r="O47" s="103"/>
      <c r="P47" s="103"/>
      <c r="Q47" s="103"/>
      <c r="R47" s="103"/>
      <c r="S47" s="103"/>
      <c r="T47" s="103"/>
      <c r="U47" s="103"/>
      <c r="V47" s="103"/>
      <c r="W47" s="103"/>
      <c r="X47" s="103"/>
    </row>
    <row r="48" spans="1:24" s="119" customFormat="1" ht="21" customHeight="1">
      <c r="A48" s="103"/>
      <c r="B48" s="120"/>
      <c r="C48" s="99"/>
      <c r="D48" s="206"/>
      <c r="E48" s="206"/>
      <c r="F48" s="480"/>
      <c r="G48" s="120"/>
      <c r="H48" s="103"/>
      <c r="I48" s="103"/>
      <c r="J48" s="103"/>
      <c r="K48" s="103"/>
      <c r="L48" s="103"/>
      <c r="M48" s="103"/>
      <c r="N48" s="103"/>
      <c r="O48" s="103"/>
      <c r="P48" s="103"/>
      <c r="Q48" s="103"/>
      <c r="R48" s="103"/>
      <c r="S48" s="103"/>
      <c r="T48" s="103"/>
      <c r="U48" s="103"/>
      <c r="V48" s="103"/>
      <c r="W48" s="103"/>
      <c r="X48" s="103"/>
    </row>
    <row r="49" spans="1:24" ht="23.65" customHeight="1">
      <c r="A49" s="99"/>
      <c r="B49" s="120"/>
      <c r="C49" s="99"/>
      <c r="D49" s="206"/>
      <c r="E49" s="206"/>
      <c r="F49" s="480"/>
      <c r="G49" s="120"/>
      <c r="H49" s="103"/>
      <c r="I49" s="103"/>
      <c r="J49" s="103"/>
      <c r="K49" s="103"/>
      <c r="L49" s="103"/>
      <c r="M49" s="99"/>
      <c r="N49" s="99"/>
      <c r="O49" s="99"/>
      <c r="P49" s="99"/>
      <c r="Q49" s="179"/>
      <c r="R49" s="179"/>
      <c r="S49" s="179"/>
      <c r="T49" s="179"/>
      <c r="U49" s="179"/>
      <c r="V49" s="179"/>
      <c r="W49" s="179"/>
      <c r="X49" s="179"/>
    </row>
    <row r="50" spans="1:24" ht="18" customHeight="1">
      <c r="A50" s="99"/>
      <c r="B50" s="99"/>
      <c r="C50" s="103"/>
      <c r="D50" s="103"/>
      <c r="E50" s="103"/>
      <c r="F50" s="480"/>
      <c r="G50" s="120"/>
      <c r="H50" s="103"/>
      <c r="I50" s="103"/>
      <c r="J50" s="103"/>
      <c r="K50" s="103"/>
      <c r="L50" s="103"/>
      <c r="M50" s="99"/>
      <c r="N50" s="99"/>
      <c r="O50" s="99"/>
      <c r="P50" s="99"/>
      <c r="Q50" s="179"/>
      <c r="R50" s="179"/>
      <c r="S50" s="179"/>
      <c r="T50" s="179"/>
      <c r="U50" s="179"/>
      <c r="V50" s="179"/>
      <c r="W50" s="179"/>
      <c r="X50" s="179"/>
    </row>
    <row r="51" spans="1:24" ht="18.600000000000001" customHeight="1">
      <c r="A51" s="99"/>
      <c r="B51" s="99"/>
      <c r="C51" s="103"/>
      <c r="D51" s="103"/>
      <c r="E51" s="103"/>
      <c r="F51" s="480"/>
      <c r="G51" s="120"/>
      <c r="H51" s="103"/>
      <c r="I51" s="103"/>
      <c r="J51" s="103"/>
      <c r="K51" s="103"/>
      <c r="L51" s="103"/>
      <c r="M51" s="99"/>
      <c r="N51" s="99"/>
      <c r="O51" s="99"/>
      <c r="P51" s="99"/>
      <c r="Q51" s="99"/>
      <c r="R51" s="99"/>
      <c r="S51" s="99"/>
      <c r="T51" s="99"/>
      <c r="U51" s="99"/>
      <c r="V51" s="99"/>
      <c r="W51" s="99"/>
      <c r="X51" s="99"/>
    </row>
    <row r="52" spans="1:24" ht="18.600000000000001" hidden="1" customHeight="1">
      <c r="A52" s="99"/>
      <c r="B52" s="99"/>
      <c r="C52" s="103"/>
      <c r="D52" s="103"/>
      <c r="E52" s="103"/>
      <c r="F52" s="483"/>
      <c r="G52" s="120"/>
      <c r="H52" s="103"/>
      <c r="I52" s="103"/>
      <c r="J52" s="103"/>
      <c r="K52" s="103"/>
      <c r="L52" s="103"/>
      <c r="M52" s="99"/>
      <c r="N52" s="99"/>
      <c r="O52" s="99"/>
      <c r="P52" s="99"/>
      <c r="Q52" s="100"/>
      <c r="R52" s="99"/>
      <c r="S52" s="99"/>
      <c r="T52" s="99"/>
      <c r="U52" s="99"/>
      <c r="V52" s="99"/>
      <c r="W52" s="99"/>
      <c r="X52" s="99"/>
    </row>
    <row r="53" spans="1:24" ht="18.600000000000001" hidden="1" customHeight="1">
      <c r="A53" s="99"/>
      <c r="B53" s="99"/>
      <c r="C53" s="103"/>
      <c r="D53" s="103"/>
      <c r="E53" s="103"/>
      <c r="F53" s="483"/>
      <c r="G53" s="120"/>
      <c r="H53" s="103"/>
      <c r="I53" s="103"/>
      <c r="J53" s="103"/>
      <c r="K53" s="103"/>
      <c r="L53" s="103"/>
      <c r="M53" s="99"/>
      <c r="N53" s="99"/>
      <c r="O53" s="99"/>
      <c r="P53" s="99"/>
      <c r="Q53" s="99"/>
      <c r="R53" s="99"/>
      <c r="S53" s="99"/>
      <c r="T53" s="99"/>
      <c r="U53" s="99"/>
      <c r="V53" s="99"/>
      <c r="W53" s="99"/>
      <c r="X53" s="99"/>
    </row>
    <row r="54" spans="1:24" ht="18" hidden="1" customHeight="1">
      <c r="A54" s="99"/>
      <c r="B54" s="99"/>
      <c r="C54" s="103"/>
      <c r="D54" s="103"/>
      <c r="E54" s="103"/>
      <c r="F54" s="483"/>
      <c r="G54" s="120"/>
      <c r="H54" s="103"/>
      <c r="I54" s="103"/>
      <c r="J54" s="103"/>
      <c r="K54" s="103"/>
      <c r="L54" s="103"/>
      <c r="M54" s="99"/>
      <c r="N54" s="99"/>
      <c r="O54" s="99"/>
      <c r="P54" s="99"/>
      <c r="Q54" s="99"/>
      <c r="R54" s="99"/>
      <c r="S54" s="99"/>
      <c r="T54" s="99"/>
      <c r="U54" s="99"/>
      <c r="V54" s="99"/>
      <c r="W54" s="99"/>
      <c r="X54" s="99"/>
    </row>
    <row r="55" spans="1:24" ht="18.600000000000001" hidden="1" customHeight="1">
      <c r="A55" s="99"/>
      <c r="B55" s="99"/>
      <c r="C55" s="103"/>
      <c r="D55" s="103"/>
      <c r="E55" s="103"/>
      <c r="F55" s="483"/>
      <c r="G55" s="120"/>
      <c r="H55" s="103"/>
      <c r="I55" s="103"/>
      <c r="J55" s="103"/>
      <c r="K55" s="103"/>
      <c r="L55" s="103"/>
      <c r="M55" s="99"/>
      <c r="N55" s="99"/>
      <c r="O55" s="99"/>
      <c r="P55" s="99"/>
      <c r="Q55" s="99"/>
      <c r="R55" s="99"/>
      <c r="S55" s="99"/>
      <c r="T55" s="99"/>
      <c r="U55" s="99"/>
      <c r="V55" s="99"/>
      <c r="W55" s="99"/>
      <c r="X55" s="99"/>
    </row>
    <row r="56" spans="1:24" ht="18.600000000000001" hidden="1" customHeight="1">
      <c r="A56" s="99"/>
      <c r="B56" s="99"/>
      <c r="C56" s="103"/>
      <c r="D56" s="103"/>
      <c r="E56" s="103"/>
      <c r="F56" s="483"/>
      <c r="G56" s="120"/>
      <c r="H56" s="103"/>
      <c r="I56" s="103"/>
      <c r="J56" s="103"/>
      <c r="K56" s="103"/>
      <c r="L56" s="103"/>
      <c r="M56" s="99"/>
      <c r="N56" s="99"/>
      <c r="O56" s="99"/>
      <c r="P56" s="99"/>
      <c r="Q56" s="99"/>
      <c r="R56" s="99"/>
      <c r="S56" s="99"/>
      <c r="T56" s="99"/>
      <c r="U56" s="99"/>
      <c r="V56" s="99"/>
      <c r="W56" s="99"/>
      <c r="X56" s="99"/>
    </row>
    <row r="57" spans="1:24" ht="18" hidden="1" customHeight="1">
      <c r="A57" s="99"/>
      <c r="B57" s="99"/>
      <c r="C57" s="103"/>
      <c r="D57" s="103"/>
      <c r="E57" s="103"/>
      <c r="F57" s="483"/>
      <c r="G57" s="120"/>
      <c r="H57" s="103"/>
      <c r="I57" s="103"/>
      <c r="J57" s="103"/>
      <c r="K57" s="103"/>
      <c r="L57" s="103"/>
      <c r="M57" s="99"/>
      <c r="N57" s="99"/>
      <c r="O57" s="99"/>
      <c r="P57" s="99"/>
      <c r="Q57" s="99"/>
      <c r="R57" s="99"/>
      <c r="S57" s="99"/>
      <c r="T57" s="99"/>
      <c r="U57" s="99"/>
      <c r="V57" s="99"/>
      <c r="W57" s="99"/>
      <c r="X57" s="99"/>
    </row>
    <row r="58" spans="1:24" ht="18.600000000000001" hidden="1" customHeight="1">
      <c r="A58" s="99"/>
      <c r="B58" s="99"/>
      <c r="C58" s="103"/>
      <c r="D58" s="103"/>
      <c r="E58" s="103"/>
      <c r="F58" s="483"/>
      <c r="G58" s="120"/>
      <c r="H58" s="103"/>
      <c r="I58" s="103"/>
      <c r="J58" s="103"/>
      <c r="K58" s="103"/>
      <c r="L58" s="103"/>
      <c r="M58" s="99"/>
      <c r="N58" s="99"/>
      <c r="O58" s="99"/>
      <c r="P58" s="99"/>
      <c r="Q58" s="99"/>
      <c r="R58" s="99"/>
      <c r="S58" s="99"/>
      <c r="T58" s="99"/>
      <c r="U58" s="99"/>
      <c r="V58" s="99"/>
      <c r="W58" s="99"/>
      <c r="X58" s="99"/>
    </row>
    <row r="59" spans="1:24" ht="18.600000000000001" hidden="1" customHeight="1">
      <c r="A59" s="99"/>
      <c r="B59" s="99"/>
      <c r="C59" s="103"/>
      <c r="D59" s="103"/>
      <c r="E59" s="103"/>
      <c r="F59" s="483"/>
      <c r="G59" s="120"/>
      <c r="H59" s="103"/>
      <c r="I59" s="103"/>
      <c r="J59" s="103"/>
      <c r="K59" s="103"/>
      <c r="L59" s="103"/>
      <c r="M59" s="99"/>
      <c r="N59" s="99"/>
      <c r="O59" s="99"/>
      <c r="P59" s="99"/>
      <c r="Q59" s="99"/>
      <c r="R59" s="99"/>
      <c r="S59" s="99"/>
      <c r="T59" s="99"/>
      <c r="U59" s="99"/>
      <c r="V59" s="99"/>
      <c r="W59" s="99"/>
      <c r="X59" s="99"/>
    </row>
    <row r="60" spans="1:24" ht="18.600000000000001" hidden="1" customHeight="1">
      <c r="A60" s="99"/>
      <c r="B60" s="99"/>
      <c r="C60" s="103"/>
      <c r="D60" s="103"/>
      <c r="E60" s="103"/>
      <c r="F60" s="483"/>
      <c r="G60" s="120"/>
      <c r="H60" s="103"/>
      <c r="I60" s="103"/>
      <c r="J60" s="103"/>
      <c r="K60" s="103"/>
      <c r="L60" s="103"/>
      <c r="M60" s="99"/>
      <c r="N60" s="99"/>
      <c r="O60" s="99"/>
      <c r="P60" s="99"/>
      <c r="Q60" s="99"/>
      <c r="R60" s="99"/>
      <c r="S60" s="99"/>
      <c r="T60" s="99"/>
      <c r="U60" s="99"/>
      <c r="V60" s="99"/>
      <c r="W60" s="99"/>
      <c r="X60" s="99"/>
    </row>
    <row r="61" spans="1:24" ht="18.600000000000001" hidden="1" customHeight="1">
      <c r="A61" s="99"/>
      <c r="B61" s="99"/>
      <c r="C61" s="103"/>
      <c r="D61" s="103"/>
      <c r="E61" s="103"/>
      <c r="F61" s="483"/>
      <c r="G61" s="120"/>
      <c r="H61" s="103"/>
      <c r="I61" s="103"/>
      <c r="J61" s="103"/>
      <c r="K61" s="103"/>
      <c r="L61" s="103"/>
      <c r="M61" s="99"/>
      <c r="N61" s="99"/>
      <c r="O61" s="99"/>
      <c r="P61" s="99"/>
      <c r="Q61" s="99"/>
      <c r="R61" s="99"/>
      <c r="S61" s="99"/>
      <c r="T61" s="99"/>
      <c r="U61" s="99"/>
      <c r="V61" s="99"/>
      <c r="W61" s="99"/>
      <c r="X61" s="99"/>
    </row>
    <row r="62" spans="1:24" ht="15.6" hidden="1" customHeight="1">
      <c r="A62" s="99"/>
      <c r="B62" s="99"/>
      <c r="C62" s="103"/>
      <c r="D62" s="103"/>
      <c r="E62" s="103"/>
      <c r="F62" s="483"/>
      <c r="G62" s="120"/>
      <c r="H62" s="103"/>
      <c r="I62" s="103"/>
      <c r="J62" s="103"/>
      <c r="K62" s="103"/>
      <c r="L62" s="103"/>
      <c r="M62" s="99"/>
      <c r="N62" s="99"/>
      <c r="O62" s="99"/>
      <c r="P62" s="99"/>
      <c r="Q62" s="99"/>
      <c r="R62" s="99"/>
      <c r="S62" s="99"/>
      <c r="T62" s="99"/>
      <c r="U62" s="99"/>
      <c r="V62" s="99"/>
      <c r="W62" s="99"/>
      <c r="X62" s="99"/>
    </row>
    <row r="63" spans="1:24" ht="18" hidden="1" customHeight="1">
      <c r="A63" s="99"/>
      <c r="B63" s="99"/>
      <c r="C63" s="103"/>
      <c r="D63" s="103"/>
      <c r="E63" s="103"/>
      <c r="F63" s="483"/>
      <c r="G63" s="120"/>
      <c r="H63" s="103"/>
      <c r="I63" s="103"/>
      <c r="J63" s="103"/>
      <c r="K63" s="103"/>
      <c r="L63" s="103"/>
      <c r="M63" s="99"/>
      <c r="N63" s="99"/>
      <c r="O63" s="99"/>
      <c r="P63" s="99"/>
      <c r="Q63" s="99"/>
      <c r="R63" s="99"/>
      <c r="S63" s="99"/>
      <c r="T63" s="99"/>
      <c r="U63" s="99"/>
      <c r="V63" s="99"/>
      <c r="W63" s="99"/>
      <c r="X63" s="99"/>
    </row>
    <row r="64" spans="1:24" ht="14.65" hidden="1" customHeight="1">
      <c r="A64" s="99"/>
      <c r="B64" s="99"/>
      <c r="C64" s="103"/>
      <c r="D64" s="103"/>
      <c r="E64" s="103"/>
      <c r="F64" s="479"/>
      <c r="G64" s="175"/>
      <c r="H64" s="175"/>
      <c r="I64" s="175"/>
      <c r="J64" s="175"/>
      <c r="K64" s="99"/>
      <c r="L64" s="99"/>
      <c r="M64" s="99"/>
      <c r="N64" s="99"/>
      <c r="O64" s="99"/>
      <c r="P64" s="99"/>
      <c r="Q64" s="99"/>
      <c r="R64" s="99"/>
      <c r="S64" s="99"/>
      <c r="T64" s="99"/>
      <c r="U64" s="99"/>
      <c r="V64" s="99"/>
      <c r="W64" s="99"/>
      <c r="X64" s="99"/>
    </row>
    <row r="65" spans="1:24" ht="14.65" hidden="1" customHeight="1">
      <c r="A65" s="99"/>
      <c r="B65" s="981" t="s">
        <v>315</v>
      </c>
      <c r="C65" s="200">
        <v>26000</v>
      </c>
      <c r="D65" s="103"/>
      <c r="E65" s="103"/>
      <c r="F65" s="479"/>
      <c r="G65" s="175"/>
      <c r="H65" s="175"/>
      <c r="I65" s="175"/>
      <c r="J65" s="175"/>
      <c r="K65" s="99"/>
      <c r="L65" s="99"/>
      <c r="M65" s="99"/>
      <c r="N65" s="99"/>
      <c r="O65" s="99"/>
      <c r="P65" s="99"/>
      <c r="Q65" s="99"/>
      <c r="R65" s="99"/>
      <c r="S65" s="99"/>
      <c r="T65" s="99"/>
      <c r="U65" s="99"/>
      <c r="V65" s="99"/>
      <c r="W65" s="99"/>
      <c r="X65" s="99"/>
    </row>
    <row r="66" spans="1:24" ht="14.65" hidden="1" customHeight="1">
      <c r="A66" s="99"/>
      <c r="B66" s="981"/>
      <c r="C66" s="199"/>
      <c r="D66" s="99"/>
      <c r="E66" s="99"/>
      <c r="F66" s="479"/>
      <c r="G66" s="175"/>
      <c r="H66" s="175"/>
      <c r="I66" s="175"/>
      <c r="J66" s="175"/>
      <c r="K66" s="99"/>
      <c r="L66" s="99"/>
      <c r="M66" s="99"/>
      <c r="N66" s="99"/>
      <c r="O66" s="99"/>
      <c r="P66" s="99"/>
      <c r="Q66" s="99"/>
      <c r="R66" s="99"/>
      <c r="S66" s="99"/>
      <c r="T66" s="99"/>
      <c r="U66" s="99"/>
      <c r="V66" s="99"/>
      <c r="W66" s="99"/>
      <c r="X66" s="99"/>
    </row>
    <row r="67" spans="1:24" ht="14.65" hidden="1" customHeight="1">
      <c r="A67" s="99"/>
      <c r="B67" s="982"/>
      <c r="C67" s="99"/>
      <c r="D67" s="99"/>
      <c r="E67" s="99"/>
      <c r="F67" s="479"/>
      <c r="G67" s="175"/>
      <c r="H67" s="175"/>
      <c r="I67" s="175"/>
      <c r="J67" s="175"/>
      <c r="K67" s="99"/>
      <c r="L67" s="99"/>
      <c r="M67" s="99"/>
      <c r="N67" s="99"/>
      <c r="O67" s="99"/>
      <c r="P67" s="99"/>
      <c r="Q67" s="99"/>
      <c r="R67" s="99"/>
      <c r="S67" s="99"/>
      <c r="T67" s="99"/>
      <c r="U67" s="99"/>
      <c r="V67" s="99"/>
      <c r="W67" s="99"/>
      <c r="X67" s="99"/>
    </row>
    <row r="68" spans="1:24" ht="14.65" hidden="1" customHeight="1">
      <c r="A68" s="99"/>
      <c r="B68" s="982"/>
      <c r="C68" s="99"/>
      <c r="D68" s="99"/>
      <c r="E68" s="99"/>
      <c r="F68" s="479"/>
      <c r="G68" s="175"/>
      <c r="H68" s="175"/>
      <c r="I68" s="175"/>
      <c r="J68" s="175"/>
      <c r="K68" s="99"/>
      <c r="L68" s="99"/>
      <c r="M68" s="99"/>
      <c r="N68" s="99"/>
      <c r="O68" s="99"/>
      <c r="P68" s="99"/>
      <c r="Q68" s="99"/>
      <c r="R68" s="99"/>
      <c r="S68" s="99"/>
      <c r="T68" s="99"/>
      <c r="U68" s="99"/>
      <c r="V68" s="99"/>
      <c r="W68" s="99"/>
      <c r="X68" s="99"/>
    </row>
    <row r="69" spans="1:24" ht="14.65" hidden="1" customHeight="1">
      <c r="A69" s="99"/>
      <c r="B69" s="99"/>
      <c r="C69" s="99"/>
      <c r="D69" s="99"/>
      <c r="E69" s="99"/>
      <c r="F69" s="479"/>
      <c r="G69" s="175"/>
      <c r="H69" s="175"/>
      <c r="I69" s="175"/>
      <c r="J69" s="175"/>
      <c r="K69" s="99"/>
      <c r="L69" s="99"/>
      <c r="M69" s="99"/>
      <c r="N69" s="99"/>
      <c r="O69" s="99"/>
      <c r="P69" s="99"/>
      <c r="Q69" s="99"/>
      <c r="R69" s="99"/>
      <c r="S69" s="99"/>
      <c r="T69" s="99"/>
      <c r="U69" s="99"/>
      <c r="V69" s="99"/>
      <c r="W69" s="99"/>
      <c r="X69" s="99"/>
    </row>
    <row r="70" spans="1:24" ht="14.65" hidden="1" customHeight="1">
      <c r="A70" s="99"/>
      <c r="B70" s="99"/>
      <c r="C70" s="99"/>
      <c r="D70" s="99"/>
      <c r="E70" s="99"/>
      <c r="F70" s="479"/>
      <c r="G70" s="175"/>
      <c r="H70" s="175"/>
      <c r="I70" s="175"/>
      <c r="J70" s="175"/>
      <c r="K70" s="99"/>
      <c r="L70" s="99"/>
      <c r="M70" s="99"/>
      <c r="N70" s="99"/>
      <c r="O70" s="99"/>
      <c r="P70" s="99"/>
      <c r="Q70" s="99"/>
      <c r="R70" s="99"/>
      <c r="S70" s="99"/>
      <c r="T70" s="99"/>
      <c r="U70" s="99"/>
      <c r="V70" s="99"/>
      <c r="W70" s="99"/>
      <c r="X70" s="99"/>
    </row>
    <row r="71" spans="1:24" ht="14.65" hidden="1" customHeight="1"/>
    <row r="72" spans="1:24" ht="14.65" hidden="1" customHeight="1"/>
    <row r="73" spans="1:24" ht="14.65" hidden="1" customHeight="1"/>
    <row r="74" spans="1:24" ht="14.65" hidden="1" customHeight="1"/>
  </sheetData>
  <sheetProtection algorithmName="SHA-512" hashValue="CPWHtAMF7SpnvrSWv0Sibkx3QVUJmsj+Ii7g8fJDF6Cc3cwRYHkCPqCssri2ubNlRlpAjOubpKNTS7vGtFyCeQ==" saltValue="zAp2uNto8KEFoOhQkgDSfg==" spinCount="100000" sheet="1" objects="1"/>
  <mergeCells count="24">
    <mergeCell ref="B2:C2"/>
    <mergeCell ref="D2:E2"/>
    <mergeCell ref="B3:C3"/>
    <mergeCell ref="D3:E3"/>
    <mergeCell ref="H3:O3"/>
    <mergeCell ref="B5:C5"/>
    <mergeCell ref="D5:E5"/>
    <mergeCell ref="B7:C7"/>
    <mergeCell ref="D7:E7"/>
    <mergeCell ref="B9:C9"/>
    <mergeCell ref="D9:E9"/>
    <mergeCell ref="D10:E10"/>
    <mergeCell ref="B11:B13"/>
    <mergeCell ref="B15:B17"/>
    <mergeCell ref="B19:B21"/>
    <mergeCell ref="B23:B25"/>
    <mergeCell ref="B65:B66"/>
    <mergeCell ref="B67:B68"/>
    <mergeCell ref="B27:C27"/>
    <mergeCell ref="D27:E27"/>
    <mergeCell ref="B28:C28"/>
    <mergeCell ref="D28:E28"/>
    <mergeCell ref="B29:C29"/>
    <mergeCell ref="D29:E29"/>
  </mergeCells>
  <conditionalFormatting sqref="D9:E9">
    <cfRule type="containsText" dxfId="38" priority="1" operator="containsText" text="⚠">
      <formula>NOT(ISERROR(SEARCH("⚠",D9)))</formula>
    </cfRule>
  </conditionalFormatting>
  <conditionalFormatting sqref="D25">
    <cfRule type="cellIs" dxfId="37" priority="2" operator="between">
      <formula>$F$21</formula>
      <formula>0</formula>
    </cfRule>
    <cfRule type="cellIs" dxfId="36" priority="3" operator="greaterThanOrEqual">
      <formula>$F$21</formula>
    </cfRule>
  </conditionalFormatting>
  <conditionalFormatting sqref="D24">
    <cfRule type="cellIs" dxfId="35" priority="4" operator="between">
      <formula>$F$20</formula>
      <formula>0</formula>
    </cfRule>
    <cfRule type="cellIs" dxfId="34" priority="5" operator="greaterThanOrEqual">
      <formula>$F$20</formula>
    </cfRule>
  </conditionalFormatting>
  <conditionalFormatting sqref="D23">
    <cfRule type="cellIs" dxfId="33" priority="6" operator="between">
      <formula>$F$19</formula>
      <formula>0</formula>
    </cfRule>
    <cfRule type="cellIs" dxfId="32" priority="7" operator="greaterThanOrEqual">
      <formula>$F$19</formula>
    </cfRule>
  </conditionalFormatting>
  <conditionalFormatting sqref="E19:E25">
    <cfRule type="containsText" dxfId="31" priority="8" operator="containsText" text="⚠">
      <formula>NOT(ISERROR(SEARCH("⚠",E19)))</formula>
    </cfRule>
    <cfRule type="containsText" dxfId="30" priority="16" operator="containsText" text="✓">
      <formula>NOT(ISERROR(SEARCH("✓",E19)))</formula>
    </cfRule>
    <cfRule type="containsText" dxfId="29" priority="17" operator="containsText" text="▲">
      <formula>NOT(ISERROR(SEARCH("▲",E19)))</formula>
    </cfRule>
  </conditionalFormatting>
  <conditionalFormatting sqref="D21">
    <cfRule type="cellIs" dxfId="28" priority="9" operator="greaterThanOrEqual">
      <formula>$F$13</formula>
    </cfRule>
    <cfRule type="cellIs" dxfId="27" priority="12" operator="between">
      <formula>0</formula>
      <formula>$F$13</formula>
    </cfRule>
  </conditionalFormatting>
  <conditionalFormatting sqref="D20">
    <cfRule type="cellIs" dxfId="26" priority="10" operator="greaterThanOrEqual">
      <formula>$F$12</formula>
    </cfRule>
    <cfRule type="cellIs" dxfId="25" priority="13" operator="between">
      <formula>0</formula>
      <formula>$F$12</formula>
    </cfRule>
  </conditionalFormatting>
  <conditionalFormatting sqref="D19">
    <cfRule type="cellIs" dxfId="24" priority="11" operator="greaterThanOrEqual">
      <formula>$F$11</formula>
    </cfRule>
    <cfRule type="cellIs" dxfId="23" priority="14" operator="between">
      <formula>0</formula>
      <formula>$F$11</formula>
    </cfRule>
  </conditionalFormatting>
  <conditionalFormatting sqref="D19:E21">
    <cfRule type="cellIs" dxfId="22" priority="15" operator="equal">
      <formula>"Error ▲"</formula>
    </cfRule>
    <cfRule type="cellIs" dxfId="21" priority="26" operator="lessThan">
      <formula>0</formula>
    </cfRule>
    <cfRule type="cellIs" dxfId="20" priority="27" operator="equal">
      <formula>0</formula>
    </cfRule>
  </conditionalFormatting>
  <conditionalFormatting sqref="D7 G7:H7">
    <cfRule type="cellIs" dxfId="19" priority="18" operator="equal">
      <formula>"Trading Rules Not Satisfied ▲"</formula>
    </cfRule>
    <cfRule type="cellIs" dxfId="18" priority="19" operator="equal">
      <formula>"Trading Rules Satisfied ✓"</formula>
    </cfRule>
  </conditionalFormatting>
  <conditionalFormatting sqref="C36:D38">
    <cfRule type="cellIs" dxfId="17" priority="20" operator="equal">
      <formula>"Error - Enter required % on start page"</formula>
    </cfRule>
    <cfRule type="cellIs" dxfId="16" priority="21" operator="equal">
      <formula>"Error"</formula>
    </cfRule>
    <cfRule type="cellIs" dxfId="15" priority="22" operator="lessThan">
      <formula>0</formula>
    </cfRule>
  </conditionalFormatting>
  <conditionalFormatting sqref="E23:E25">
    <cfRule type="containsBlanks" dxfId="14" priority="23">
      <formula>LEN(TRIM(E23))=0</formula>
    </cfRule>
    <cfRule type="expression" dxfId="13" priority="24">
      <formula>$F23&gt;=0</formula>
    </cfRule>
    <cfRule type="expression" dxfId="12" priority="25">
      <formula>$F23&lt;0</formula>
    </cfRule>
  </conditionalFormatting>
  <conditionalFormatting sqref="D23:D25">
    <cfRule type="cellIs" dxfId="11" priority="28" operator="equal">
      <formula>"% target not appropriate"</formula>
    </cfRule>
    <cfRule type="cellIs" dxfId="10" priority="31" operator="lessThan">
      <formula>0</formula>
    </cfRule>
  </conditionalFormatting>
  <conditionalFormatting sqref="D9">
    <cfRule type="cellIs" dxfId="9" priority="29" operator="equal">
      <formula>"BNG Tragets Not Met ▲"</formula>
    </cfRule>
    <cfRule type="cellIs" dxfId="8" priority="30" operator="equal">
      <formula>"BNG Targets Met ✓"</formula>
    </cfRule>
  </conditionalFormatting>
  <conditionalFormatting sqref="D5">
    <cfRule type="cellIs" dxfId="7" priority="32" operator="equal">
      <formula>"BNG Targets Not Met ▲"</formula>
    </cfRule>
    <cfRule type="cellIs" dxfId="6" priority="33" operator="equal">
      <formula>"BNG Targets Met ✓"</formula>
    </cfRule>
  </conditionalFormatting>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449-10CE-43A3-A07F-9DA593EC1650}">
  <sheetPr codeName="Sheet10">
    <tabColor rgb="FF005E5C"/>
    <pageSetUpPr fitToPage="1"/>
  </sheetPr>
  <dimension ref="A1:Y110"/>
  <sheetViews>
    <sheetView zoomScale="80" zoomScaleNormal="80" workbookViewId="0">
      <pane xSplit="1" ySplit="3" topLeftCell="B4" activePane="bottomRight" state="frozenSplit"/>
      <selection pane="bottomRight" activeCell="B1" sqref="B1"/>
      <selection pane="bottomLeft"/>
      <selection pane="topRight"/>
    </sheetView>
  </sheetViews>
  <sheetFormatPr defaultColWidth="0" defaultRowHeight="14.45" zeroHeight="1"/>
  <cols>
    <col min="1" max="2" width="8.7109375" customWidth="1"/>
    <col min="3" max="3" width="78.5703125" bestFit="1" customWidth="1"/>
    <col min="4" max="4" width="28.5703125" style="92" customWidth="1"/>
    <col min="5" max="5" width="14.42578125" hidden="1" customWidth="1"/>
    <col min="6" max="6" width="18.42578125" hidden="1" customWidth="1"/>
    <col min="7" max="7" width="15.7109375" style="92" customWidth="1"/>
    <col min="8" max="8" width="34.5703125" style="94" customWidth="1"/>
    <col min="9" max="9" width="13" customWidth="1"/>
    <col min="10" max="10" width="12.7109375" bestFit="1" customWidth="1"/>
    <col min="11" max="11" width="23.7109375" hidden="1" customWidth="1"/>
    <col min="12" max="25" width="8.7109375" customWidth="1"/>
    <col min="26" max="26" width="8.7109375" hidden="1" customWidth="1"/>
    <col min="27" max="16384" width="8.7109375" hidden="1"/>
  </cols>
  <sheetData>
    <row r="1" spans="1:25" ht="26.1" customHeight="1">
      <c r="A1" s="99"/>
      <c r="B1" s="1008" t="s">
        <v>316</v>
      </c>
      <c r="C1" s="1009"/>
      <c r="D1" s="1009"/>
      <c r="E1" s="1009"/>
      <c r="F1" s="1009"/>
      <c r="G1" s="1009"/>
      <c r="H1" s="1009"/>
      <c r="I1" s="1009"/>
      <c r="J1" s="1010"/>
      <c r="K1" s="248">
        <v>9</v>
      </c>
      <c r="L1" s="99"/>
      <c r="M1" s="99"/>
      <c r="N1" s="99"/>
      <c r="O1" s="99"/>
      <c r="P1" s="99"/>
      <c r="Q1" s="99"/>
      <c r="R1" s="99"/>
      <c r="S1" s="99"/>
      <c r="T1" s="99"/>
      <c r="U1" s="99"/>
      <c r="V1" s="99"/>
      <c r="W1" s="99"/>
      <c r="X1" s="99"/>
      <c r="Y1" s="99"/>
    </row>
    <row r="2" spans="1:25" ht="18" customHeight="1">
      <c r="A2" s="99"/>
      <c r="B2" s="1011" t="s">
        <v>76</v>
      </c>
      <c r="C2" s="1013" t="s">
        <v>289</v>
      </c>
      <c r="D2" s="1013"/>
      <c r="E2" s="1013"/>
      <c r="F2" s="1013"/>
      <c r="G2" s="1014" t="s">
        <v>112</v>
      </c>
      <c r="H2" s="1014"/>
      <c r="I2" s="1015" t="s">
        <v>317</v>
      </c>
      <c r="J2" s="1015"/>
      <c r="K2" s="176" t="s">
        <v>318</v>
      </c>
      <c r="L2" s="99"/>
      <c r="M2" s="99"/>
      <c r="N2" s="99"/>
      <c r="O2" s="99"/>
      <c r="P2" s="99"/>
      <c r="Q2" s="99"/>
      <c r="R2" s="99"/>
      <c r="S2" s="99"/>
      <c r="T2" s="99"/>
      <c r="U2" s="99"/>
      <c r="V2" s="99"/>
      <c r="W2" s="99"/>
      <c r="X2" s="99"/>
      <c r="Y2" s="99"/>
    </row>
    <row r="3" spans="1:25" ht="43.15" customHeight="1">
      <c r="A3" s="99"/>
      <c r="B3" s="1012"/>
      <c r="C3" s="11" t="s">
        <v>289</v>
      </c>
      <c r="D3" s="11" t="s">
        <v>319</v>
      </c>
      <c r="E3" s="11" t="s">
        <v>320</v>
      </c>
      <c r="F3" s="11" t="s">
        <v>321</v>
      </c>
      <c r="G3" s="297" t="s">
        <v>322</v>
      </c>
      <c r="H3" s="297" t="s">
        <v>323</v>
      </c>
      <c r="I3" s="126" t="s">
        <v>324</v>
      </c>
      <c r="J3" s="126" t="s">
        <v>325</v>
      </c>
      <c r="K3" s="177" t="s">
        <v>326</v>
      </c>
      <c r="L3" s="99"/>
      <c r="M3" s="99"/>
      <c r="N3" s="99"/>
      <c r="O3" s="99"/>
      <c r="P3" s="99"/>
      <c r="Q3" s="99"/>
      <c r="R3" s="99"/>
      <c r="S3" s="99"/>
      <c r="T3" s="99"/>
      <c r="U3" s="99"/>
      <c r="V3" s="99"/>
      <c r="W3" s="99"/>
      <c r="X3" s="99"/>
      <c r="Y3" s="99"/>
    </row>
    <row r="4" spans="1:25" ht="28.9" customHeight="1">
      <c r="A4" s="99"/>
      <c r="B4" s="4">
        <v>1</v>
      </c>
      <c r="C4" s="4" t="s">
        <v>327</v>
      </c>
      <c r="D4" s="4" t="s">
        <v>234</v>
      </c>
      <c r="E4" s="4"/>
      <c r="F4" s="4"/>
      <c r="G4" s="84" t="s">
        <v>237</v>
      </c>
      <c r="H4" s="84" t="s">
        <v>328</v>
      </c>
      <c r="I4" s="84" t="s">
        <v>235</v>
      </c>
      <c r="J4" s="84" t="s">
        <v>235</v>
      </c>
      <c r="K4" s="4" t="s">
        <v>235</v>
      </c>
      <c r="L4" s="99"/>
      <c r="M4" s="99"/>
      <c r="N4" s="99"/>
      <c r="O4" s="99"/>
      <c r="P4" s="99"/>
      <c r="Q4" s="99"/>
      <c r="R4" s="99"/>
      <c r="S4" s="99"/>
      <c r="T4" s="99"/>
      <c r="U4" s="99"/>
      <c r="V4" s="99"/>
      <c r="W4" s="99"/>
      <c r="X4" s="99"/>
      <c r="Y4" s="99"/>
    </row>
    <row r="5" spans="1:25" ht="28.9" customHeight="1">
      <c r="A5" s="99"/>
      <c r="B5" s="4">
        <v>2</v>
      </c>
      <c r="C5" s="4" t="s">
        <v>329</v>
      </c>
      <c r="D5" s="4" t="s">
        <v>234</v>
      </c>
      <c r="E5" s="4"/>
      <c r="F5" s="4"/>
      <c r="G5" s="84" t="s">
        <v>237</v>
      </c>
      <c r="H5" s="84" t="s">
        <v>328</v>
      </c>
      <c r="I5" s="84" t="s">
        <v>235</v>
      </c>
      <c r="J5" s="84" t="s">
        <v>235</v>
      </c>
      <c r="K5" s="4" t="s">
        <v>235</v>
      </c>
      <c r="L5" s="99"/>
      <c r="M5" s="99"/>
      <c r="N5" s="99"/>
      <c r="O5" s="99"/>
      <c r="P5" s="99"/>
      <c r="Q5" s="99"/>
      <c r="R5" s="99"/>
      <c r="S5" s="99"/>
      <c r="T5" s="99"/>
      <c r="U5" s="99"/>
      <c r="V5" s="99"/>
      <c r="W5" s="99"/>
      <c r="X5" s="99"/>
      <c r="Y5" s="99"/>
    </row>
    <row r="6" spans="1:25" ht="28.9" customHeight="1">
      <c r="A6" s="99"/>
      <c r="B6" s="4">
        <v>3</v>
      </c>
      <c r="C6" s="4" t="s">
        <v>330</v>
      </c>
      <c r="D6" s="4" t="s">
        <v>234</v>
      </c>
      <c r="E6" s="4"/>
      <c r="F6" s="4"/>
      <c r="G6" s="84" t="s">
        <v>237</v>
      </c>
      <c r="H6" s="84" t="s">
        <v>328</v>
      </c>
      <c r="I6" s="84" t="s">
        <v>235</v>
      </c>
      <c r="J6" s="84" t="s">
        <v>235</v>
      </c>
      <c r="K6" s="4" t="s">
        <v>235</v>
      </c>
      <c r="L6" s="99"/>
      <c r="M6" s="99"/>
      <c r="N6" s="99"/>
      <c r="O6" s="99"/>
      <c r="P6" s="99"/>
      <c r="Q6" s="99"/>
      <c r="R6" s="99"/>
      <c r="S6" s="99"/>
      <c r="T6" s="99"/>
      <c r="U6" s="99"/>
      <c r="V6" s="99"/>
      <c r="W6" s="99"/>
      <c r="X6" s="99"/>
      <c r="Y6" s="99"/>
    </row>
    <row r="7" spans="1:25" ht="28.9" customHeight="1">
      <c r="A7" s="99"/>
      <c r="B7" s="4">
        <v>4</v>
      </c>
      <c r="C7" s="4" t="s">
        <v>331</v>
      </c>
      <c r="D7" s="4" t="s">
        <v>234</v>
      </c>
      <c r="E7" s="4"/>
      <c r="F7" s="4"/>
      <c r="G7" s="84" t="s">
        <v>237</v>
      </c>
      <c r="H7" s="84" t="s">
        <v>328</v>
      </c>
      <c r="I7" s="84" t="s">
        <v>235</v>
      </c>
      <c r="J7" s="84" t="s">
        <v>235</v>
      </c>
      <c r="K7" s="4" t="s">
        <v>235</v>
      </c>
      <c r="L7" s="99"/>
      <c r="M7" s="99"/>
      <c r="N7" s="99"/>
      <c r="O7" s="99"/>
      <c r="P7" s="99"/>
      <c r="Q7" s="99"/>
      <c r="R7" s="99"/>
      <c r="S7" s="99"/>
      <c r="T7" s="99"/>
      <c r="U7" s="99"/>
      <c r="V7" s="99"/>
      <c r="W7" s="99"/>
      <c r="X7" s="99"/>
      <c r="Y7" s="99"/>
    </row>
    <row r="8" spans="1:25" ht="28.9" customHeight="1">
      <c r="A8" s="99"/>
      <c r="B8" s="4">
        <v>5</v>
      </c>
      <c r="C8" s="4" t="s">
        <v>332</v>
      </c>
      <c r="D8" s="4" t="s">
        <v>234</v>
      </c>
      <c r="E8" s="4"/>
      <c r="F8" s="4"/>
      <c r="G8" s="84" t="s">
        <v>235</v>
      </c>
      <c r="H8" s="84" t="s">
        <v>333</v>
      </c>
      <c r="I8" s="84" t="s">
        <v>235</v>
      </c>
      <c r="J8" s="84" t="s">
        <v>235</v>
      </c>
      <c r="K8" s="4" t="s">
        <v>235</v>
      </c>
      <c r="L8" s="99"/>
      <c r="M8" s="99"/>
      <c r="N8" s="99"/>
      <c r="O8" s="99"/>
      <c r="P8" s="99"/>
      <c r="Q8" s="99"/>
      <c r="R8" s="99"/>
      <c r="S8" s="99"/>
      <c r="T8" s="99"/>
      <c r="U8" s="99"/>
      <c r="V8" s="99"/>
      <c r="W8" s="99"/>
      <c r="X8" s="99"/>
      <c r="Y8" s="99"/>
    </row>
    <row r="9" spans="1:25" ht="28.9" customHeight="1">
      <c r="A9" s="99"/>
      <c r="B9" s="4">
        <f>B8+1</f>
        <v>6</v>
      </c>
      <c r="C9" s="4" t="s">
        <v>334</v>
      </c>
      <c r="D9" s="4" t="s">
        <v>234</v>
      </c>
      <c r="E9" s="4"/>
      <c r="F9" s="4"/>
      <c r="G9" s="84" t="s">
        <v>235</v>
      </c>
      <c r="H9" s="84" t="s">
        <v>333</v>
      </c>
      <c r="I9" s="84" t="s">
        <v>235</v>
      </c>
      <c r="J9" s="84" t="s">
        <v>235</v>
      </c>
      <c r="K9" s="4" t="s">
        <v>235</v>
      </c>
      <c r="L9" s="99"/>
      <c r="M9" s="99"/>
      <c r="N9" s="99"/>
      <c r="O9" s="99"/>
      <c r="P9" s="99"/>
      <c r="Q9" s="99"/>
      <c r="R9" s="99"/>
      <c r="S9" s="99"/>
      <c r="T9" s="99"/>
      <c r="U9" s="99"/>
      <c r="V9" s="99"/>
      <c r="W9" s="99"/>
      <c r="X9" s="99"/>
      <c r="Y9" s="99"/>
    </row>
    <row r="10" spans="1:25" ht="28.9" customHeight="1">
      <c r="A10" s="99"/>
      <c r="B10" s="4">
        <f>B9+1</f>
        <v>7</v>
      </c>
      <c r="C10" s="4" t="s">
        <v>335</v>
      </c>
      <c r="D10" s="4" t="s">
        <v>234</v>
      </c>
      <c r="E10" s="4"/>
      <c r="F10" s="4"/>
      <c r="G10" s="84" t="s">
        <v>235</v>
      </c>
      <c r="H10" s="84" t="s">
        <v>333</v>
      </c>
      <c r="I10" s="84" t="s">
        <v>235</v>
      </c>
      <c r="J10" s="84" t="s">
        <v>235</v>
      </c>
      <c r="K10" s="4" t="s">
        <v>235</v>
      </c>
      <c r="L10" s="99"/>
      <c r="M10" s="99"/>
      <c r="N10" s="99"/>
      <c r="O10" s="99"/>
      <c r="P10" s="99"/>
      <c r="Q10" s="99"/>
      <c r="R10" s="99"/>
      <c r="S10" s="99"/>
      <c r="T10" s="99"/>
      <c r="U10" s="99"/>
      <c r="V10" s="99"/>
      <c r="W10" s="99"/>
      <c r="X10" s="99"/>
      <c r="Y10" s="99"/>
    </row>
    <row r="11" spans="1:25" ht="28.9" customHeight="1">
      <c r="A11" s="99"/>
      <c r="B11" s="4">
        <f>B10+1</f>
        <v>8</v>
      </c>
      <c r="C11" s="4" t="s">
        <v>336</v>
      </c>
      <c r="D11" s="4" t="s">
        <v>234</v>
      </c>
      <c r="E11" s="4"/>
      <c r="F11" s="4"/>
      <c r="G11" s="84" t="s">
        <v>235</v>
      </c>
      <c r="H11" s="84" t="s">
        <v>333</v>
      </c>
      <c r="I11" s="84" t="s">
        <v>235</v>
      </c>
      <c r="J11" s="84" t="s">
        <v>235</v>
      </c>
      <c r="K11" s="4" t="s">
        <v>235</v>
      </c>
      <c r="L11" s="99"/>
      <c r="M11" s="99"/>
      <c r="N11" s="99"/>
      <c r="O11" s="99"/>
      <c r="P11" s="99"/>
      <c r="Q11" s="99"/>
      <c r="R11" s="99"/>
      <c r="S11" s="99"/>
      <c r="T11" s="99"/>
      <c r="U11" s="99"/>
      <c r="V11" s="99"/>
      <c r="W11" s="99"/>
      <c r="X11" s="99"/>
      <c r="Y11" s="99"/>
    </row>
    <row r="12" spans="1:25" ht="28.9" customHeight="1">
      <c r="A12" s="99"/>
      <c r="B12" s="4">
        <f>B11+1</f>
        <v>9</v>
      </c>
      <c r="C12" s="4" t="s">
        <v>337</v>
      </c>
      <c r="D12" s="4" t="s">
        <v>234</v>
      </c>
      <c r="E12" s="4"/>
      <c r="F12" s="4"/>
      <c r="G12" s="84" t="s">
        <v>235</v>
      </c>
      <c r="H12" s="84" t="s">
        <v>333</v>
      </c>
      <c r="I12" s="84" t="s">
        <v>235</v>
      </c>
      <c r="J12" s="84" t="s">
        <v>235</v>
      </c>
      <c r="K12" s="4" t="s">
        <v>235</v>
      </c>
      <c r="L12" s="99"/>
      <c r="M12" s="99"/>
      <c r="N12" s="99"/>
      <c r="O12" s="99"/>
      <c r="P12" s="99"/>
      <c r="Q12" s="99"/>
      <c r="R12" s="99"/>
      <c r="S12" s="99"/>
      <c r="T12" s="99"/>
      <c r="U12" s="99"/>
      <c r="V12" s="99"/>
      <c r="W12" s="99"/>
      <c r="X12" s="99"/>
      <c r="Y12" s="99"/>
    </row>
    <row r="13" spans="1:25" ht="28.9" customHeight="1">
      <c r="A13" s="99"/>
      <c r="B13" s="4">
        <f>B12+1</f>
        <v>10</v>
      </c>
      <c r="C13" s="4" t="s">
        <v>338</v>
      </c>
      <c r="D13" s="4" t="s">
        <v>234</v>
      </c>
      <c r="E13" s="4"/>
      <c r="F13" s="4"/>
      <c r="G13" s="84" t="s">
        <v>235</v>
      </c>
      <c r="H13" s="84" t="s">
        <v>333</v>
      </c>
      <c r="I13" s="84" t="s">
        <v>235</v>
      </c>
      <c r="J13" s="84" t="s">
        <v>235</v>
      </c>
      <c r="K13" s="4" t="s">
        <v>235</v>
      </c>
      <c r="L13" s="99"/>
      <c r="M13" s="99"/>
      <c r="N13" s="99"/>
      <c r="O13" s="99"/>
      <c r="P13" s="99"/>
      <c r="Q13" s="99"/>
      <c r="R13" s="99"/>
      <c r="S13" s="99"/>
      <c r="T13" s="99"/>
      <c r="U13" s="99"/>
      <c r="V13" s="99"/>
      <c r="W13" s="99"/>
      <c r="X13" s="99"/>
      <c r="Y13" s="99"/>
    </row>
    <row r="14" spans="1:25" ht="28.9" customHeight="1">
      <c r="A14" s="99"/>
      <c r="B14" s="4">
        <f>B13+1</f>
        <v>11</v>
      </c>
      <c r="C14" s="4" t="s">
        <v>339</v>
      </c>
      <c r="D14" s="4" t="s">
        <v>238</v>
      </c>
      <c r="E14" s="4"/>
      <c r="F14" s="4"/>
      <c r="G14" s="84" t="s">
        <v>235</v>
      </c>
      <c r="H14" s="84" t="s">
        <v>333</v>
      </c>
      <c r="I14" s="84" t="s">
        <v>235</v>
      </c>
      <c r="J14" s="84" t="s">
        <v>235</v>
      </c>
      <c r="K14" s="4" t="s">
        <v>235</v>
      </c>
      <c r="L14" s="99"/>
      <c r="M14" s="99"/>
      <c r="N14" s="99"/>
      <c r="O14" s="99"/>
      <c r="P14" s="99"/>
      <c r="Q14" s="99"/>
      <c r="R14" s="99"/>
      <c r="S14" s="99"/>
      <c r="T14" s="99"/>
      <c r="U14" s="99"/>
      <c r="V14" s="99"/>
      <c r="W14" s="99"/>
      <c r="X14" s="99"/>
      <c r="Y14" s="99"/>
    </row>
    <row r="15" spans="1:25" ht="28.9" customHeight="1">
      <c r="A15" s="99"/>
      <c r="B15" s="4">
        <f>B14+1</f>
        <v>12</v>
      </c>
      <c r="C15" s="4" t="s">
        <v>340</v>
      </c>
      <c r="D15" s="4" t="s">
        <v>238</v>
      </c>
      <c r="E15" s="4"/>
      <c r="F15" s="4"/>
      <c r="G15" s="84" t="s">
        <v>235</v>
      </c>
      <c r="H15" s="84" t="s">
        <v>333</v>
      </c>
      <c r="I15" s="84" t="s">
        <v>235</v>
      </c>
      <c r="J15" s="84" t="s">
        <v>235</v>
      </c>
      <c r="K15" s="4" t="s">
        <v>235</v>
      </c>
      <c r="L15" s="99"/>
      <c r="M15" s="99"/>
      <c r="N15" s="99"/>
      <c r="O15" s="99"/>
      <c r="P15" s="99"/>
      <c r="Q15" s="99"/>
      <c r="R15" s="99"/>
      <c r="S15" s="99"/>
      <c r="T15" s="99"/>
      <c r="U15" s="99"/>
      <c r="V15" s="99"/>
      <c r="W15" s="99"/>
      <c r="X15" s="99"/>
      <c r="Y15" s="99"/>
    </row>
    <row r="16" spans="1:25" ht="28.9" customHeight="1">
      <c r="A16" s="99"/>
      <c r="B16" s="4">
        <f>B15+1</f>
        <v>13</v>
      </c>
      <c r="C16" s="4" t="s">
        <v>341</v>
      </c>
      <c r="D16" s="4" t="s">
        <v>238</v>
      </c>
      <c r="E16" s="4"/>
      <c r="F16" s="4"/>
      <c r="G16" s="84" t="s">
        <v>237</v>
      </c>
      <c r="H16" s="84" t="s">
        <v>328</v>
      </c>
      <c r="I16" s="84" t="s">
        <v>235</v>
      </c>
      <c r="J16" s="84" t="s">
        <v>235</v>
      </c>
      <c r="K16" s="4" t="s">
        <v>235</v>
      </c>
      <c r="L16" s="99"/>
      <c r="M16" s="99"/>
      <c r="N16" s="99"/>
      <c r="O16" s="99"/>
      <c r="P16" s="99"/>
      <c r="Q16" s="99"/>
      <c r="R16" s="99"/>
      <c r="S16" s="99"/>
      <c r="T16" s="99"/>
      <c r="U16" s="99"/>
      <c r="V16" s="99"/>
      <c r="W16" s="99"/>
      <c r="X16" s="99"/>
      <c r="Y16" s="99"/>
    </row>
    <row r="17" spans="1:25" ht="28.9" customHeight="1">
      <c r="A17" s="99"/>
      <c r="B17" s="4">
        <f>B16+1</f>
        <v>14</v>
      </c>
      <c r="C17" s="4" t="s">
        <v>342</v>
      </c>
      <c r="D17" s="4" t="s">
        <v>238</v>
      </c>
      <c r="E17" s="4"/>
      <c r="F17" s="4"/>
      <c r="G17" s="84" t="s">
        <v>237</v>
      </c>
      <c r="H17" s="84" t="s">
        <v>328</v>
      </c>
      <c r="I17" s="84" t="s">
        <v>235</v>
      </c>
      <c r="J17" s="84" t="s">
        <v>235</v>
      </c>
      <c r="K17" s="4" t="s">
        <v>235</v>
      </c>
      <c r="L17" s="99"/>
      <c r="M17" s="99"/>
      <c r="N17" s="99"/>
      <c r="O17" s="99"/>
      <c r="P17" s="99"/>
      <c r="Q17" s="99"/>
      <c r="R17" s="99"/>
      <c r="S17" s="99"/>
      <c r="T17" s="99"/>
      <c r="U17" s="99"/>
      <c r="V17" s="99"/>
      <c r="W17" s="99"/>
      <c r="X17" s="99"/>
      <c r="Y17" s="99"/>
    </row>
    <row r="18" spans="1:25" ht="28.9" customHeight="1">
      <c r="A18" s="99"/>
      <c r="B18" s="4">
        <f>B17+1</f>
        <v>15</v>
      </c>
      <c r="C18" s="4" t="s">
        <v>343</v>
      </c>
      <c r="D18" s="4" t="s">
        <v>238</v>
      </c>
      <c r="E18" s="4"/>
      <c r="F18" s="4"/>
      <c r="G18" s="84" t="s">
        <v>237</v>
      </c>
      <c r="H18" s="84" t="s">
        <v>328</v>
      </c>
      <c r="I18" s="84" t="s">
        <v>235</v>
      </c>
      <c r="J18" s="84" t="s">
        <v>235</v>
      </c>
      <c r="K18" s="4" t="s">
        <v>235</v>
      </c>
      <c r="L18" s="99"/>
      <c r="M18" s="99"/>
      <c r="N18" s="99"/>
      <c r="O18" s="99"/>
      <c r="P18" s="99"/>
      <c r="Q18" s="99"/>
      <c r="R18" s="99"/>
      <c r="S18" s="99"/>
      <c r="T18" s="99"/>
      <c r="U18" s="99"/>
      <c r="V18" s="99"/>
      <c r="W18" s="99"/>
      <c r="X18" s="99"/>
      <c r="Y18" s="99"/>
    </row>
    <row r="19" spans="1:25" ht="28.9" customHeight="1">
      <c r="A19" s="99"/>
      <c r="B19" s="4">
        <f>B18+1</f>
        <v>16</v>
      </c>
      <c r="C19" s="4" t="s">
        <v>344</v>
      </c>
      <c r="D19" s="4" t="s">
        <v>239</v>
      </c>
      <c r="E19" s="4"/>
      <c r="F19" s="4"/>
      <c r="G19" s="84" t="s">
        <v>237</v>
      </c>
      <c r="H19" s="84" t="s">
        <v>328</v>
      </c>
      <c r="I19" s="84" t="s">
        <v>235</v>
      </c>
      <c r="J19" s="84" t="s">
        <v>235</v>
      </c>
      <c r="K19" s="4" t="s">
        <v>235</v>
      </c>
      <c r="L19" s="99"/>
      <c r="M19" s="99"/>
      <c r="N19" s="99"/>
      <c r="O19" s="99"/>
      <c r="P19" s="99"/>
      <c r="Q19" s="99"/>
      <c r="R19" s="99"/>
      <c r="S19" s="99"/>
      <c r="T19" s="99"/>
      <c r="U19" s="99"/>
      <c r="V19" s="99"/>
      <c r="W19" s="99"/>
      <c r="X19" s="99"/>
      <c r="Y19" s="99"/>
    </row>
    <row r="20" spans="1:25" ht="28.9" customHeight="1">
      <c r="A20" s="99"/>
      <c r="B20" s="4">
        <f>B19+1</f>
        <v>17</v>
      </c>
      <c r="C20" s="4" t="s">
        <v>345</v>
      </c>
      <c r="D20" s="4" t="s">
        <v>239</v>
      </c>
      <c r="E20" s="4"/>
      <c r="F20" s="4"/>
      <c r="G20" s="84" t="s">
        <v>237</v>
      </c>
      <c r="H20" s="84" t="s">
        <v>328</v>
      </c>
      <c r="I20" s="84" t="s">
        <v>235</v>
      </c>
      <c r="J20" s="84" t="s">
        <v>235</v>
      </c>
      <c r="K20" s="4" t="s">
        <v>235</v>
      </c>
      <c r="L20" s="99"/>
      <c r="M20" s="99"/>
      <c r="N20" s="99"/>
      <c r="O20" s="99"/>
      <c r="P20" s="99"/>
      <c r="Q20" s="99"/>
      <c r="R20" s="99"/>
      <c r="S20" s="99"/>
      <c r="T20" s="99"/>
      <c r="U20" s="99"/>
      <c r="V20" s="99"/>
      <c r="W20" s="99"/>
      <c r="X20" s="99"/>
      <c r="Y20" s="99"/>
    </row>
    <row r="21" spans="1:25" ht="28.9" customHeight="1">
      <c r="A21" s="99"/>
      <c r="B21" s="4">
        <f>B20+1</f>
        <v>18</v>
      </c>
      <c r="C21" s="4" t="s">
        <v>346</v>
      </c>
      <c r="D21" s="4" t="s">
        <v>239</v>
      </c>
      <c r="E21" s="4"/>
      <c r="F21" s="4"/>
      <c r="G21" s="84" t="s">
        <v>237</v>
      </c>
      <c r="H21" s="84" t="s">
        <v>328</v>
      </c>
      <c r="I21" s="84" t="s">
        <v>235</v>
      </c>
      <c r="J21" s="84" t="s">
        <v>235</v>
      </c>
      <c r="K21" s="4" t="s">
        <v>235</v>
      </c>
      <c r="L21" s="99"/>
      <c r="M21" s="99"/>
      <c r="N21" s="99"/>
      <c r="O21" s="99"/>
      <c r="P21" s="99"/>
      <c r="Q21" s="99"/>
      <c r="R21" s="99"/>
      <c r="S21" s="99"/>
      <c r="T21" s="99"/>
      <c r="U21" s="99"/>
      <c r="V21" s="99"/>
      <c r="W21" s="99"/>
      <c r="X21" s="99"/>
      <c r="Y21" s="99"/>
    </row>
    <row r="22" spans="1:25" ht="28.9" customHeight="1">
      <c r="A22" s="99"/>
      <c r="B22" s="4">
        <f>B21+1</f>
        <v>19</v>
      </c>
      <c r="C22" s="4" t="s">
        <v>347</v>
      </c>
      <c r="D22" s="4" t="s">
        <v>239</v>
      </c>
      <c r="E22" s="4"/>
      <c r="F22" s="4"/>
      <c r="G22" s="84" t="s">
        <v>237</v>
      </c>
      <c r="H22" s="84" t="s">
        <v>328</v>
      </c>
      <c r="I22" s="84" t="s">
        <v>235</v>
      </c>
      <c r="J22" s="84" t="s">
        <v>235</v>
      </c>
      <c r="K22" s="4" t="s">
        <v>235</v>
      </c>
      <c r="L22" s="99"/>
      <c r="M22" s="99"/>
      <c r="N22" s="99"/>
      <c r="O22" s="99"/>
      <c r="P22" s="99"/>
      <c r="Q22" s="99"/>
      <c r="R22" s="99"/>
      <c r="S22" s="99"/>
      <c r="T22" s="99"/>
      <c r="U22" s="99"/>
      <c r="V22" s="99"/>
      <c r="W22" s="99"/>
      <c r="X22" s="99"/>
      <c r="Y22" s="99"/>
    </row>
    <row r="23" spans="1:25" ht="28.9" customHeight="1">
      <c r="A23" s="99"/>
      <c r="B23" s="4">
        <f>B22+1</f>
        <v>20</v>
      </c>
      <c r="C23" s="4" t="s">
        <v>348</v>
      </c>
      <c r="D23" s="4" t="s">
        <v>239</v>
      </c>
      <c r="E23" s="4"/>
      <c r="F23" s="4"/>
      <c r="G23" s="84" t="s">
        <v>237</v>
      </c>
      <c r="H23" s="84" t="s">
        <v>328</v>
      </c>
      <c r="I23" s="84" t="s">
        <v>237</v>
      </c>
      <c r="J23" s="84" t="s">
        <v>235</v>
      </c>
      <c r="K23" s="4" t="s">
        <v>235</v>
      </c>
      <c r="L23" s="99"/>
      <c r="M23" s="99"/>
      <c r="N23" s="99"/>
      <c r="O23" s="99"/>
      <c r="P23" s="99"/>
      <c r="Q23" s="99"/>
      <c r="R23" s="99"/>
      <c r="S23" s="99"/>
      <c r="T23" s="99"/>
      <c r="U23" s="99"/>
      <c r="V23" s="99"/>
      <c r="W23" s="99"/>
      <c r="X23" s="99"/>
      <c r="Y23" s="99"/>
    </row>
    <row r="24" spans="1:25" ht="28.9" customHeight="1">
      <c r="A24" s="99"/>
      <c r="B24" s="4">
        <f>B23+1</f>
        <v>21</v>
      </c>
      <c r="C24" s="4" t="s">
        <v>349</v>
      </c>
      <c r="D24" s="4" t="s">
        <v>239</v>
      </c>
      <c r="E24" s="4"/>
      <c r="F24" s="4"/>
      <c r="G24" s="84" t="s">
        <v>237</v>
      </c>
      <c r="H24" s="84" t="s">
        <v>328</v>
      </c>
      <c r="I24" s="84" t="s">
        <v>235</v>
      </c>
      <c r="J24" s="84" t="s">
        <v>235</v>
      </c>
      <c r="K24" s="4" t="s">
        <v>235</v>
      </c>
      <c r="L24" s="99"/>
      <c r="M24" s="99"/>
      <c r="N24" s="99"/>
      <c r="O24" s="99"/>
      <c r="P24" s="99"/>
      <c r="Q24" s="99"/>
      <c r="R24" s="99"/>
      <c r="S24" s="99"/>
      <c r="T24" s="99"/>
      <c r="U24" s="99"/>
      <c r="V24" s="99"/>
      <c r="W24" s="99"/>
      <c r="X24" s="99"/>
      <c r="Y24" s="99"/>
    </row>
    <row r="25" spans="1:25" ht="28.9" customHeight="1">
      <c r="A25" s="99"/>
      <c r="B25" s="4">
        <f>B24+1</f>
        <v>22</v>
      </c>
      <c r="C25" s="4" t="s">
        <v>350</v>
      </c>
      <c r="D25" s="4" t="s">
        <v>239</v>
      </c>
      <c r="E25" s="4"/>
      <c r="F25" s="4"/>
      <c r="G25" s="84" t="s">
        <v>235</v>
      </c>
      <c r="H25" s="84" t="s">
        <v>333</v>
      </c>
      <c r="I25" s="84" t="s">
        <v>235</v>
      </c>
      <c r="J25" s="84" t="s">
        <v>235</v>
      </c>
      <c r="K25" s="4" t="s">
        <v>235</v>
      </c>
      <c r="L25" s="99"/>
      <c r="M25" s="99"/>
      <c r="N25" s="99"/>
      <c r="O25" s="99"/>
      <c r="P25" s="99"/>
      <c r="Q25" s="99"/>
      <c r="R25" s="99"/>
      <c r="S25" s="99"/>
      <c r="T25" s="99"/>
      <c r="U25" s="99"/>
      <c r="V25" s="99"/>
      <c r="W25" s="99"/>
      <c r="X25" s="99"/>
      <c r="Y25" s="99"/>
    </row>
    <row r="26" spans="1:25" ht="28.9" customHeight="1">
      <c r="A26" s="99"/>
      <c r="B26" s="4">
        <f>B25+1</f>
        <v>23</v>
      </c>
      <c r="C26" s="4" t="s">
        <v>351</v>
      </c>
      <c r="D26" s="4" t="s">
        <v>239</v>
      </c>
      <c r="E26" s="4"/>
      <c r="F26" s="4"/>
      <c r="G26" s="84" t="s">
        <v>235</v>
      </c>
      <c r="H26" s="84" t="s">
        <v>333</v>
      </c>
      <c r="I26" s="84" t="s">
        <v>235</v>
      </c>
      <c r="J26" s="84" t="s">
        <v>235</v>
      </c>
      <c r="K26" s="4" t="s">
        <v>235</v>
      </c>
      <c r="L26" s="99"/>
      <c r="M26" s="99"/>
      <c r="N26" s="99"/>
      <c r="O26" s="99"/>
      <c r="P26" s="99"/>
      <c r="Q26" s="99"/>
      <c r="R26" s="99"/>
      <c r="S26" s="99"/>
      <c r="T26" s="99"/>
      <c r="U26" s="99"/>
      <c r="V26" s="99"/>
      <c r="W26" s="99"/>
      <c r="X26" s="99"/>
      <c r="Y26" s="99"/>
    </row>
    <row r="27" spans="1:25" ht="29.1" customHeight="1">
      <c r="A27" s="99"/>
      <c r="B27" s="4">
        <f>B26+1</f>
        <v>24</v>
      </c>
      <c r="C27" s="4" t="s">
        <v>352</v>
      </c>
      <c r="D27" s="4" t="s">
        <v>239</v>
      </c>
      <c r="E27" s="4"/>
      <c r="F27" s="4"/>
      <c r="G27" s="84" t="s">
        <v>237</v>
      </c>
      <c r="H27" s="84" t="s">
        <v>328</v>
      </c>
      <c r="I27" s="84" t="s">
        <v>237</v>
      </c>
      <c r="J27" s="84" t="s">
        <v>235</v>
      </c>
      <c r="K27" s="4"/>
      <c r="L27" s="99"/>
      <c r="M27" s="99"/>
      <c r="N27" s="99"/>
      <c r="O27" s="99"/>
      <c r="P27" s="99"/>
      <c r="Q27" s="99"/>
      <c r="R27" s="99"/>
      <c r="S27" s="99"/>
      <c r="T27" s="99"/>
      <c r="U27" s="99"/>
      <c r="V27" s="99"/>
      <c r="W27" s="99"/>
      <c r="X27" s="99"/>
      <c r="Y27" s="99"/>
    </row>
    <row r="28" spans="1:25" ht="29.1" customHeight="1">
      <c r="A28" s="99"/>
      <c r="B28" s="4">
        <f>B27+1</f>
        <v>25</v>
      </c>
      <c r="C28" s="4" t="s">
        <v>353</v>
      </c>
      <c r="D28" s="4" t="s">
        <v>242</v>
      </c>
      <c r="E28" s="4"/>
      <c r="F28" s="4"/>
      <c r="G28" s="84" t="s">
        <v>235</v>
      </c>
      <c r="H28" s="84" t="s">
        <v>333</v>
      </c>
      <c r="I28" s="84" t="s">
        <v>235</v>
      </c>
      <c r="J28" s="84" t="s">
        <v>354</v>
      </c>
      <c r="K28" s="4" t="s">
        <v>235</v>
      </c>
      <c r="L28" s="99"/>
      <c r="M28" s="99"/>
      <c r="N28" s="99"/>
      <c r="O28" s="99"/>
      <c r="P28" s="99"/>
      <c r="Q28" s="99"/>
      <c r="R28" s="99"/>
      <c r="S28" s="99"/>
      <c r="T28" s="99"/>
      <c r="U28" s="99"/>
      <c r="V28" s="99"/>
      <c r="W28" s="99"/>
      <c r="X28" s="99"/>
      <c r="Y28" s="99"/>
    </row>
    <row r="29" spans="1:25" ht="28.9" customHeight="1">
      <c r="A29" s="99"/>
      <c r="B29" s="4">
        <f>B28+1</f>
        <v>26</v>
      </c>
      <c r="C29" s="4" t="s">
        <v>355</v>
      </c>
      <c r="D29" s="4" t="s">
        <v>242</v>
      </c>
      <c r="E29" s="4"/>
      <c r="F29" s="4"/>
      <c r="G29" s="84" t="s">
        <v>237</v>
      </c>
      <c r="H29" s="84" t="s">
        <v>328</v>
      </c>
      <c r="I29" s="84" t="s">
        <v>235</v>
      </c>
      <c r="J29" s="84" t="s">
        <v>237</v>
      </c>
      <c r="K29" s="4" t="s">
        <v>235</v>
      </c>
      <c r="L29" s="99"/>
      <c r="M29" s="99"/>
      <c r="N29" s="99"/>
      <c r="O29" s="99"/>
      <c r="P29" s="99"/>
      <c r="Q29" s="99"/>
      <c r="R29" s="99"/>
      <c r="S29" s="99"/>
      <c r="T29" s="99"/>
      <c r="U29" s="99"/>
      <c r="V29" s="99"/>
      <c r="W29" s="99"/>
      <c r="X29" s="99"/>
      <c r="Y29" s="99"/>
    </row>
    <row r="30" spans="1:25" ht="28.9" customHeight="1">
      <c r="A30" s="99"/>
      <c r="B30" s="4">
        <f>B29+1</f>
        <v>27</v>
      </c>
      <c r="C30" s="4" t="s">
        <v>356</v>
      </c>
      <c r="D30" s="4" t="s">
        <v>242</v>
      </c>
      <c r="E30" s="4"/>
      <c r="F30" s="4"/>
      <c r="G30" s="84" t="s">
        <v>237</v>
      </c>
      <c r="H30" s="84" t="s">
        <v>328</v>
      </c>
      <c r="I30" s="84" t="s">
        <v>237</v>
      </c>
      <c r="J30" s="84" t="s">
        <v>237</v>
      </c>
      <c r="K30" s="4" t="s">
        <v>235</v>
      </c>
      <c r="L30" s="99"/>
      <c r="M30" s="99"/>
      <c r="N30" s="99"/>
      <c r="O30" s="99"/>
      <c r="P30" s="99"/>
      <c r="Q30" s="99"/>
      <c r="R30" s="99"/>
      <c r="S30" s="99"/>
      <c r="T30" s="99"/>
      <c r="U30" s="99"/>
      <c r="V30" s="99"/>
      <c r="W30" s="99"/>
      <c r="X30" s="99"/>
      <c r="Y30" s="99"/>
    </row>
    <row r="31" spans="1:25" ht="28.9" customHeight="1">
      <c r="A31" s="99"/>
      <c r="B31" s="4">
        <f>B30+1</f>
        <v>28</v>
      </c>
      <c r="C31" s="4" t="s">
        <v>357</v>
      </c>
      <c r="D31" s="4" t="s">
        <v>243</v>
      </c>
      <c r="E31" s="4"/>
      <c r="F31" s="4"/>
      <c r="G31" s="84" t="s">
        <v>235</v>
      </c>
      <c r="H31" s="84" t="s">
        <v>333</v>
      </c>
      <c r="I31" s="84" t="s">
        <v>235</v>
      </c>
      <c r="J31" s="84" t="s">
        <v>237</v>
      </c>
      <c r="K31" s="4" t="s">
        <v>235</v>
      </c>
      <c r="L31" s="99"/>
      <c r="M31" s="99"/>
      <c r="N31" s="99"/>
      <c r="O31" s="99"/>
      <c r="P31" s="99"/>
      <c r="Q31" s="99"/>
      <c r="R31" s="99"/>
      <c r="S31" s="99"/>
      <c r="T31" s="99"/>
      <c r="U31" s="99"/>
      <c r="V31" s="99"/>
      <c r="W31" s="99"/>
      <c r="X31" s="99"/>
      <c r="Y31" s="99"/>
    </row>
    <row r="32" spans="1:25" ht="28.9" customHeight="1">
      <c r="A32" s="99"/>
      <c r="B32" s="4">
        <f>B31+1</f>
        <v>29</v>
      </c>
      <c r="C32" s="4" t="s">
        <v>358</v>
      </c>
      <c r="D32" s="4" t="s">
        <v>243</v>
      </c>
      <c r="E32" s="4"/>
      <c r="F32" s="4"/>
      <c r="G32" s="84" t="s">
        <v>237</v>
      </c>
      <c r="H32" s="84" t="s">
        <v>328</v>
      </c>
      <c r="I32" s="84" t="s">
        <v>237</v>
      </c>
      <c r="J32" s="84" t="s">
        <v>237</v>
      </c>
      <c r="K32" s="4" t="s">
        <v>235</v>
      </c>
      <c r="L32" s="99"/>
      <c r="M32" s="99"/>
      <c r="N32" s="99"/>
      <c r="O32" s="99"/>
      <c r="P32" s="99"/>
      <c r="Q32" s="99"/>
      <c r="R32" s="99"/>
      <c r="S32" s="99"/>
      <c r="T32" s="99"/>
      <c r="U32" s="99"/>
      <c r="V32" s="99"/>
      <c r="W32" s="99"/>
      <c r="X32" s="99"/>
      <c r="Y32" s="99"/>
    </row>
    <row r="33" spans="1:25" ht="29.65" customHeight="1">
      <c r="A33" s="99"/>
      <c r="B33" s="4">
        <f>B32+1</f>
        <v>30</v>
      </c>
      <c r="C33" s="4" t="s">
        <v>359</v>
      </c>
      <c r="D33" s="4" t="s">
        <v>243</v>
      </c>
      <c r="E33" s="4"/>
      <c r="F33" s="4"/>
      <c r="G33" s="84" t="s">
        <v>235</v>
      </c>
      <c r="H33" s="84" t="s">
        <v>333</v>
      </c>
      <c r="I33" s="84" t="s">
        <v>235</v>
      </c>
      <c r="J33" s="84" t="s">
        <v>237</v>
      </c>
      <c r="K33" s="4"/>
      <c r="L33" s="99"/>
      <c r="M33" s="99"/>
      <c r="N33" s="99"/>
      <c r="O33" s="99"/>
      <c r="P33" s="99"/>
      <c r="Q33" s="99"/>
      <c r="R33" s="99"/>
      <c r="S33" s="99"/>
      <c r="T33" s="99"/>
      <c r="U33" s="99"/>
      <c r="V33" s="99"/>
      <c r="W33" s="99"/>
      <c r="X33" s="99"/>
      <c r="Y33" s="99"/>
    </row>
    <row r="34" spans="1:25" ht="28.9" customHeight="1">
      <c r="A34" s="99"/>
      <c r="B34" s="4">
        <f>B33+1</f>
        <v>31</v>
      </c>
      <c r="C34" s="4" t="s">
        <v>360</v>
      </c>
      <c r="D34" s="4" t="s">
        <v>119</v>
      </c>
      <c r="E34" s="4"/>
      <c r="F34" s="4"/>
      <c r="G34" s="84" t="s">
        <v>235</v>
      </c>
      <c r="H34" s="84" t="s">
        <v>333</v>
      </c>
      <c r="I34" s="84" t="s">
        <v>235</v>
      </c>
      <c r="J34" s="84" t="s">
        <v>235</v>
      </c>
      <c r="K34" s="4" t="s">
        <v>235</v>
      </c>
      <c r="L34" s="99"/>
      <c r="M34" s="99"/>
      <c r="N34" s="99"/>
      <c r="O34" s="99"/>
      <c r="P34" s="99"/>
      <c r="Q34" s="99"/>
      <c r="R34" s="99"/>
      <c r="S34" s="99"/>
      <c r="T34" s="99"/>
      <c r="U34" s="99"/>
      <c r="V34" s="99"/>
      <c r="W34" s="99"/>
      <c r="X34" s="99"/>
      <c r="Y34" s="99"/>
    </row>
    <row r="35" spans="1:25" ht="28.15" customHeight="1">
      <c r="A35" s="99"/>
      <c r="B35" s="4">
        <f>B34+1</f>
        <v>32</v>
      </c>
      <c r="C35" s="4" t="s">
        <v>146</v>
      </c>
      <c r="D35" s="4" t="s">
        <v>119</v>
      </c>
      <c r="E35" s="4"/>
      <c r="F35" s="4"/>
      <c r="G35" s="84" t="s">
        <v>361</v>
      </c>
      <c r="H35" s="84" t="s">
        <v>362</v>
      </c>
      <c r="I35" s="84" t="s">
        <v>235</v>
      </c>
      <c r="J35" s="84" t="s">
        <v>235</v>
      </c>
      <c r="K35" s="4" t="s">
        <v>235</v>
      </c>
      <c r="L35" s="99"/>
      <c r="M35" s="99"/>
      <c r="N35" s="99"/>
      <c r="O35" s="99"/>
      <c r="P35" s="99"/>
      <c r="Q35" s="99"/>
      <c r="R35" s="99"/>
      <c r="S35" s="99"/>
      <c r="T35" s="99"/>
      <c r="U35" s="99"/>
      <c r="V35" s="99"/>
      <c r="W35" s="99"/>
      <c r="X35" s="99"/>
      <c r="Y35" s="99"/>
    </row>
    <row r="36" spans="1:25" ht="28.9" customHeight="1">
      <c r="A36" s="99"/>
      <c r="B36" s="4">
        <f>B35+1</f>
        <v>33</v>
      </c>
      <c r="C36" s="4" t="s">
        <v>363</v>
      </c>
      <c r="D36" s="4" t="s">
        <v>119</v>
      </c>
      <c r="E36" s="4"/>
      <c r="F36" s="4"/>
      <c r="G36" s="84" t="s">
        <v>235</v>
      </c>
      <c r="H36" s="84" t="s">
        <v>333</v>
      </c>
      <c r="I36" s="84" t="s">
        <v>237</v>
      </c>
      <c r="J36" s="84" t="s">
        <v>235</v>
      </c>
      <c r="K36" s="4" t="s">
        <v>235</v>
      </c>
      <c r="L36" s="99"/>
      <c r="M36" s="99"/>
      <c r="N36" s="99"/>
      <c r="O36" s="99"/>
      <c r="P36" s="99"/>
      <c r="Q36" s="99"/>
      <c r="R36" s="99"/>
      <c r="S36" s="99"/>
      <c r="T36" s="99"/>
      <c r="U36" s="99"/>
      <c r="V36" s="99"/>
      <c r="W36" s="99"/>
      <c r="X36" s="99"/>
      <c r="Y36" s="99"/>
    </row>
    <row r="37" spans="1:25" ht="28.9" customHeight="1">
      <c r="A37" s="99"/>
      <c r="B37" s="4">
        <f>B36+1</f>
        <v>34</v>
      </c>
      <c r="C37" s="4" t="s">
        <v>364</v>
      </c>
      <c r="D37" s="4" t="s">
        <v>119</v>
      </c>
      <c r="E37" s="4"/>
      <c r="F37" s="4"/>
      <c r="G37" s="84" t="s">
        <v>237</v>
      </c>
      <c r="H37" s="84" t="s">
        <v>328</v>
      </c>
      <c r="I37" s="84" t="s">
        <v>237</v>
      </c>
      <c r="J37" s="84" t="s">
        <v>237</v>
      </c>
      <c r="K37" s="4" t="s">
        <v>235</v>
      </c>
      <c r="L37" s="99"/>
      <c r="M37" s="99"/>
      <c r="N37" s="99"/>
      <c r="O37" s="99"/>
      <c r="P37" s="99"/>
      <c r="Q37" s="99"/>
      <c r="R37" s="99"/>
      <c r="S37" s="99"/>
      <c r="T37" s="99"/>
      <c r="U37" s="99"/>
      <c r="V37" s="99"/>
      <c r="W37" s="99"/>
      <c r="X37" s="99"/>
      <c r="Y37" s="99"/>
    </row>
    <row r="38" spans="1:25" ht="29.1" customHeight="1">
      <c r="A38" s="99"/>
      <c r="B38" s="4">
        <f>B37+1</f>
        <v>35</v>
      </c>
      <c r="C38" s="4" t="s">
        <v>365</v>
      </c>
      <c r="D38" s="4" t="s">
        <v>119</v>
      </c>
      <c r="E38" s="4"/>
      <c r="F38" s="4"/>
      <c r="G38" s="84" t="s">
        <v>361</v>
      </c>
      <c r="H38" s="84" t="s">
        <v>362</v>
      </c>
      <c r="I38" s="84" t="s">
        <v>235</v>
      </c>
      <c r="J38" s="84" t="s">
        <v>235</v>
      </c>
      <c r="K38" s="4" t="s">
        <v>235</v>
      </c>
      <c r="L38" s="99"/>
      <c r="M38" s="99"/>
      <c r="N38" s="99"/>
      <c r="O38" s="99"/>
      <c r="P38" s="99"/>
      <c r="Q38" s="99"/>
      <c r="R38" s="99"/>
      <c r="S38" s="99"/>
      <c r="T38" s="99"/>
      <c r="U38" s="99"/>
      <c r="V38" s="99"/>
      <c r="W38" s="99"/>
      <c r="X38" s="99"/>
      <c r="Y38" s="99"/>
    </row>
    <row r="39" spans="1:25" ht="28.9" customHeight="1">
      <c r="A39" s="99"/>
      <c r="B39" s="4">
        <f>B38+1</f>
        <v>36</v>
      </c>
      <c r="C39" s="4" t="s">
        <v>366</v>
      </c>
      <c r="D39" s="4" t="s">
        <v>119</v>
      </c>
      <c r="E39" s="4"/>
      <c r="F39" s="4"/>
      <c r="G39" s="84" t="s">
        <v>237</v>
      </c>
      <c r="H39" s="84" t="s">
        <v>328</v>
      </c>
      <c r="I39" s="84" t="s">
        <v>237</v>
      </c>
      <c r="J39" s="84" t="s">
        <v>235</v>
      </c>
      <c r="K39" s="4" t="s">
        <v>235</v>
      </c>
      <c r="L39" s="99"/>
      <c r="M39" s="99"/>
      <c r="N39" s="99"/>
      <c r="O39" s="99"/>
      <c r="P39" s="99"/>
      <c r="Q39" s="99"/>
      <c r="R39" s="99"/>
      <c r="S39" s="99"/>
      <c r="T39" s="99"/>
      <c r="U39" s="99"/>
      <c r="V39" s="99"/>
      <c r="W39" s="99"/>
      <c r="X39" s="99"/>
      <c r="Y39" s="99"/>
    </row>
    <row r="40" spans="1:25" ht="29.65" customHeight="1">
      <c r="A40" s="99"/>
      <c r="B40" s="4">
        <f>B39+1</f>
        <v>37</v>
      </c>
      <c r="C40" s="4" t="s">
        <v>120</v>
      </c>
      <c r="D40" s="4" t="s">
        <v>119</v>
      </c>
      <c r="E40" s="4"/>
      <c r="F40" s="4"/>
      <c r="G40" s="84" t="s">
        <v>361</v>
      </c>
      <c r="H40" s="84" t="s">
        <v>362</v>
      </c>
      <c r="I40" s="84" t="s">
        <v>235</v>
      </c>
      <c r="J40" s="84" t="s">
        <v>235</v>
      </c>
      <c r="K40" s="4" t="s">
        <v>235</v>
      </c>
      <c r="L40" s="99"/>
      <c r="M40" s="99"/>
      <c r="N40" s="99"/>
      <c r="O40" s="99"/>
      <c r="P40" s="99"/>
      <c r="Q40" s="99"/>
      <c r="R40" s="99"/>
      <c r="S40" s="99"/>
      <c r="T40" s="99"/>
      <c r="U40" s="99"/>
      <c r="V40" s="99"/>
      <c r="W40" s="99"/>
      <c r="X40" s="99"/>
      <c r="Y40" s="99"/>
    </row>
    <row r="41" spans="1:25" ht="28.9" customHeight="1">
      <c r="A41" s="99"/>
      <c r="B41" s="4">
        <f>B40+1</f>
        <v>38</v>
      </c>
      <c r="C41" s="4" t="s">
        <v>367</v>
      </c>
      <c r="D41" s="4" t="s">
        <v>119</v>
      </c>
      <c r="E41" s="4"/>
      <c r="F41" s="4"/>
      <c r="G41" s="84" t="s">
        <v>235</v>
      </c>
      <c r="H41" s="84" t="s">
        <v>333</v>
      </c>
      <c r="I41" s="84" t="s">
        <v>235</v>
      </c>
      <c r="J41" s="84" t="s">
        <v>235</v>
      </c>
      <c r="K41" s="4" t="s">
        <v>235</v>
      </c>
      <c r="L41" s="99"/>
      <c r="M41" s="99"/>
      <c r="N41" s="99"/>
      <c r="O41" s="99"/>
      <c r="P41" s="99"/>
      <c r="Q41" s="99"/>
      <c r="R41" s="99"/>
      <c r="S41" s="99"/>
      <c r="T41" s="99"/>
      <c r="U41" s="99"/>
      <c r="V41" s="99"/>
      <c r="W41" s="99"/>
      <c r="X41" s="99"/>
      <c r="Y41" s="99"/>
    </row>
    <row r="42" spans="1:25" ht="28.9" customHeight="1">
      <c r="A42" s="99"/>
      <c r="B42" s="4">
        <f>B41+1</f>
        <v>39</v>
      </c>
      <c r="C42" s="4" t="s">
        <v>368</v>
      </c>
      <c r="D42" s="4" t="s">
        <v>119</v>
      </c>
      <c r="E42" s="4"/>
      <c r="F42" s="4"/>
      <c r="G42" s="84" t="s">
        <v>235</v>
      </c>
      <c r="H42" s="84" t="s">
        <v>333</v>
      </c>
      <c r="I42" s="84" t="s">
        <v>237</v>
      </c>
      <c r="J42" s="84" t="s">
        <v>237</v>
      </c>
      <c r="K42" s="4" t="s">
        <v>235</v>
      </c>
      <c r="L42" s="99"/>
      <c r="M42" s="99"/>
      <c r="N42" s="99"/>
      <c r="O42" s="99"/>
      <c r="P42" s="99"/>
      <c r="Q42" s="99"/>
      <c r="R42" s="99"/>
      <c r="S42" s="99"/>
      <c r="T42" s="99"/>
      <c r="U42" s="99"/>
      <c r="V42" s="99"/>
      <c r="W42" s="99"/>
      <c r="X42" s="99"/>
      <c r="Y42" s="99"/>
    </row>
    <row r="43" spans="1:25" ht="28.9" customHeight="1">
      <c r="A43" s="99"/>
      <c r="B43" s="4">
        <f>B42+1</f>
        <v>40</v>
      </c>
      <c r="C43" s="4" t="s">
        <v>369</v>
      </c>
      <c r="D43" s="4" t="s">
        <v>119</v>
      </c>
      <c r="E43" s="4"/>
      <c r="F43" s="4"/>
      <c r="G43" s="84" t="s">
        <v>235</v>
      </c>
      <c r="H43" s="84" t="s">
        <v>333</v>
      </c>
      <c r="I43" s="84" t="s">
        <v>237</v>
      </c>
      <c r="J43" s="84" t="s">
        <v>237</v>
      </c>
      <c r="K43" s="4" t="s">
        <v>235</v>
      </c>
      <c r="L43" s="99"/>
      <c r="M43" s="99"/>
      <c r="N43" s="99"/>
      <c r="O43" s="99"/>
      <c r="P43" s="99"/>
      <c r="Q43" s="99"/>
      <c r="R43" s="99"/>
      <c r="S43" s="99"/>
      <c r="T43" s="99"/>
      <c r="U43" s="99"/>
      <c r="V43" s="99"/>
      <c r="W43" s="99"/>
      <c r="X43" s="99"/>
      <c r="Y43" s="99"/>
    </row>
    <row r="44" spans="1:25" ht="28.9" customHeight="1">
      <c r="A44" s="99"/>
      <c r="B44" s="4">
        <f>B43+1</f>
        <v>41</v>
      </c>
      <c r="C44" s="4" t="s">
        <v>370</v>
      </c>
      <c r="D44" s="4" t="s">
        <v>119</v>
      </c>
      <c r="E44" s="4"/>
      <c r="F44" s="4"/>
      <c r="G44" s="84" t="s">
        <v>235</v>
      </c>
      <c r="H44" s="84" t="s">
        <v>333</v>
      </c>
      <c r="I44" s="84" t="s">
        <v>235</v>
      </c>
      <c r="J44" s="84" t="s">
        <v>235</v>
      </c>
      <c r="K44" s="4" t="s">
        <v>235</v>
      </c>
      <c r="L44" s="99"/>
      <c r="M44" s="99"/>
      <c r="N44" s="99"/>
      <c r="O44" s="99"/>
      <c r="P44" s="99"/>
      <c r="Q44" s="99"/>
      <c r="R44" s="99"/>
      <c r="S44" s="99"/>
      <c r="T44" s="99"/>
      <c r="U44" s="99"/>
      <c r="V44" s="99"/>
      <c r="W44" s="99"/>
      <c r="X44" s="99"/>
      <c r="Y44" s="99"/>
    </row>
    <row r="45" spans="1:25" ht="28.9" customHeight="1">
      <c r="A45" s="99"/>
      <c r="B45" s="4">
        <f>B44+1</f>
        <v>42</v>
      </c>
      <c r="C45" s="4" t="s">
        <v>371</v>
      </c>
      <c r="D45" s="4" t="s">
        <v>119</v>
      </c>
      <c r="E45" s="4"/>
      <c r="F45" s="4"/>
      <c r="G45" s="84" t="s">
        <v>235</v>
      </c>
      <c r="H45" s="84" t="s">
        <v>333</v>
      </c>
      <c r="I45" s="84" t="s">
        <v>235</v>
      </c>
      <c r="J45" s="84" t="s">
        <v>235</v>
      </c>
      <c r="K45" s="4" t="s">
        <v>235</v>
      </c>
      <c r="L45" s="99"/>
      <c r="M45" s="99"/>
      <c r="N45" s="99"/>
      <c r="O45" s="99"/>
      <c r="P45" s="99"/>
      <c r="Q45" s="99"/>
      <c r="R45" s="99"/>
      <c r="S45" s="99"/>
      <c r="T45" s="99"/>
      <c r="U45" s="99"/>
      <c r="V45" s="99"/>
      <c r="W45" s="99"/>
      <c r="X45" s="99"/>
      <c r="Y45" s="99"/>
    </row>
    <row r="46" spans="1:25" ht="28.9" customHeight="1">
      <c r="A46" s="99"/>
      <c r="B46" s="4">
        <f>B45+1</f>
        <v>43</v>
      </c>
      <c r="C46" s="4" t="s">
        <v>372</v>
      </c>
      <c r="D46" s="4" t="s">
        <v>119</v>
      </c>
      <c r="E46" s="4"/>
      <c r="F46" s="4"/>
      <c r="G46" s="84" t="s">
        <v>235</v>
      </c>
      <c r="H46" s="84" t="s">
        <v>333</v>
      </c>
      <c r="I46" s="84" t="s">
        <v>235</v>
      </c>
      <c r="J46" s="84" t="s">
        <v>235</v>
      </c>
      <c r="K46" s="4" t="s">
        <v>235</v>
      </c>
      <c r="L46" s="99"/>
      <c r="M46" s="99"/>
      <c r="N46" s="99"/>
      <c r="O46" s="99"/>
      <c r="P46" s="99"/>
      <c r="Q46" s="99"/>
      <c r="R46" s="99"/>
      <c r="S46" s="99"/>
      <c r="T46" s="99"/>
      <c r="U46" s="99"/>
      <c r="V46" s="99"/>
      <c r="W46" s="99"/>
      <c r="X46" s="99"/>
      <c r="Y46" s="99"/>
    </row>
    <row r="47" spans="1:25" ht="28.9" customHeight="1">
      <c r="A47" s="99"/>
      <c r="B47" s="4">
        <f>B46+1</f>
        <v>44</v>
      </c>
      <c r="C47" s="4" t="s">
        <v>373</v>
      </c>
      <c r="D47" s="4" t="s">
        <v>119</v>
      </c>
      <c r="E47" s="4"/>
      <c r="F47" s="4"/>
      <c r="G47" s="84" t="s">
        <v>235</v>
      </c>
      <c r="H47" s="84" t="s">
        <v>333</v>
      </c>
      <c r="I47" s="84" t="s">
        <v>235</v>
      </c>
      <c r="J47" s="84" t="s">
        <v>235</v>
      </c>
      <c r="K47" s="4" t="s">
        <v>235</v>
      </c>
      <c r="L47" s="99"/>
      <c r="M47" s="99"/>
      <c r="N47" s="99"/>
      <c r="O47" s="99"/>
      <c r="P47" s="99"/>
      <c r="Q47" s="99"/>
      <c r="R47" s="99"/>
      <c r="S47" s="99"/>
      <c r="T47" s="99"/>
      <c r="U47" s="99"/>
      <c r="V47" s="99"/>
      <c r="W47" s="99"/>
      <c r="X47" s="99"/>
      <c r="Y47" s="99"/>
    </row>
    <row r="48" spans="1:25" ht="28.9" customHeight="1">
      <c r="A48" s="99"/>
      <c r="B48" s="4">
        <f>B47+1</f>
        <v>45</v>
      </c>
      <c r="C48" s="4" t="s">
        <v>374</v>
      </c>
      <c r="D48" s="4" t="s">
        <v>119</v>
      </c>
      <c r="E48" s="4"/>
      <c r="F48" s="4"/>
      <c r="G48" s="84" t="s">
        <v>235</v>
      </c>
      <c r="H48" s="84" t="s">
        <v>333</v>
      </c>
      <c r="I48" s="84" t="s">
        <v>235</v>
      </c>
      <c r="J48" s="84" t="s">
        <v>235</v>
      </c>
      <c r="K48" s="4" t="s">
        <v>235</v>
      </c>
      <c r="L48" s="99"/>
      <c r="M48" s="99"/>
      <c r="N48" s="99"/>
      <c r="O48" s="99"/>
      <c r="P48" s="99"/>
      <c r="Q48" s="99"/>
      <c r="R48" s="99"/>
      <c r="S48" s="99"/>
      <c r="T48" s="99"/>
      <c r="U48" s="99"/>
      <c r="V48" s="99"/>
      <c r="W48" s="99"/>
      <c r="X48" s="99"/>
      <c r="Y48" s="99"/>
    </row>
    <row r="49" spans="1:25" ht="28.9" customHeight="1">
      <c r="A49" s="99"/>
      <c r="B49" s="4">
        <f>B48+1</f>
        <v>46</v>
      </c>
      <c r="C49" s="4" t="s">
        <v>125</v>
      </c>
      <c r="D49" s="4" t="s">
        <v>124</v>
      </c>
      <c r="E49" s="4"/>
      <c r="F49" s="4"/>
      <c r="G49" s="84" t="s">
        <v>237</v>
      </c>
      <c r="H49" s="84" t="s">
        <v>328</v>
      </c>
      <c r="I49" s="84" t="s">
        <v>235</v>
      </c>
      <c r="J49" s="84" t="s">
        <v>235</v>
      </c>
      <c r="K49" s="4" t="s">
        <v>235</v>
      </c>
      <c r="L49" s="99"/>
      <c r="M49" s="99"/>
      <c r="N49" s="99"/>
      <c r="O49" s="99"/>
      <c r="P49" s="99"/>
      <c r="Q49" s="99"/>
      <c r="R49" s="99"/>
      <c r="S49" s="99"/>
      <c r="T49" s="99"/>
      <c r="U49" s="99"/>
      <c r="V49" s="99"/>
      <c r="W49" s="99"/>
      <c r="X49" s="99"/>
      <c r="Y49" s="99"/>
    </row>
    <row r="50" spans="1:25" ht="28.9" customHeight="1">
      <c r="A50" s="99"/>
      <c r="B50" s="4">
        <f>B49+1</f>
        <v>47</v>
      </c>
      <c r="C50" s="4" t="s">
        <v>375</v>
      </c>
      <c r="D50" s="4" t="s">
        <v>119</v>
      </c>
      <c r="E50" s="4"/>
      <c r="F50" s="4"/>
      <c r="G50" s="84" t="s">
        <v>235</v>
      </c>
      <c r="H50" s="84" t="s">
        <v>333</v>
      </c>
      <c r="I50" s="84" t="s">
        <v>237</v>
      </c>
      <c r="J50" s="84" t="s">
        <v>237</v>
      </c>
      <c r="K50" s="4" t="s">
        <v>235</v>
      </c>
      <c r="L50" s="99"/>
      <c r="M50" s="99"/>
      <c r="N50" s="99"/>
      <c r="O50" s="99"/>
      <c r="P50" s="99"/>
      <c r="Q50" s="99"/>
      <c r="R50" s="99"/>
      <c r="S50" s="99"/>
      <c r="T50" s="99"/>
      <c r="U50" s="99"/>
      <c r="V50" s="99"/>
      <c r="W50" s="99"/>
      <c r="X50" s="99"/>
      <c r="Y50" s="99"/>
    </row>
    <row r="51" spans="1:25" ht="29.65" customHeight="1">
      <c r="A51" s="99"/>
      <c r="B51" s="4">
        <f>B50+1</f>
        <v>48</v>
      </c>
      <c r="C51" s="4" t="s">
        <v>376</v>
      </c>
      <c r="D51" s="4" t="s">
        <v>119</v>
      </c>
      <c r="E51" s="4"/>
      <c r="F51" s="4"/>
      <c r="G51" s="84" t="s">
        <v>361</v>
      </c>
      <c r="H51" s="84" t="s">
        <v>362</v>
      </c>
      <c r="I51" s="84" t="s">
        <v>235</v>
      </c>
      <c r="J51" s="84" t="s">
        <v>235</v>
      </c>
      <c r="K51" s="4" t="s">
        <v>235</v>
      </c>
      <c r="L51" s="99"/>
      <c r="M51" s="99"/>
      <c r="N51" s="99"/>
      <c r="O51" s="99"/>
      <c r="P51" s="99"/>
      <c r="Q51" s="99"/>
      <c r="R51" s="99"/>
      <c r="S51" s="99"/>
      <c r="T51" s="99"/>
      <c r="U51" s="99"/>
      <c r="V51" s="99"/>
      <c r="W51" s="99"/>
      <c r="X51" s="99"/>
      <c r="Y51" s="99"/>
    </row>
    <row r="52" spans="1:25" ht="28.9" customHeight="1">
      <c r="A52" s="99"/>
      <c r="B52" s="4">
        <f>B51+1</f>
        <v>49</v>
      </c>
      <c r="C52" s="4" t="s">
        <v>377</v>
      </c>
      <c r="D52" s="4" t="s">
        <v>119</v>
      </c>
      <c r="E52" s="4"/>
      <c r="F52" s="4"/>
      <c r="G52" s="84" t="s">
        <v>235</v>
      </c>
      <c r="H52" s="84" t="s">
        <v>333</v>
      </c>
      <c r="I52" s="84" t="s">
        <v>235</v>
      </c>
      <c r="J52" s="84" t="s">
        <v>235</v>
      </c>
      <c r="K52" s="4" t="s">
        <v>235</v>
      </c>
      <c r="L52" s="99"/>
      <c r="M52" s="99"/>
      <c r="N52" s="99"/>
      <c r="O52" s="99"/>
      <c r="P52" s="99"/>
      <c r="Q52" s="99"/>
      <c r="R52" s="99"/>
      <c r="S52" s="99"/>
      <c r="T52" s="99"/>
      <c r="U52" s="99"/>
      <c r="V52" s="99"/>
      <c r="W52" s="99"/>
      <c r="X52" s="99"/>
      <c r="Y52" s="99"/>
    </row>
    <row r="53" spans="1:25" ht="28.9" customHeight="1">
      <c r="A53" s="99"/>
      <c r="B53" s="4">
        <f>B52+1</f>
        <v>50</v>
      </c>
      <c r="C53" s="4" t="s">
        <v>378</v>
      </c>
      <c r="D53" s="4" t="s">
        <v>119</v>
      </c>
      <c r="E53" s="4"/>
      <c r="F53" s="4"/>
      <c r="G53" s="84" t="s">
        <v>235</v>
      </c>
      <c r="H53" s="84" t="s">
        <v>333</v>
      </c>
      <c r="I53" s="84" t="s">
        <v>235</v>
      </c>
      <c r="J53" s="84" t="s">
        <v>235</v>
      </c>
      <c r="K53" s="4" t="s">
        <v>235</v>
      </c>
      <c r="L53" s="99"/>
      <c r="M53" s="99"/>
      <c r="N53" s="99"/>
      <c r="O53" s="99"/>
      <c r="P53" s="99"/>
      <c r="Q53" s="99"/>
      <c r="R53" s="99"/>
      <c r="S53" s="99"/>
      <c r="T53" s="99"/>
      <c r="U53" s="99"/>
      <c r="V53" s="99"/>
      <c r="W53" s="99"/>
      <c r="X53" s="99"/>
      <c r="Y53" s="99"/>
    </row>
    <row r="54" spans="1:25" ht="29.65" customHeight="1">
      <c r="A54" s="99"/>
      <c r="B54" s="4">
        <f>B53+1</f>
        <v>51</v>
      </c>
      <c r="C54" s="4" t="s">
        <v>122</v>
      </c>
      <c r="D54" s="4" t="s">
        <v>119</v>
      </c>
      <c r="E54" s="4"/>
      <c r="F54" s="4"/>
      <c r="G54" s="84" t="s">
        <v>235</v>
      </c>
      <c r="H54" s="84" t="s">
        <v>333</v>
      </c>
      <c r="I54" s="84" t="s">
        <v>235</v>
      </c>
      <c r="J54" s="84" t="s">
        <v>235</v>
      </c>
      <c r="K54" s="4"/>
      <c r="L54" s="99"/>
      <c r="M54" s="99"/>
      <c r="N54" s="99"/>
      <c r="O54" s="99"/>
      <c r="P54" s="99"/>
      <c r="Q54" s="99"/>
      <c r="R54" s="99"/>
      <c r="S54" s="99"/>
      <c r="T54" s="99"/>
      <c r="U54" s="99"/>
      <c r="V54" s="99"/>
      <c r="W54" s="99"/>
      <c r="X54" s="99"/>
      <c r="Y54" s="99"/>
    </row>
    <row r="55" spans="1:25" ht="28.9" customHeight="1">
      <c r="A55" s="99"/>
      <c r="B55" s="4">
        <f>B54+1</f>
        <v>52</v>
      </c>
      <c r="C55" s="4" t="s">
        <v>379</v>
      </c>
      <c r="D55" s="4" t="s">
        <v>244</v>
      </c>
      <c r="E55" s="4"/>
      <c r="F55" s="4"/>
      <c r="G55" s="84" t="s">
        <v>235</v>
      </c>
      <c r="H55" s="84" t="s">
        <v>333</v>
      </c>
      <c r="I55" s="84" t="s">
        <v>235</v>
      </c>
      <c r="J55" s="84" t="s">
        <v>235</v>
      </c>
      <c r="K55" s="4" t="s">
        <v>235</v>
      </c>
      <c r="L55" s="99"/>
      <c r="M55" s="99"/>
      <c r="N55" s="99"/>
      <c r="O55" s="99"/>
      <c r="P55" s="99"/>
      <c r="Q55" s="99"/>
      <c r="R55" s="99"/>
      <c r="S55" s="99"/>
      <c r="T55" s="99"/>
      <c r="U55" s="99"/>
      <c r="V55" s="99"/>
      <c r="W55" s="99"/>
      <c r="X55" s="99"/>
      <c r="Y55" s="99"/>
    </row>
    <row r="56" spans="1:25" ht="28.9" customHeight="1">
      <c r="A56" s="99"/>
      <c r="B56" s="4">
        <f>B55+1</f>
        <v>53</v>
      </c>
      <c r="C56" s="4" t="s">
        <v>380</v>
      </c>
      <c r="D56" s="4" t="s">
        <v>244</v>
      </c>
      <c r="E56" s="4"/>
      <c r="F56" s="4"/>
      <c r="G56" s="84" t="s">
        <v>237</v>
      </c>
      <c r="H56" s="84" t="s">
        <v>328</v>
      </c>
      <c r="I56" s="84" t="s">
        <v>237</v>
      </c>
      <c r="J56" s="84" t="s">
        <v>237</v>
      </c>
      <c r="K56" s="4" t="s">
        <v>235</v>
      </c>
      <c r="L56" s="99"/>
      <c r="M56" s="99"/>
      <c r="N56" s="99"/>
      <c r="O56" s="99"/>
      <c r="P56" s="99"/>
      <c r="Q56" s="99"/>
      <c r="R56" s="99"/>
      <c r="S56" s="99"/>
      <c r="T56" s="99"/>
      <c r="U56" s="99"/>
      <c r="V56" s="99"/>
      <c r="W56" s="99"/>
      <c r="X56" s="99"/>
      <c r="Y56" s="99"/>
    </row>
    <row r="57" spans="1:25" ht="28.9" customHeight="1">
      <c r="A57" s="99"/>
      <c r="B57" s="4">
        <f>B56+1</f>
        <v>54</v>
      </c>
      <c r="C57" s="4" t="s">
        <v>381</v>
      </c>
      <c r="D57" s="4" t="s">
        <v>244</v>
      </c>
      <c r="E57" s="4"/>
      <c r="F57" s="4"/>
      <c r="G57" s="84" t="s">
        <v>237</v>
      </c>
      <c r="H57" s="84" t="s">
        <v>328</v>
      </c>
      <c r="I57" s="84" t="s">
        <v>235</v>
      </c>
      <c r="J57" s="84" t="s">
        <v>235</v>
      </c>
      <c r="K57" s="4" t="s">
        <v>235</v>
      </c>
      <c r="L57" s="99"/>
      <c r="M57" s="99"/>
      <c r="N57" s="99"/>
      <c r="O57" s="99"/>
      <c r="P57" s="99"/>
      <c r="Q57" s="99"/>
      <c r="R57" s="99"/>
      <c r="S57" s="99"/>
      <c r="T57" s="99"/>
      <c r="U57" s="99"/>
      <c r="V57" s="99"/>
      <c r="W57" s="99"/>
      <c r="X57" s="99"/>
      <c r="Y57" s="99"/>
    </row>
    <row r="58" spans="1:25" ht="28.9" customHeight="1">
      <c r="A58" s="99"/>
      <c r="B58" s="4">
        <f>B57+1</f>
        <v>55</v>
      </c>
      <c r="C58" s="4" t="s">
        <v>382</v>
      </c>
      <c r="D58" s="4" t="s">
        <v>244</v>
      </c>
      <c r="E58" s="4"/>
      <c r="F58" s="4"/>
      <c r="G58" s="84" t="s">
        <v>237</v>
      </c>
      <c r="H58" s="84" t="s">
        <v>328</v>
      </c>
      <c r="I58" s="84" t="s">
        <v>235</v>
      </c>
      <c r="J58" s="84" t="s">
        <v>235</v>
      </c>
      <c r="K58" s="4" t="s">
        <v>235</v>
      </c>
      <c r="L58" s="99"/>
      <c r="M58" s="99"/>
      <c r="N58" s="99"/>
      <c r="O58" s="99"/>
      <c r="P58" s="99"/>
      <c r="Q58" s="99"/>
      <c r="R58" s="99"/>
      <c r="S58" s="99"/>
      <c r="T58" s="99"/>
      <c r="U58" s="99"/>
      <c r="V58" s="99"/>
      <c r="W58" s="99"/>
      <c r="X58" s="99"/>
      <c r="Y58" s="99"/>
    </row>
    <row r="59" spans="1:25" ht="28.9" customHeight="1">
      <c r="A59" s="99"/>
      <c r="B59" s="4">
        <f>B58+1</f>
        <v>56</v>
      </c>
      <c r="C59" s="4" t="s">
        <v>383</v>
      </c>
      <c r="D59" s="4" t="s">
        <v>241</v>
      </c>
      <c r="E59" s="4"/>
      <c r="F59" s="4"/>
      <c r="G59" s="84" t="s">
        <v>237</v>
      </c>
      <c r="H59" s="84" t="s">
        <v>328</v>
      </c>
      <c r="I59" s="84" t="s">
        <v>237</v>
      </c>
      <c r="J59" s="84" t="s">
        <v>237</v>
      </c>
      <c r="K59" s="4" t="s">
        <v>235</v>
      </c>
      <c r="L59" s="99"/>
      <c r="M59" s="99"/>
      <c r="N59" s="99"/>
      <c r="O59" s="99"/>
      <c r="P59" s="99"/>
      <c r="Q59" s="99"/>
      <c r="R59" s="99"/>
      <c r="S59" s="99"/>
      <c r="T59" s="99"/>
      <c r="U59" s="99"/>
      <c r="V59" s="99"/>
      <c r="W59" s="99"/>
      <c r="X59" s="99"/>
      <c r="Y59" s="99"/>
    </row>
    <row r="60" spans="1:25" ht="28.9" customHeight="1">
      <c r="A60" s="99"/>
      <c r="B60" s="4">
        <f>B59+1</f>
        <v>57</v>
      </c>
      <c r="C60" s="4" t="s">
        <v>384</v>
      </c>
      <c r="D60" s="4" t="s">
        <v>245</v>
      </c>
      <c r="E60" s="4"/>
      <c r="F60" s="4"/>
      <c r="G60" s="84" t="s">
        <v>235</v>
      </c>
      <c r="H60" s="84" t="s">
        <v>333</v>
      </c>
      <c r="I60" s="84" t="s">
        <v>354</v>
      </c>
      <c r="J60" s="84" t="s">
        <v>237</v>
      </c>
      <c r="K60" s="4" t="s">
        <v>235</v>
      </c>
      <c r="L60" s="99"/>
      <c r="M60" s="99"/>
      <c r="N60" s="99"/>
      <c r="O60" s="99"/>
      <c r="P60" s="99"/>
      <c r="Q60" s="99"/>
      <c r="R60" s="99"/>
      <c r="S60" s="99"/>
      <c r="T60" s="99"/>
      <c r="U60" s="99"/>
      <c r="V60" s="99"/>
      <c r="W60" s="99"/>
      <c r="X60" s="99"/>
      <c r="Y60" s="99"/>
    </row>
    <row r="61" spans="1:25" ht="28.9" customHeight="1">
      <c r="A61" s="99"/>
      <c r="B61" s="4">
        <f>B60+1</f>
        <v>58</v>
      </c>
      <c r="C61" s="4" t="s">
        <v>385</v>
      </c>
      <c r="D61" s="4" t="s">
        <v>241</v>
      </c>
      <c r="E61" s="4"/>
      <c r="F61" s="4"/>
      <c r="G61" s="84" t="s">
        <v>235</v>
      </c>
      <c r="H61" s="84" t="s">
        <v>333</v>
      </c>
      <c r="I61" s="84" t="s">
        <v>237</v>
      </c>
      <c r="J61" s="84" t="s">
        <v>237</v>
      </c>
      <c r="K61" s="4" t="s">
        <v>235</v>
      </c>
      <c r="L61" s="99"/>
      <c r="M61" s="99"/>
      <c r="N61" s="99"/>
      <c r="O61" s="99"/>
      <c r="P61" s="99"/>
      <c r="Q61" s="99"/>
      <c r="R61" s="99"/>
      <c r="S61" s="99"/>
      <c r="T61" s="99"/>
      <c r="U61" s="99"/>
      <c r="V61" s="99"/>
      <c r="W61" s="99"/>
      <c r="X61" s="99"/>
      <c r="Y61" s="99"/>
    </row>
    <row r="62" spans="1:25" ht="28.9" customHeight="1">
      <c r="A62" s="99"/>
      <c r="B62" s="4">
        <f>B61+1</f>
        <v>59</v>
      </c>
      <c r="C62" s="4" t="s">
        <v>386</v>
      </c>
      <c r="D62" s="4" t="s">
        <v>241</v>
      </c>
      <c r="E62" s="4"/>
      <c r="F62" s="4"/>
      <c r="G62" s="84" t="s">
        <v>235</v>
      </c>
      <c r="H62" s="84" t="s">
        <v>333</v>
      </c>
      <c r="I62" s="84" t="s">
        <v>354</v>
      </c>
      <c r="J62" s="84" t="s">
        <v>237</v>
      </c>
      <c r="K62" s="4" t="s">
        <v>235</v>
      </c>
      <c r="L62" s="99"/>
      <c r="M62" s="99"/>
      <c r="N62" s="99"/>
      <c r="O62" s="99"/>
      <c r="P62" s="99"/>
      <c r="Q62" s="99"/>
      <c r="R62" s="99"/>
      <c r="S62" s="99"/>
      <c r="T62" s="99"/>
      <c r="U62" s="99"/>
      <c r="V62" s="99"/>
      <c r="W62" s="99"/>
      <c r="X62" s="99"/>
      <c r="Y62" s="99"/>
    </row>
    <row r="63" spans="1:25" ht="28.9" customHeight="1">
      <c r="A63" s="99"/>
      <c r="B63" s="4">
        <f>B62+1</f>
        <v>60</v>
      </c>
      <c r="C63" s="4" t="s">
        <v>387</v>
      </c>
      <c r="D63" s="4" t="s">
        <v>241</v>
      </c>
      <c r="E63" s="4"/>
      <c r="F63" s="4"/>
      <c r="G63" s="84" t="s">
        <v>235</v>
      </c>
      <c r="H63" s="84" t="s">
        <v>333</v>
      </c>
      <c r="I63" s="84" t="s">
        <v>237</v>
      </c>
      <c r="J63" s="84" t="s">
        <v>237</v>
      </c>
      <c r="K63" s="4" t="s">
        <v>235</v>
      </c>
      <c r="L63" s="99"/>
      <c r="M63" s="99"/>
      <c r="N63" s="99"/>
      <c r="O63" s="99"/>
      <c r="P63" s="99"/>
      <c r="Q63" s="99"/>
      <c r="R63" s="99"/>
      <c r="S63" s="99"/>
      <c r="T63" s="99"/>
      <c r="U63" s="99"/>
      <c r="V63" s="99"/>
      <c r="W63" s="99"/>
      <c r="X63" s="99"/>
      <c r="Y63" s="99"/>
    </row>
    <row r="64" spans="1:25" ht="28.9" customHeight="1">
      <c r="A64" s="99"/>
      <c r="B64" s="4">
        <f>B63+1</f>
        <v>61</v>
      </c>
      <c r="C64" s="4" t="s">
        <v>388</v>
      </c>
      <c r="D64" s="4" t="s">
        <v>241</v>
      </c>
      <c r="E64" s="4"/>
      <c r="F64" s="4"/>
      <c r="G64" s="84" t="s">
        <v>235</v>
      </c>
      <c r="H64" s="84" t="s">
        <v>333</v>
      </c>
      <c r="I64" s="84" t="s">
        <v>354</v>
      </c>
      <c r="J64" s="84" t="s">
        <v>237</v>
      </c>
      <c r="K64" s="4" t="s">
        <v>235</v>
      </c>
      <c r="L64" s="99"/>
      <c r="M64" s="99"/>
      <c r="N64" s="99"/>
      <c r="O64" s="99"/>
      <c r="P64" s="99"/>
      <c r="Q64" s="99"/>
      <c r="R64" s="99"/>
      <c r="S64" s="99"/>
      <c r="T64" s="99"/>
      <c r="U64" s="99"/>
      <c r="V64" s="99"/>
      <c r="W64" s="99"/>
      <c r="X64" s="99"/>
      <c r="Y64" s="99"/>
    </row>
    <row r="65" spans="1:25" ht="28.9" customHeight="1">
      <c r="A65" s="99"/>
      <c r="B65" s="4">
        <f>B64+1</f>
        <v>62</v>
      </c>
      <c r="C65" s="4" t="s">
        <v>389</v>
      </c>
      <c r="D65" s="4" t="s">
        <v>241</v>
      </c>
      <c r="E65" s="4"/>
      <c r="F65" s="4"/>
      <c r="G65" s="84" t="s">
        <v>235</v>
      </c>
      <c r="H65" s="84" t="s">
        <v>333</v>
      </c>
      <c r="I65" s="84" t="s">
        <v>354</v>
      </c>
      <c r="J65" s="84" t="s">
        <v>237</v>
      </c>
      <c r="K65" s="4" t="s">
        <v>235</v>
      </c>
      <c r="L65" s="99"/>
      <c r="M65" s="99"/>
      <c r="N65" s="99"/>
      <c r="O65" s="99"/>
      <c r="P65" s="99"/>
      <c r="Q65" s="99"/>
      <c r="R65" s="99"/>
      <c r="S65" s="99"/>
      <c r="T65" s="99"/>
      <c r="U65" s="99"/>
      <c r="V65" s="99"/>
      <c r="W65" s="99"/>
      <c r="X65" s="99"/>
      <c r="Y65" s="99"/>
    </row>
    <row r="66" spans="1:25" ht="28.9" customHeight="1">
      <c r="A66" s="99"/>
      <c r="B66" s="4">
        <f>B65+1</f>
        <v>63</v>
      </c>
      <c r="C66" s="4" t="s">
        <v>390</v>
      </c>
      <c r="D66" s="4" t="s">
        <v>241</v>
      </c>
      <c r="E66" s="4"/>
      <c r="F66" s="4"/>
      <c r="G66" s="84" t="s">
        <v>235</v>
      </c>
      <c r="H66" s="84" t="s">
        <v>333</v>
      </c>
      <c r="I66" s="84" t="s">
        <v>354</v>
      </c>
      <c r="J66" s="84" t="s">
        <v>354</v>
      </c>
      <c r="K66" s="4" t="s">
        <v>235</v>
      </c>
      <c r="L66" s="99"/>
      <c r="M66" s="99"/>
      <c r="N66" s="99"/>
      <c r="O66" s="99"/>
      <c r="P66" s="99"/>
      <c r="Q66" s="99"/>
      <c r="R66" s="99"/>
      <c r="S66" s="99"/>
      <c r="T66" s="99"/>
      <c r="U66" s="99"/>
      <c r="V66" s="99"/>
      <c r="W66" s="99"/>
      <c r="X66" s="99"/>
      <c r="Y66" s="99"/>
    </row>
    <row r="67" spans="1:25" ht="28.9" customHeight="1">
      <c r="A67" s="99"/>
      <c r="B67" s="4">
        <f>B66+1</f>
        <v>64</v>
      </c>
      <c r="C67" s="4" t="s">
        <v>391</v>
      </c>
      <c r="D67" s="4" t="s">
        <v>241</v>
      </c>
      <c r="E67" s="4"/>
      <c r="F67" s="4"/>
      <c r="G67" s="84" t="s">
        <v>235</v>
      </c>
      <c r="H67" s="84" t="s">
        <v>333</v>
      </c>
      <c r="I67" s="84" t="s">
        <v>354</v>
      </c>
      <c r="J67" s="84" t="s">
        <v>237</v>
      </c>
      <c r="K67" s="4" t="s">
        <v>235</v>
      </c>
      <c r="L67" s="99"/>
      <c r="M67" s="99"/>
      <c r="N67" s="99"/>
      <c r="O67" s="99"/>
      <c r="P67" s="99"/>
      <c r="Q67" s="99"/>
      <c r="R67" s="99"/>
      <c r="S67" s="99"/>
      <c r="T67" s="99"/>
      <c r="U67" s="99"/>
      <c r="V67" s="99"/>
      <c r="W67" s="99"/>
      <c r="X67" s="99"/>
      <c r="Y67" s="99"/>
    </row>
    <row r="68" spans="1:25" ht="28.9" customHeight="1">
      <c r="A68" s="99"/>
      <c r="B68" s="4">
        <f>B67+1</f>
        <v>65</v>
      </c>
      <c r="C68" s="4" t="s">
        <v>392</v>
      </c>
      <c r="D68" s="4" t="s">
        <v>241</v>
      </c>
      <c r="E68" s="4"/>
      <c r="F68" s="4"/>
      <c r="G68" s="84" t="s">
        <v>237</v>
      </c>
      <c r="H68" s="84" t="s">
        <v>328</v>
      </c>
      <c r="I68" s="84" t="s">
        <v>237</v>
      </c>
      <c r="J68" s="84" t="s">
        <v>237</v>
      </c>
      <c r="K68" s="4" t="s">
        <v>235</v>
      </c>
      <c r="L68" s="99"/>
      <c r="M68" s="99"/>
      <c r="N68" s="99"/>
      <c r="O68" s="99"/>
      <c r="P68" s="99"/>
      <c r="Q68" s="99"/>
      <c r="R68" s="99"/>
      <c r="S68" s="99"/>
      <c r="T68" s="99"/>
      <c r="U68" s="99"/>
      <c r="V68" s="99"/>
      <c r="W68" s="99"/>
      <c r="X68" s="99"/>
      <c r="Y68" s="99"/>
    </row>
    <row r="69" spans="1:25" ht="28.9" customHeight="1">
      <c r="A69" s="99"/>
      <c r="B69" s="4">
        <f>B68+1</f>
        <v>66</v>
      </c>
      <c r="C69" s="4" t="s">
        <v>393</v>
      </c>
      <c r="D69" s="84" t="s">
        <v>240</v>
      </c>
      <c r="E69" s="4"/>
      <c r="F69" s="4"/>
      <c r="G69" s="84" t="s">
        <v>235</v>
      </c>
      <c r="H69" s="84" t="s">
        <v>333</v>
      </c>
      <c r="I69" s="84" t="s">
        <v>237</v>
      </c>
      <c r="J69" s="84" t="s">
        <v>237</v>
      </c>
      <c r="K69" s="4" t="s">
        <v>235</v>
      </c>
      <c r="L69" s="99"/>
      <c r="M69" s="99"/>
      <c r="N69" s="99"/>
      <c r="O69" s="99"/>
      <c r="P69" s="99"/>
      <c r="Q69" s="99"/>
      <c r="R69" s="99"/>
      <c r="S69" s="99"/>
      <c r="T69" s="99"/>
      <c r="U69" s="99"/>
      <c r="V69" s="99"/>
      <c r="W69" s="99"/>
      <c r="X69" s="99"/>
      <c r="Y69" s="99"/>
    </row>
    <row r="70" spans="1:25" ht="28.9" customHeight="1">
      <c r="A70" s="99"/>
      <c r="B70" s="4">
        <f>B69+1</f>
        <v>67</v>
      </c>
      <c r="C70" s="4" t="s">
        <v>394</v>
      </c>
      <c r="D70" s="84" t="s">
        <v>240</v>
      </c>
      <c r="E70" s="4"/>
      <c r="F70" s="4"/>
      <c r="G70" s="84" t="s">
        <v>235</v>
      </c>
      <c r="H70" s="84" t="s">
        <v>333</v>
      </c>
      <c r="I70" s="84" t="s">
        <v>237</v>
      </c>
      <c r="J70" s="84" t="s">
        <v>237</v>
      </c>
      <c r="K70" s="4" t="s">
        <v>235</v>
      </c>
      <c r="L70" s="99"/>
      <c r="M70" s="99"/>
      <c r="N70" s="99"/>
      <c r="O70" s="99"/>
      <c r="P70" s="99"/>
      <c r="Q70" s="99"/>
      <c r="R70" s="99"/>
      <c r="S70" s="99"/>
      <c r="T70" s="99"/>
      <c r="U70" s="99"/>
      <c r="V70" s="99"/>
      <c r="W70" s="99"/>
      <c r="X70" s="99"/>
      <c r="Y70" s="99"/>
    </row>
    <row r="71" spans="1:25" ht="29.45" customHeight="1">
      <c r="A71" s="99"/>
      <c r="B71" s="3">
        <f>B70+1</f>
        <v>68</v>
      </c>
      <c r="C71" s="3" t="s">
        <v>395</v>
      </c>
      <c r="D71" s="266" t="s">
        <v>240</v>
      </c>
      <c r="E71" s="3"/>
      <c r="F71" s="3"/>
      <c r="G71" s="266" t="s">
        <v>237</v>
      </c>
      <c r="H71" s="266" t="s">
        <v>328</v>
      </c>
      <c r="I71" s="266" t="s">
        <v>237</v>
      </c>
      <c r="J71" s="266" t="s">
        <v>237</v>
      </c>
      <c r="K71" s="4" t="s">
        <v>235</v>
      </c>
      <c r="L71" s="99"/>
      <c r="M71" s="99"/>
      <c r="N71" s="99"/>
      <c r="O71" s="99"/>
      <c r="P71" s="99"/>
      <c r="Q71" s="99"/>
      <c r="R71" s="99"/>
      <c r="S71" s="99"/>
      <c r="T71" s="99"/>
      <c r="U71" s="99"/>
      <c r="V71" s="99"/>
      <c r="W71" s="99"/>
      <c r="X71" s="99"/>
      <c r="Y71" s="99"/>
    </row>
    <row r="72" spans="1:25" ht="28.9" customHeight="1">
      <c r="A72" s="99"/>
      <c r="B72" s="249">
        <f>B71+1</f>
        <v>69</v>
      </c>
      <c r="C72" s="249" t="s">
        <v>264</v>
      </c>
      <c r="D72" s="249" t="s">
        <v>257</v>
      </c>
      <c r="E72" s="249"/>
      <c r="F72" s="249"/>
      <c r="G72" s="384" t="s">
        <v>237</v>
      </c>
      <c r="H72" s="384" t="s">
        <v>333</v>
      </c>
      <c r="I72" s="384" t="s">
        <v>235</v>
      </c>
      <c r="J72" s="384" t="s">
        <v>235</v>
      </c>
      <c r="K72" s="4" t="s">
        <v>235</v>
      </c>
      <c r="L72" s="99"/>
      <c r="M72" s="99"/>
      <c r="N72" s="99"/>
      <c r="O72" s="99"/>
      <c r="P72" s="99"/>
      <c r="Q72" s="99"/>
      <c r="R72" s="99"/>
      <c r="S72" s="99"/>
      <c r="T72" s="99"/>
      <c r="U72" s="99"/>
      <c r="V72" s="99"/>
      <c r="W72" s="99"/>
      <c r="X72" s="99"/>
      <c r="Y72" s="99"/>
    </row>
    <row r="73" spans="1:25" ht="28.9" customHeight="1">
      <c r="A73" s="99"/>
      <c r="B73" s="4">
        <f>B72+1</f>
        <v>70</v>
      </c>
      <c r="C73" s="4" t="s">
        <v>265</v>
      </c>
      <c r="D73" s="4" t="s">
        <v>257</v>
      </c>
      <c r="E73" s="4"/>
      <c r="F73" s="4"/>
      <c r="G73" s="84" t="s">
        <v>237</v>
      </c>
      <c r="H73" s="84" t="s">
        <v>333</v>
      </c>
      <c r="I73" s="84" t="s">
        <v>235</v>
      </c>
      <c r="J73" s="84" t="s">
        <v>235</v>
      </c>
      <c r="K73" s="4" t="s">
        <v>235</v>
      </c>
      <c r="L73" s="99"/>
      <c r="M73" s="99"/>
      <c r="N73" s="99"/>
      <c r="O73" s="99"/>
      <c r="P73" s="99"/>
      <c r="Q73" s="99"/>
      <c r="R73" s="99"/>
      <c r="S73" s="99"/>
      <c r="T73" s="99"/>
      <c r="U73" s="99"/>
      <c r="V73" s="99"/>
      <c r="W73" s="99"/>
      <c r="X73" s="99"/>
      <c r="Y73" s="99"/>
    </row>
    <row r="74" spans="1:25" ht="28.9" customHeight="1">
      <c r="A74" s="99"/>
      <c r="B74" s="4">
        <f>B73+1</f>
        <v>71</v>
      </c>
      <c r="C74" s="4" t="s">
        <v>266</v>
      </c>
      <c r="D74" s="4" t="s">
        <v>257</v>
      </c>
      <c r="E74" s="4"/>
      <c r="F74" s="4"/>
      <c r="G74" s="84" t="s">
        <v>237</v>
      </c>
      <c r="H74" s="84" t="s">
        <v>333</v>
      </c>
      <c r="I74" s="84" t="s">
        <v>235</v>
      </c>
      <c r="J74" s="84" t="s">
        <v>235</v>
      </c>
      <c r="K74" s="4" t="s">
        <v>235</v>
      </c>
      <c r="L74" s="99"/>
      <c r="M74" s="99"/>
      <c r="N74" s="99"/>
      <c r="O74" s="99"/>
      <c r="P74" s="99"/>
      <c r="Q74" s="99"/>
      <c r="R74" s="99"/>
      <c r="S74" s="99"/>
      <c r="T74" s="99"/>
      <c r="U74" s="99"/>
      <c r="V74" s="99"/>
      <c r="W74" s="99"/>
      <c r="X74" s="99"/>
      <c r="Y74" s="99"/>
    </row>
    <row r="75" spans="1:25" ht="28.9" customHeight="1">
      <c r="A75" s="99"/>
      <c r="B75" s="4">
        <f>B74+1</f>
        <v>72</v>
      </c>
      <c r="C75" s="4" t="s">
        <v>270</v>
      </c>
      <c r="D75" s="4" t="s">
        <v>257</v>
      </c>
      <c r="E75" s="4"/>
      <c r="F75" s="4"/>
      <c r="G75" s="84" t="s">
        <v>235</v>
      </c>
      <c r="H75" s="84" t="s">
        <v>333</v>
      </c>
      <c r="I75" s="84" t="s">
        <v>235</v>
      </c>
      <c r="J75" s="84" t="s">
        <v>235</v>
      </c>
      <c r="K75" s="4" t="s">
        <v>235</v>
      </c>
      <c r="L75" s="99"/>
      <c r="M75" s="99"/>
      <c r="N75" s="99"/>
      <c r="O75" s="99"/>
      <c r="P75" s="99"/>
      <c r="Q75" s="99"/>
      <c r="R75" s="99"/>
      <c r="S75" s="99"/>
      <c r="T75" s="99"/>
      <c r="U75" s="99"/>
      <c r="V75" s="99"/>
      <c r="W75" s="99"/>
      <c r="X75" s="99"/>
      <c r="Y75" s="99"/>
    </row>
    <row r="76" spans="1:25" ht="29.65" customHeight="1">
      <c r="A76" s="99"/>
      <c r="B76" s="4">
        <f>B75+1</f>
        <v>73</v>
      </c>
      <c r="C76" s="4" t="s">
        <v>274</v>
      </c>
      <c r="D76" s="4" t="s">
        <v>257</v>
      </c>
      <c r="E76" s="4"/>
      <c r="F76" s="4"/>
      <c r="G76" s="84" t="s">
        <v>361</v>
      </c>
      <c r="H76" s="84" t="s">
        <v>362</v>
      </c>
      <c r="I76" s="84" t="s">
        <v>235</v>
      </c>
      <c r="J76" s="84" t="s">
        <v>235</v>
      </c>
      <c r="K76" s="4" t="s">
        <v>235</v>
      </c>
      <c r="L76" s="99"/>
      <c r="M76" s="99"/>
      <c r="N76" s="99"/>
      <c r="O76" s="99"/>
      <c r="P76" s="99"/>
      <c r="Q76" s="99"/>
      <c r="R76" s="99"/>
      <c r="S76" s="99"/>
      <c r="T76" s="99"/>
      <c r="U76" s="99"/>
      <c r="V76" s="99"/>
      <c r="W76" s="99"/>
      <c r="X76" s="99"/>
      <c r="Y76" s="99"/>
    </row>
    <row r="77" spans="1:25" ht="28.9" customHeight="1">
      <c r="A77" s="99"/>
      <c r="B77" s="4">
        <f>B76+1</f>
        <v>74</v>
      </c>
      <c r="C77" s="4" t="s">
        <v>271</v>
      </c>
      <c r="D77" s="4" t="s">
        <v>257</v>
      </c>
      <c r="E77" s="4"/>
      <c r="F77" s="4"/>
      <c r="G77" s="84" t="s">
        <v>235</v>
      </c>
      <c r="H77" s="84" t="s">
        <v>333</v>
      </c>
      <c r="I77" s="84" t="s">
        <v>235</v>
      </c>
      <c r="J77" s="84" t="s">
        <v>235</v>
      </c>
      <c r="K77" s="4" t="s">
        <v>235</v>
      </c>
      <c r="L77" s="99"/>
      <c r="M77" s="99"/>
      <c r="N77" s="99"/>
      <c r="O77" s="99"/>
      <c r="P77" s="99"/>
      <c r="Q77" s="99"/>
      <c r="R77" s="99"/>
      <c r="S77" s="99"/>
      <c r="T77" s="99"/>
      <c r="U77" s="99"/>
      <c r="V77" s="99"/>
      <c r="W77" s="99"/>
      <c r="X77" s="99"/>
      <c r="Y77" s="99"/>
    </row>
    <row r="78" spans="1:25" ht="28.9" customHeight="1">
      <c r="A78" s="99"/>
      <c r="B78" s="4">
        <f>B77+1</f>
        <v>75</v>
      </c>
      <c r="C78" s="4" t="s">
        <v>267</v>
      </c>
      <c r="D78" s="4" t="s">
        <v>257</v>
      </c>
      <c r="E78" s="4"/>
      <c r="F78" s="4"/>
      <c r="G78" s="84" t="s">
        <v>237</v>
      </c>
      <c r="H78" s="84" t="s">
        <v>333</v>
      </c>
      <c r="I78" s="84" t="s">
        <v>235</v>
      </c>
      <c r="J78" s="84" t="s">
        <v>235</v>
      </c>
      <c r="K78" s="4" t="s">
        <v>235</v>
      </c>
      <c r="L78" s="99"/>
      <c r="M78" s="99"/>
      <c r="N78" s="99"/>
      <c r="O78" s="99"/>
      <c r="P78" s="99"/>
      <c r="Q78" s="99"/>
      <c r="R78" s="99"/>
      <c r="S78" s="99"/>
      <c r="T78" s="99"/>
      <c r="U78" s="99"/>
      <c r="V78" s="99"/>
      <c r="W78" s="99"/>
      <c r="X78" s="99"/>
      <c r="Y78" s="99"/>
    </row>
    <row r="79" spans="1:25" ht="28.9" customHeight="1">
      <c r="A79" s="99"/>
      <c r="B79" s="4">
        <f>B78+1</f>
        <v>76</v>
      </c>
      <c r="C79" s="4" t="s">
        <v>272</v>
      </c>
      <c r="D79" s="4" t="s">
        <v>257</v>
      </c>
      <c r="E79" s="4"/>
      <c r="F79" s="4"/>
      <c r="G79" s="84" t="s">
        <v>235</v>
      </c>
      <c r="H79" s="84" t="s">
        <v>333</v>
      </c>
      <c r="I79" s="84" t="s">
        <v>235</v>
      </c>
      <c r="J79" s="84" t="s">
        <v>235</v>
      </c>
      <c r="K79" s="4" t="s">
        <v>235</v>
      </c>
      <c r="L79" s="99"/>
      <c r="M79" s="99"/>
      <c r="N79" s="99"/>
      <c r="O79" s="99"/>
      <c r="P79" s="99"/>
      <c r="Q79" s="99"/>
      <c r="R79" s="99"/>
      <c r="S79" s="99"/>
      <c r="T79" s="99"/>
      <c r="U79" s="99"/>
      <c r="V79" s="99"/>
      <c r="W79" s="99"/>
      <c r="X79" s="99"/>
      <c r="Y79" s="99"/>
    </row>
    <row r="80" spans="1:25" ht="29.45" customHeight="1">
      <c r="A80" s="99"/>
      <c r="B80" s="3">
        <f>B79+1</f>
        <v>77</v>
      </c>
      <c r="C80" s="3" t="s">
        <v>268</v>
      </c>
      <c r="D80" s="3" t="s">
        <v>257</v>
      </c>
      <c r="E80" s="3"/>
      <c r="F80" s="3"/>
      <c r="G80" s="266" t="s">
        <v>237</v>
      </c>
      <c r="H80" s="266" t="s">
        <v>333</v>
      </c>
      <c r="I80" s="266" t="s">
        <v>235</v>
      </c>
      <c r="J80" s="266" t="s">
        <v>235</v>
      </c>
      <c r="K80" s="4" t="s">
        <v>235</v>
      </c>
      <c r="L80" s="99"/>
      <c r="M80" s="99"/>
      <c r="N80" s="99"/>
      <c r="O80" s="99"/>
      <c r="P80" s="99"/>
      <c r="Q80" s="99"/>
      <c r="R80" s="99"/>
      <c r="S80" s="99"/>
      <c r="T80" s="99"/>
      <c r="U80" s="99"/>
      <c r="V80" s="99"/>
      <c r="W80" s="99"/>
      <c r="X80" s="99"/>
      <c r="Y80" s="99"/>
    </row>
    <row r="81" spans="1:25">
      <c r="A81" s="99"/>
      <c r="B81" s="5">
        <f>B80+1</f>
        <v>78</v>
      </c>
      <c r="C81" s="5" t="s">
        <v>291</v>
      </c>
      <c r="D81" s="5" t="s">
        <v>396</v>
      </c>
      <c r="E81" s="5"/>
      <c r="F81" s="5"/>
      <c r="G81" s="5" t="s">
        <v>237</v>
      </c>
      <c r="H81" s="533" t="s">
        <v>397</v>
      </c>
      <c r="I81" s="5" t="s">
        <v>237</v>
      </c>
      <c r="J81" s="263" t="s">
        <v>235</v>
      </c>
      <c r="K81" s="4" t="s">
        <v>235</v>
      </c>
      <c r="L81" s="99"/>
      <c r="M81" s="99"/>
      <c r="N81" s="99"/>
      <c r="O81" s="99"/>
      <c r="P81" s="99"/>
      <c r="Q81" s="99"/>
      <c r="R81" s="99"/>
      <c r="S81" s="99"/>
      <c r="T81" s="99"/>
      <c r="U81" s="99"/>
      <c r="V81" s="99"/>
      <c r="W81" s="99"/>
      <c r="X81" s="99"/>
      <c r="Y81" s="99"/>
    </row>
    <row r="82" spans="1:25">
      <c r="A82" s="99"/>
      <c r="B82" s="4">
        <f>B81+1</f>
        <v>79</v>
      </c>
      <c r="C82" s="4" t="s">
        <v>290</v>
      </c>
      <c r="D82" s="4" t="s">
        <v>396</v>
      </c>
      <c r="E82" s="4"/>
      <c r="F82" s="4"/>
      <c r="G82" s="4" t="s">
        <v>237</v>
      </c>
      <c r="H82" s="84" t="s">
        <v>397</v>
      </c>
      <c r="I82" s="4" t="s">
        <v>237</v>
      </c>
      <c r="J82" s="84" t="s">
        <v>235</v>
      </c>
      <c r="K82" s="4" t="s">
        <v>235</v>
      </c>
      <c r="L82" s="99"/>
      <c r="M82" s="99"/>
      <c r="N82" s="99"/>
      <c r="O82" s="99"/>
      <c r="P82" s="99"/>
      <c r="Q82" s="99"/>
      <c r="R82" s="99"/>
      <c r="S82" s="99"/>
      <c r="T82" s="99"/>
      <c r="U82" s="99"/>
      <c r="V82" s="99"/>
      <c r="W82" s="99"/>
      <c r="X82" s="99"/>
      <c r="Y82" s="99"/>
    </row>
    <row r="83" spans="1:25" ht="15" customHeight="1">
      <c r="A83" s="99"/>
      <c r="B83" s="3">
        <f>B82+1</f>
        <v>80</v>
      </c>
      <c r="C83" s="3" t="s">
        <v>292</v>
      </c>
      <c r="D83" s="3" t="s">
        <v>396</v>
      </c>
      <c r="E83" s="3"/>
      <c r="F83" s="3"/>
      <c r="G83" s="3" t="s">
        <v>235</v>
      </c>
      <c r="H83" s="534" t="s">
        <v>398</v>
      </c>
      <c r="I83" s="3" t="s">
        <v>237</v>
      </c>
      <c r="J83" s="266" t="s">
        <v>399</v>
      </c>
      <c r="K83" s="4" t="s">
        <v>235</v>
      </c>
      <c r="L83" s="99"/>
      <c r="M83" s="99"/>
      <c r="N83" s="99"/>
      <c r="O83" s="99"/>
      <c r="P83" s="99"/>
      <c r="Q83" s="99"/>
      <c r="R83" s="99"/>
      <c r="S83" s="99"/>
      <c r="T83" s="99"/>
      <c r="U83" s="99"/>
      <c r="V83" s="99"/>
      <c r="W83" s="99"/>
      <c r="X83" s="99"/>
      <c r="Y83" s="99"/>
    </row>
    <row r="84" spans="1:25">
      <c r="A84" s="99"/>
      <c r="B84" s="249">
        <f>B83+1</f>
        <v>81</v>
      </c>
      <c r="C84" s="249"/>
      <c r="D84" s="249"/>
      <c r="E84" s="532"/>
      <c r="F84" s="532"/>
      <c r="G84" s="249"/>
      <c r="H84" s="384"/>
      <c r="I84" s="532"/>
      <c r="J84" s="532"/>
      <c r="K84" s="4" t="s">
        <v>235</v>
      </c>
      <c r="L84" s="99"/>
      <c r="M84" s="99"/>
      <c r="N84" s="99"/>
      <c r="O84" s="99"/>
      <c r="P84" s="99"/>
      <c r="Q84" s="99"/>
      <c r="R84" s="99"/>
      <c r="S84" s="99"/>
      <c r="T84" s="99"/>
      <c r="U84" s="99"/>
      <c r="V84" s="99"/>
      <c r="W84" s="99"/>
      <c r="X84" s="99"/>
      <c r="Y84" s="99"/>
    </row>
    <row r="85" spans="1:25">
      <c r="A85" s="99"/>
      <c r="B85" s="4">
        <f>B84+1</f>
        <v>82</v>
      </c>
      <c r="C85" s="91"/>
      <c r="D85" s="4"/>
      <c r="E85" s="91"/>
      <c r="F85" s="91"/>
      <c r="G85" s="4"/>
      <c r="H85" s="84"/>
      <c r="I85" s="91"/>
      <c r="J85" s="91"/>
      <c r="K85" s="4"/>
      <c r="L85" s="99"/>
      <c r="M85" s="99"/>
      <c r="N85" s="99"/>
      <c r="O85" s="99"/>
      <c r="P85" s="99"/>
      <c r="Q85" s="99"/>
      <c r="R85" s="99"/>
      <c r="S85" s="99"/>
      <c r="T85" s="99"/>
      <c r="U85" s="99"/>
      <c r="V85" s="99"/>
      <c r="W85" s="99"/>
      <c r="X85" s="99"/>
      <c r="Y85" s="99"/>
    </row>
    <row r="86" spans="1:25">
      <c r="A86" s="99"/>
      <c r="B86" s="4">
        <f>B85+1</f>
        <v>83</v>
      </c>
      <c r="C86" s="91"/>
      <c r="D86" s="4"/>
      <c r="E86" s="91"/>
      <c r="F86" s="91"/>
      <c r="G86" s="4"/>
      <c r="H86" s="84"/>
      <c r="I86" s="91"/>
      <c r="J86" s="91"/>
      <c r="K86" s="4"/>
      <c r="L86" s="99"/>
      <c r="M86" s="99"/>
      <c r="N86" s="99"/>
      <c r="O86" s="99"/>
      <c r="P86" s="99"/>
      <c r="Q86" s="99"/>
      <c r="R86" s="99"/>
      <c r="S86" s="99"/>
      <c r="T86" s="99"/>
      <c r="U86" s="99"/>
      <c r="V86" s="99"/>
      <c r="W86" s="99"/>
      <c r="X86" s="99"/>
      <c r="Y86" s="99"/>
    </row>
    <row r="87" spans="1:25">
      <c r="A87" s="99"/>
      <c r="B87" s="4">
        <f>B86+1</f>
        <v>84</v>
      </c>
      <c r="C87" s="91"/>
      <c r="D87" s="4"/>
      <c r="E87" s="91"/>
      <c r="F87" s="91"/>
      <c r="G87" s="4"/>
      <c r="H87" s="84"/>
      <c r="I87" s="91"/>
      <c r="J87" s="91"/>
      <c r="K87" s="4"/>
      <c r="L87" s="99"/>
      <c r="M87" s="99"/>
      <c r="N87" s="99"/>
      <c r="O87" s="99"/>
      <c r="P87" s="99"/>
      <c r="Q87" s="99"/>
      <c r="R87" s="99"/>
      <c r="S87" s="99"/>
      <c r="T87" s="99"/>
      <c r="U87" s="99"/>
      <c r="V87" s="99"/>
      <c r="W87" s="99"/>
      <c r="X87" s="99"/>
      <c r="Y87" s="99"/>
    </row>
    <row r="88" spans="1:25">
      <c r="A88" s="99"/>
      <c r="B88" s="4">
        <f>B87+1</f>
        <v>85</v>
      </c>
      <c r="C88" s="91"/>
      <c r="D88" s="4"/>
      <c r="E88" s="91"/>
      <c r="F88" s="91"/>
      <c r="G88" s="4"/>
      <c r="H88" s="84"/>
      <c r="I88" s="91"/>
      <c r="J88" s="91"/>
      <c r="K88" s="4"/>
      <c r="L88" s="99"/>
      <c r="M88" s="99"/>
      <c r="N88" s="99"/>
      <c r="O88" s="99"/>
      <c r="P88" s="99"/>
      <c r="Q88" s="99"/>
      <c r="R88" s="99"/>
      <c r="S88" s="99"/>
      <c r="T88" s="99"/>
      <c r="U88" s="99"/>
      <c r="V88" s="99"/>
      <c r="W88" s="99"/>
      <c r="X88" s="99"/>
      <c r="Y88" s="99"/>
    </row>
    <row r="89" spans="1:25">
      <c r="A89" s="99"/>
      <c r="B89" s="4">
        <f>B88+1</f>
        <v>86</v>
      </c>
      <c r="C89" s="91"/>
      <c r="D89" s="4"/>
      <c r="E89" s="91"/>
      <c r="F89" s="91"/>
      <c r="G89" s="4"/>
      <c r="H89" s="84"/>
      <c r="I89" s="91"/>
      <c r="J89" s="91"/>
      <c r="K89" s="4"/>
      <c r="L89" s="99"/>
      <c r="M89" s="99"/>
      <c r="N89" s="99"/>
      <c r="O89" s="99"/>
      <c r="P89" s="99"/>
      <c r="Q89" s="99"/>
      <c r="R89" s="99"/>
      <c r="S89" s="99"/>
      <c r="T89" s="99"/>
      <c r="U89" s="99"/>
      <c r="V89" s="99"/>
      <c r="W89" s="99"/>
      <c r="X89" s="99"/>
      <c r="Y89" s="99"/>
    </row>
    <row r="90" spans="1:25">
      <c r="A90" s="99"/>
      <c r="B90" s="4">
        <f>B89+1</f>
        <v>87</v>
      </c>
      <c r="C90" s="91"/>
      <c r="D90" s="4"/>
      <c r="E90" s="91"/>
      <c r="F90" s="91"/>
      <c r="G90" s="4"/>
      <c r="H90" s="84"/>
      <c r="I90" s="91"/>
      <c r="J90" s="91"/>
      <c r="K90" s="4"/>
      <c r="L90" s="99"/>
      <c r="M90" s="99"/>
      <c r="N90" s="99"/>
      <c r="O90" s="99"/>
      <c r="P90" s="99"/>
      <c r="Q90" s="99"/>
      <c r="R90" s="99"/>
      <c r="S90" s="99"/>
      <c r="T90" s="99"/>
      <c r="U90" s="99"/>
      <c r="V90" s="99"/>
      <c r="W90" s="99"/>
      <c r="X90" s="99"/>
      <c r="Y90" s="99"/>
    </row>
    <row r="91" spans="1:25">
      <c r="A91" s="99"/>
      <c r="B91" s="4">
        <f>B90+1</f>
        <v>88</v>
      </c>
      <c r="C91" s="91"/>
      <c r="D91" s="4"/>
      <c r="E91" s="91"/>
      <c r="F91" s="91"/>
      <c r="G91" s="4"/>
      <c r="H91" s="84"/>
      <c r="I91" s="91"/>
      <c r="J91" s="91"/>
      <c r="K91" s="4"/>
      <c r="L91" s="99"/>
      <c r="M91" s="99"/>
      <c r="N91" s="99"/>
      <c r="O91" s="99"/>
      <c r="P91" s="99"/>
      <c r="Q91" s="99"/>
      <c r="R91" s="99"/>
      <c r="S91" s="99"/>
      <c r="T91" s="99"/>
      <c r="U91" s="99"/>
      <c r="V91" s="99"/>
      <c r="W91" s="99"/>
      <c r="X91" s="99"/>
      <c r="Y91" s="99"/>
    </row>
    <row r="92" spans="1:25">
      <c r="A92" s="99"/>
      <c r="B92" s="4">
        <f>B91+1</f>
        <v>89</v>
      </c>
      <c r="C92" s="91"/>
      <c r="D92" s="4"/>
      <c r="E92" s="91"/>
      <c r="F92" s="91"/>
      <c r="G92" s="4"/>
      <c r="H92" s="84"/>
      <c r="I92" s="91"/>
      <c r="J92" s="91"/>
      <c r="K92" s="4"/>
      <c r="L92" s="99"/>
      <c r="M92" s="99"/>
      <c r="N92" s="99"/>
      <c r="O92" s="99"/>
      <c r="P92" s="99"/>
      <c r="Q92" s="99"/>
      <c r="R92" s="99"/>
      <c r="S92" s="99"/>
      <c r="T92" s="99"/>
      <c r="U92" s="99"/>
      <c r="V92" s="99"/>
      <c r="W92" s="99"/>
      <c r="X92" s="99"/>
      <c r="Y92" s="99"/>
    </row>
    <row r="93" spans="1:25">
      <c r="A93" s="99"/>
      <c r="B93" s="4">
        <f>B92+1</f>
        <v>90</v>
      </c>
      <c r="C93" s="91"/>
      <c r="D93" s="4"/>
      <c r="E93" s="91"/>
      <c r="F93" s="91"/>
      <c r="G93" s="4"/>
      <c r="H93" s="84"/>
      <c r="I93" s="91"/>
      <c r="J93" s="91"/>
      <c r="K93" s="4"/>
      <c r="L93" s="99"/>
      <c r="M93" s="99"/>
      <c r="N93" s="99"/>
      <c r="O93" s="99"/>
      <c r="P93" s="99"/>
      <c r="Q93" s="99"/>
      <c r="R93" s="99"/>
      <c r="S93" s="99"/>
      <c r="T93" s="99"/>
      <c r="U93" s="99"/>
      <c r="V93" s="99"/>
      <c r="W93" s="99"/>
      <c r="X93" s="99"/>
      <c r="Y93" s="99"/>
    </row>
    <row r="94" spans="1:25">
      <c r="A94" s="99"/>
      <c r="B94" s="4">
        <f>B93+1</f>
        <v>91</v>
      </c>
      <c r="C94" s="91"/>
      <c r="D94" s="4"/>
      <c r="E94" s="91"/>
      <c r="F94" s="91"/>
      <c r="G94" s="4"/>
      <c r="H94" s="84"/>
      <c r="I94" s="91"/>
      <c r="J94" s="91"/>
      <c r="K94" s="4"/>
      <c r="L94" s="99"/>
      <c r="M94" s="99"/>
      <c r="N94" s="99"/>
      <c r="O94" s="99"/>
      <c r="P94" s="99"/>
      <c r="Q94" s="99"/>
      <c r="R94" s="99"/>
      <c r="S94" s="99"/>
      <c r="T94" s="99"/>
      <c r="U94" s="99"/>
      <c r="V94" s="99"/>
      <c r="W94" s="99"/>
      <c r="X94" s="99"/>
      <c r="Y94" s="99"/>
    </row>
    <row r="95" spans="1:25">
      <c r="A95" s="99"/>
      <c r="B95" s="4">
        <f>B94+1</f>
        <v>92</v>
      </c>
      <c r="C95" s="91"/>
      <c r="D95" s="4"/>
      <c r="E95" s="91"/>
      <c r="F95" s="91"/>
      <c r="G95" s="4"/>
      <c r="H95" s="84"/>
      <c r="I95" s="91"/>
      <c r="J95" s="91"/>
      <c r="K95" s="4"/>
      <c r="L95" s="99"/>
      <c r="M95" s="99"/>
      <c r="N95" s="99"/>
      <c r="O95" s="99"/>
      <c r="P95" s="99"/>
      <c r="Q95" s="99"/>
      <c r="R95" s="99"/>
      <c r="S95" s="99"/>
      <c r="T95" s="99"/>
      <c r="U95" s="99"/>
      <c r="V95" s="99"/>
      <c r="W95" s="99"/>
      <c r="X95" s="99"/>
      <c r="Y95" s="99"/>
    </row>
    <row r="96" spans="1:25">
      <c r="A96" s="99"/>
      <c r="B96" s="4">
        <f>B95+1</f>
        <v>93</v>
      </c>
      <c r="C96" s="91"/>
      <c r="D96" s="4"/>
      <c r="E96" s="91"/>
      <c r="F96" s="91"/>
      <c r="G96" s="4"/>
      <c r="H96" s="84"/>
      <c r="I96" s="91"/>
      <c r="J96" s="91"/>
      <c r="K96" s="4"/>
      <c r="L96" s="99"/>
      <c r="M96" s="99"/>
      <c r="N96" s="99"/>
      <c r="O96" s="99"/>
      <c r="P96" s="99"/>
      <c r="Q96" s="99"/>
      <c r="R96" s="99"/>
      <c r="S96" s="99"/>
      <c r="T96" s="99"/>
      <c r="U96" s="99"/>
      <c r="V96" s="99"/>
      <c r="W96" s="99"/>
      <c r="X96" s="99"/>
      <c r="Y96" s="99"/>
    </row>
    <row r="97" spans="1:25">
      <c r="A97" s="99"/>
      <c r="B97" s="4">
        <f>B96+1</f>
        <v>94</v>
      </c>
      <c r="C97" s="91"/>
      <c r="D97" s="4"/>
      <c r="E97" s="91"/>
      <c r="F97" s="91"/>
      <c r="G97" s="4"/>
      <c r="H97" s="84"/>
      <c r="I97" s="91"/>
      <c r="J97" s="91"/>
      <c r="K97" s="4"/>
      <c r="L97" s="99"/>
      <c r="M97" s="99"/>
      <c r="N97" s="99"/>
      <c r="O97" s="99"/>
      <c r="P97" s="99"/>
      <c r="Q97" s="99"/>
      <c r="R97" s="99"/>
      <c r="S97" s="99"/>
      <c r="T97" s="99"/>
      <c r="U97" s="99"/>
      <c r="V97" s="99"/>
      <c r="W97" s="99"/>
      <c r="X97" s="99"/>
      <c r="Y97" s="99"/>
    </row>
    <row r="98" spans="1:25">
      <c r="A98" s="99"/>
      <c r="B98" s="4">
        <f>B97+1</f>
        <v>95</v>
      </c>
      <c r="C98" s="91"/>
      <c r="D98" s="4"/>
      <c r="E98" s="91"/>
      <c r="F98" s="91"/>
      <c r="G98" s="4"/>
      <c r="H98" s="84"/>
      <c r="I98" s="91"/>
      <c r="J98" s="91"/>
      <c r="K98" s="4"/>
      <c r="L98" s="99"/>
      <c r="M98" s="99"/>
      <c r="N98" s="99"/>
      <c r="O98" s="99"/>
      <c r="P98" s="99"/>
      <c r="Q98" s="99"/>
      <c r="R98" s="99"/>
      <c r="S98" s="99"/>
      <c r="T98" s="99"/>
      <c r="U98" s="99"/>
      <c r="V98" s="99"/>
      <c r="W98" s="99"/>
      <c r="X98" s="99"/>
      <c r="Y98" s="99"/>
    </row>
    <row r="99" spans="1:25">
      <c r="A99" s="99"/>
      <c r="B99" s="4">
        <f>B98+1</f>
        <v>96</v>
      </c>
      <c r="C99" s="91"/>
      <c r="D99" s="4"/>
      <c r="E99" s="91"/>
      <c r="F99" s="91"/>
      <c r="G99" s="4"/>
      <c r="H99" s="84"/>
      <c r="I99" s="91"/>
      <c r="J99" s="91"/>
      <c r="K99" s="4"/>
      <c r="L99" s="99"/>
      <c r="M99" s="99"/>
      <c r="N99" s="99"/>
      <c r="O99" s="99"/>
      <c r="P99" s="99"/>
      <c r="Q99" s="99"/>
      <c r="R99" s="99"/>
      <c r="S99" s="99"/>
      <c r="T99" s="99"/>
      <c r="U99" s="99"/>
      <c r="V99" s="99"/>
      <c r="W99" s="99"/>
      <c r="X99" s="99"/>
      <c r="Y99" s="99"/>
    </row>
    <row r="100" spans="1:25">
      <c r="A100" s="99"/>
      <c r="B100" s="4">
        <f>B99+1</f>
        <v>97</v>
      </c>
      <c r="C100" s="91"/>
      <c r="D100" s="4"/>
      <c r="E100" s="91"/>
      <c r="F100" s="91"/>
      <c r="G100" s="4"/>
      <c r="H100" s="84"/>
      <c r="I100" s="91"/>
      <c r="J100" s="91"/>
      <c r="K100" s="4"/>
      <c r="L100" s="99"/>
      <c r="M100" s="99"/>
      <c r="N100" s="99"/>
      <c r="O100" s="99"/>
      <c r="P100" s="99"/>
      <c r="Q100" s="99"/>
      <c r="R100" s="99"/>
      <c r="S100" s="99"/>
      <c r="T100" s="99"/>
      <c r="U100" s="99"/>
      <c r="V100" s="99"/>
      <c r="W100" s="99"/>
      <c r="X100" s="99"/>
      <c r="Y100" s="99"/>
    </row>
    <row r="101" spans="1:25">
      <c r="A101" s="99"/>
      <c r="B101" s="4">
        <f>B100+1</f>
        <v>98</v>
      </c>
      <c r="C101" s="91"/>
      <c r="D101" s="4"/>
      <c r="E101" s="91"/>
      <c r="F101" s="91"/>
      <c r="G101" s="4"/>
      <c r="H101" s="84"/>
      <c r="I101" s="91"/>
      <c r="J101" s="91"/>
      <c r="K101" s="4"/>
      <c r="L101" s="99"/>
      <c r="M101" s="99"/>
      <c r="N101" s="99"/>
      <c r="O101" s="99"/>
      <c r="P101" s="99"/>
      <c r="Q101" s="99"/>
      <c r="R101" s="99"/>
      <c r="S101" s="99"/>
      <c r="T101" s="99"/>
      <c r="U101" s="99"/>
      <c r="V101" s="99"/>
      <c r="W101" s="99"/>
      <c r="X101" s="99"/>
      <c r="Y101" s="99"/>
    </row>
    <row r="102" spans="1:25">
      <c r="A102" s="99"/>
      <c r="B102" s="4">
        <f>B101+1</f>
        <v>99</v>
      </c>
      <c r="K102" s="4"/>
      <c r="L102" s="99"/>
      <c r="M102" s="99"/>
      <c r="N102" s="99"/>
      <c r="O102" s="99"/>
      <c r="P102" s="99"/>
      <c r="Q102" s="99"/>
      <c r="R102" s="99"/>
      <c r="S102" s="99"/>
      <c r="T102" s="99"/>
      <c r="U102" s="99"/>
      <c r="V102" s="99"/>
      <c r="W102" s="99"/>
      <c r="X102" s="99"/>
      <c r="Y102" s="99"/>
    </row>
    <row r="103" spans="1:25">
      <c r="A103" s="99"/>
      <c r="B103" s="104"/>
      <c r="C103" s="104"/>
      <c r="D103" s="104"/>
      <c r="E103" s="104"/>
      <c r="F103" s="104"/>
      <c r="G103" s="104"/>
      <c r="H103" s="104"/>
      <c r="I103" s="104"/>
      <c r="J103" s="104"/>
      <c r="K103" s="99"/>
      <c r="L103" s="99"/>
      <c r="M103" s="99"/>
      <c r="N103" s="99"/>
      <c r="O103" s="99"/>
      <c r="P103" s="99"/>
      <c r="Q103" s="99"/>
      <c r="R103" s="99"/>
      <c r="S103" s="99"/>
      <c r="T103" s="99"/>
      <c r="U103" s="99"/>
      <c r="V103" s="99"/>
      <c r="W103" s="99"/>
      <c r="X103" s="99"/>
      <c r="Y103" s="99"/>
    </row>
    <row r="104" spans="1:25">
      <c r="A104" s="99"/>
      <c r="B104" s="104"/>
      <c r="C104" s="104"/>
      <c r="D104" s="104"/>
      <c r="E104" s="104"/>
      <c r="F104" s="104"/>
      <c r="G104" s="104"/>
      <c r="H104" s="104"/>
      <c r="I104" s="104"/>
      <c r="J104" s="104"/>
      <c r="K104" s="99"/>
      <c r="L104" s="99"/>
      <c r="M104" s="99"/>
      <c r="N104" s="99"/>
      <c r="O104" s="99"/>
      <c r="P104" s="99"/>
      <c r="Q104" s="99"/>
      <c r="R104" s="99"/>
      <c r="S104" s="99"/>
      <c r="T104" s="99"/>
      <c r="U104" s="99"/>
      <c r="V104" s="99"/>
      <c r="W104" s="99"/>
      <c r="X104" s="99"/>
      <c r="Y104" s="99"/>
    </row>
    <row r="105" spans="1:25">
      <c r="A105" s="99"/>
      <c r="B105" s="104"/>
      <c r="C105" s="104"/>
      <c r="D105" s="104"/>
      <c r="E105" s="104"/>
      <c r="F105" s="104"/>
      <c r="G105" s="104"/>
      <c r="H105" s="104"/>
      <c r="I105" s="104"/>
      <c r="J105" s="104"/>
      <c r="K105" s="99"/>
      <c r="L105" s="99"/>
      <c r="M105" s="99"/>
      <c r="N105" s="99"/>
      <c r="O105" s="99"/>
      <c r="P105" s="99"/>
      <c r="Q105" s="99"/>
      <c r="R105" s="99"/>
      <c r="S105" s="99"/>
      <c r="T105" s="99"/>
      <c r="U105" s="99"/>
      <c r="V105" s="99"/>
      <c r="W105" s="99"/>
      <c r="X105" s="99"/>
      <c r="Y105" s="99"/>
    </row>
    <row r="106" spans="1:25">
      <c r="A106" s="99"/>
      <c r="B106" s="104"/>
      <c r="C106" s="104"/>
      <c r="D106" s="104"/>
      <c r="E106" s="104"/>
      <c r="F106" s="104"/>
      <c r="G106" s="104"/>
      <c r="H106" s="104"/>
      <c r="I106" s="104"/>
      <c r="J106" s="104"/>
      <c r="K106" s="99"/>
      <c r="L106" s="99"/>
      <c r="M106" s="99"/>
      <c r="N106" s="99"/>
      <c r="O106" s="99"/>
      <c r="P106" s="99"/>
      <c r="Q106" s="99"/>
      <c r="R106" s="99"/>
      <c r="S106" s="99"/>
      <c r="T106" s="99"/>
      <c r="U106" s="99"/>
      <c r="V106" s="99"/>
      <c r="W106" s="99"/>
      <c r="X106" s="99"/>
      <c r="Y106" s="99"/>
    </row>
    <row r="107" spans="1:25">
      <c r="A107" s="99"/>
      <c r="B107" s="99"/>
      <c r="C107" s="99"/>
      <c r="D107" s="112"/>
      <c r="E107" s="99"/>
      <c r="F107" s="99"/>
      <c r="G107" s="112"/>
      <c r="H107" s="113"/>
      <c r="I107" s="99"/>
      <c r="J107" s="99"/>
      <c r="K107" s="99"/>
      <c r="L107" s="99"/>
      <c r="M107" s="99"/>
      <c r="N107" s="99"/>
      <c r="O107" s="99"/>
      <c r="P107" s="99"/>
      <c r="Q107" s="99"/>
      <c r="R107" s="99"/>
      <c r="S107" s="99"/>
      <c r="T107" s="99"/>
      <c r="U107" s="99"/>
      <c r="V107" s="99"/>
      <c r="W107" s="99"/>
      <c r="X107" s="99"/>
      <c r="Y107" s="99"/>
    </row>
    <row r="108" spans="1:25">
      <c r="A108" s="99"/>
      <c r="B108" s="99"/>
      <c r="C108" s="99"/>
      <c r="D108" s="112"/>
      <c r="E108" s="99"/>
      <c r="F108" s="99"/>
      <c r="G108" s="112"/>
      <c r="H108" s="113"/>
      <c r="I108" s="99"/>
      <c r="J108" s="99"/>
      <c r="K108" s="99"/>
      <c r="L108" s="99"/>
      <c r="M108" s="99"/>
      <c r="N108" s="99"/>
      <c r="O108" s="99"/>
      <c r="P108" s="99"/>
      <c r="Q108" s="99"/>
      <c r="R108" s="99"/>
      <c r="S108" s="99"/>
      <c r="T108" s="99"/>
      <c r="U108" s="99"/>
      <c r="V108" s="99"/>
      <c r="W108" s="99"/>
      <c r="X108" s="99"/>
      <c r="Y108" s="99"/>
    </row>
    <row r="109" spans="1:25">
      <c r="A109" s="99"/>
      <c r="B109" s="99"/>
      <c r="C109" s="99"/>
      <c r="D109" s="112"/>
      <c r="E109" s="99"/>
      <c r="F109" s="99"/>
      <c r="G109" s="112"/>
      <c r="H109" s="113"/>
      <c r="I109" s="99"/>
      <c r="J109" s="99"/>
      <c r="K109" s="99"/>
      <c r="L109" s="99"/>
      <c r="M109" s="99"/>
      <c r="N109" s="99"/>
      <c r="O109" s="99"/>
      <c r="P109" s="99"/>
      <c r="Q109" s="99"/>
      <c r="R109" s="99"/>
      <c r="S109" s="99"/>
      <c r="T109" s="99"/>
      <c r="U109" s="99"/>
      <c r="V109" s="99"/>
      <c r="W109" s="99"/>
      <c r="X109" s="99"/>
      <c r="Y109" s="99"/>
    </row>
    <row r="110" spans="1:25">
      <c r="A110" s="99"/>
      <c r="C110" s="99"/>
      <c r="D110" s="112"/>
      <c r="E110" s="99"/>
      <c r="F110" s="99"/>
      <c r="G110" s="112"/>
      <c r="H110" s="113"/>
      <c r="I110" s="99"/>
      <c r="J110" s="99"/>
      <c r="K110" s="99"/>
      <c r="L110" s="99"/>
      <c r="M110" s="99"/>
      <c r="N110" s="99"/>
      <c r="O110" s="99"/>
      <c r="P110" s="99"/>
      <c r="Q110" s="99"/>
      <c r="R110" s="99"/>
      <c r="S110" s="99"/>
      <c r="T110" s="99"/>
      <c r="U110" s="99"/>
      <c r="V110" s="99"/>
      <c r="W110" s="99"/>
      <c r="X110" s="99"/>
      <c r="Y110" s="99"/>
    </row>
  </sheetData>
  <sheetProtection algorithmName="SHA-512" hashValue="lFA+Ip+C2Yc5Rp+ehuB3PwFR81QFNPY5KbKIle6O1qxiC3LnUhEyIYREuUj2Xcx/Gb6ITGXcKasLXwbKdQwiXA==" saltValue="5XNAhunnpNlh8l+aGrJJmg==" spinCount="100000" sheet="1" objects="1"/>
  <mergeCells count="5">
    <mergeCell ref="B1:J1"/>
    <mergeCell ref="B2:B3"/>
    <mergeCell ref="C2:F2"/>
    <mergeCell ref="G2:H2"/>
    <mergeCell ref="I2:J2"/>
  </mergeCells>
  <phoneticPr fontId="19"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Bird, Charlie</DisplayName>
        <AccountId>150</AccountId>
        <AccountType/>
      </UserInfo>
    </SharedWithUsers>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B7032-2DF6-4F5B-9CAF-D3F582EC019C}"/>
</file>

<file path=customXml/itemProps2.xml><?xml version="1.0" encoding="utf-8"?>
<ds:datastoreItem xmlns:ds="http://schemas.openxmlformats.org/officeDocument/2006/customXml" ds:itemID="{01A4DBEF-E26E-4601-B40C-726277B48708}"/>
</file>

<file path=customXml/itemProps3.xml><?xml version="1.0" encoding="utf-8"?>
<ds:datastoreItem xmlns:ds="http://schemas.openxmlformats.org/officeDocument/2006/customXml" ds:itemID="{EF62FBED-CC6F-4361-B351-FEF6C51D96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J. Arthur</dc:creator>
  <cp:keywords/>
  <dc:description/>
  <cp:lastModifiedBy>Smith , Matthew (GROUP LEADER- DEV MANAGEMENT(OUTER AREA))</cp:lastModifiedBy>
  <cp:revision/>
  <dcterms:created xsi:type="dcterms:W3CDTF">2020-09-14T13:04:31Z</dcterms:created>
  <dcterms:modified xsi:type="dcterms:W3CDTF">2025-06-12T15:14:14Z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InformationType">
    <vt:lpwstr/>
  </property>
  <property fmtid="{D5CDD505-2E9C-101B-9397-08002B2CF9AE}" pid="4" name="Distribution">
    <vt:lpwstr>9;#Internal NE|70a74972-c838-4a08-aeb8-2c6aad14b4d9</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y fmtid="{D5CDD505-2E9C-101B-9397-08002B2CF9AE}" pid="9" name="SharedWithUsers">
    <vt:lpwstr>150;#Bird, Charlie</vt:lpwstr>
  </property>
  <property fmtid="{D5CDD505-2E9C-101B-9397-08002B2CF9AE}" pid="10" name="MediaServiceImageTags">
    <vt:lpwstr/>
  </property>
</Properties>
</file>