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19"/>
  <workbookPr codeName="ThisWorkbook" defaultThemeVersion="166925"/>
  <mc:AlternateContent xmlns:mc="http://schemas.openxmlformats.org/markup-compatibility/2006">
    <mc:Choice Requires="x15">
      <x15ac:absPath xmlns:x15ac="http://schemas.microsoft.com/office/spreadsheetml/2010/11/ac" url="https://d.docs.live.net/919f80b88d2e13dd/MEC/Active Contracts/2022/ECO/ECO 2022 07 Barnsley Rd Darton - PEA and BNG/"/>
    </mc:Choice>
  </mc:AlternateContent>
  <xr:revisionPtr revIDLastSave="25" documentId="8_{895FA6A7-7827-4C44-9168-2E0155EFBDCF}" xr6:coauthVersionLast="48" xr6:coauthVersionMax="48" xr10:uidLastSave="{1C2D733C-8554-4584-AD6A-525FFE9CB754}"/>
  <bookViews>
    <workbookView xWindow="-20520" yWindow="915" windowWidth="20640" windowHeight="11160" tabRatio="730" xr2:uid="{29E6C19A-7B8C-4DEC-93E8-BE5BF8A93D58}"/>
  </bookViews>
  <sheets>
    <sheet name="1. Introduction" sheetId="14" r:id="rId1"/>
    <sheet name="2. Site Details" sheetId="15" r:id="rId2"/>
    <sheet name="3. Desktop Assessment" sheetId="10" r:id="rId3"/>
    <sheet name="4. Supporting Infromation" sheetId="18" r:id="rId4"/>
    <sheet name="5. Area Habitats" sheetId="1" r:id="rId5"/>
    <sheet name="6. Hedges &amp; Lines of Trees" sheetId="21" r:id="rId6"/>
    <sheet name="7. Watercourses" sheetId="22" r:id="rId7"/>
    <sheet name="8. Headline Results" sheetId="11" r:id="rId8"/>
    <sheet name="9. Detailed Results" sheetId="23" r:id="rId9"/>
    <sheet name="10. All Habitats + Multipliers" sheetId="12" r:id="rId10"/>
    <sheet name="11. Condition and Temporal" sheetId="20" r:id="rId11"/>
    <sheet name="12. Lists" sheetId="4" r:id="rId12"/>
    <sheet name="13. Habitats Translation" sheetId="19" state="hidden" r:id="rId13"/>
  </sheets>
  <externalReferences>
    <externalReference r:id="rId14"/>
  </externalReferences>
  <definedNames>
    <definedName name="_xlnm._FilterDatabase" localSheetId="9" hidden="1">'10. All Habitats + Multipliers'!$C$3:$J$89</definedName>
    <definedName name="_xlnm._FilterDatabase" localSheetId="10" hidden="1">'11. Condition and Temporal'!$C$4:$K$83</definedName>
    <definedName name="_xlnm._FilterDatabase" localSheetId="12" hidden="1">'13. Habitats Translation'!$B$2:$F$83</definedName>
    <definedName name="CoastalSaltmarsh" localSheetId="5">Table15[CoastalSaltmarsh]</definedName>
    <definedName name="CoastalSaltmarsh" localSheetId="6">Table15[CoastalSaltmarsh]</definedName>
    <definedName name="CoastalSaltmarsh" localSheetId="8">Table15[CoastalSaltmarsh]</definedName>
    <definedName name="CoastalSaltmarsh">Table15[CoastalSaltmarsh]</definedName>
    <definedName name="Cropland" localSheetId="5">Table2[Cropland]</definedName>
    <definedName name="Cropland" localSheetId="6">Table2[Cropland]</definedName>
    <definedName name="Cropland" localSheetId="8">Table2[Cropland]</definedName>
    <definedName name="Cropland">Table2[Cropland]</definedName>
    <definedName name="Grassland" localSheetId="5">Table3[Grassland]</definedName>
    <definedName name="Grassland" localSheetId="6">Table3[Grassland]</definedName>
    <definedName name="Grassland" localSheetId="8">Table3[Grassland]</definedName>
    <definedName name="Grassland">Table3[Grassland]</definedName>
    <definedName name="Heathlandandshrub" localSheetId="5">Table4[Heathlandandshrub]</definedName>
    <definedName name="Heathlandandshrub" localSheetId="6">Table4[Heathlandandshrub]</definedName>
    <definedName name="Heathlandandshrub" localSheetId="8">Table4[Heathlandandshrub]</definedName>
    <definedName name="Heathlandandshrub">Table4[Heathlandandshrub]</definedName>
    <definedName name="Hedgerow" localSheetId="8">Table11[Hedgerow]</definedName>
    <definedName name="Hedgerow">Table11[Hedgerow]</definedName>
    <definedName name="Intertidalhardstructures" localSheetId="5">Table5[Intertidalhardstructures]</definedName>
    <definedName name="Intertidalhardstructures" localSheetId="6">Table5[Intertidalhardstructures]</definedName>
    <definedName name="Intertidalhardstructures" localSheetId="8">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 localSheetId="8">Table6[Intertidalsediment]</definedName>
    <definedName name="Intertidalsediment">Table6[Intertidalsediment]</definedName>
    <definedName name="Lakes" localSheetId="5">Table7[Lakes]</definedName>
    <definedName name="Lakes" localSheetId="6">Table7[Lakes]</definedName>
    <definedName name="Lakes" localSheetId="8">Table7[Lakes]</definedName>
    <definedName name="Lakes">Table7[Lakes]</definedName>
    <definedName name="Lineoftrees" localSheetId="5">Table12[Lineoftrees]</definedName>
    <definedName name="Lineoftrees" localSheetId="6">Table12[Lineoftrees]</definedName>
    <definedName name="Lineoftrees" localSheetId="8">Table12[Lineoftrees]</definedName>
    <definedName name="Lineoftrees">Table12[Lineoftrees]</definedName>
    <definedName name="_xlnm.Print_Area" localSheetId="0">'1. Introduction'!$B$1:$S$36</definedName>
    <definedName name="_xlnm.Print_Area" localSheetId="1">'2. Site Details'!$B$2:$D$24</definedName>
    <definedName name="_xlnm.Print_Area" localSheetId="2">'3. Desktop Assessment'!$B$2:$D$20</definedName>
    <definedName name="_xlnm.Print_Area" localSheetId="3">'4. Supporting Infromation'!$B$2:$E$47</definedName>
    <definedName name="_xlnm.Print_Area" localSheetId="4">'5. Area Habitats'!$A$2:$Q$138</definedName>
    <definedName name="_xlnm.Print_Area" localSheetId="5">'6. Hedges &amp; Lines of Trees'!$A$1:$Q$111</definedName>
    <definedName name="_xlnm.Print_Area" localSheetId="6">'7. Watercourses'!$A$1:$Q$109</definedName>
    <definedName name="_xlnm.Print_Area" localSheetId="7">'8. Headline Results'!$B$2:$D$37</definedName>
    <definedName name="_xlnm.Print_Area" localSheetId="8">'9. Detailed Results'!$B$2:$U$73</definedName>
    <definedName name="Rivers" localSheetId="5">Table13[Watercourses]</definedName>
    <definedName name="Rivers" localSheetId="6">Table13[Watercourses]</definedName>
    <definedName name="Rivers" localSheetId="8">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 localSheetId="8">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 localSheetId="8">Table9[Urban]</definedName>
    <definedName name="Urban">Table9[Urban]</definedName>
    <definedName name="Watercourses">'12. Lists'!$Y$2:$Y$4</definedName>
    <definedName name="Woodlandandforest" localSheetId="5">Table10[Woodlandandforest]</definedName>
    <definedName name="Woodlandandforest" localSheetId="6">Table10[Woodlandandforest]</definedName>
    <definedName name="Woodlandandforest" localSheetId="8">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6" i="10" l="1"/>
  <c r="D7" i="10" s="1"/>
  <c r="F133" i="1" l="1"/>
  <c r="F132" i="1"/>
  <c r="F131" i="1"/>
  <c r="F130" i="1"/>
  <c r="F127" i="1"/>
  <c r="F126" i="1"/>
  <c r="F125" i="1"/>
  <c r="F124" i="1"/>
  <c r="F123" i="1"/>
  <c r="F122" i="1"/>
  <c r="F121" i="1"/>
  <c r="F120" i="1"/>
  <c r="F115" i="1"/>
  <c r="F114" i="1"/>
  <c r="L11" i="22" l="1"/>
  <c r="AF25" i="22"/>
  <c r="AF18" i="22"/>
  <c r="AF19" i="22"/>
  <c r="AF20" i="22"/>
  <c r="AF21" i="22"/>
  <c r="AF22" i="22"/>
  <c r="AF23" i="22"/>
  <c r="AF24" i="22"/>
  <c r="AF26" i="22"/>
  <c r="AF27" i="22"/>
  <c r="AF28" i="22"/>
  <c r="AF29" i="22"/>
  <c r="AF30" i="22"/>
  <c r="AF17" i="22"/>
  <c r="AF16" i="22"/>
  <c r="AF15" i="22"/>
  <c r="AF14" i="22"/>
  <c r="L27" i="22"/>
  <c r="L23" i="22"/>
  <c r="L19" i="22"/>
  <c r="L15" i="22"/>
  <c r="L16" i="22"/>
  <c r="L17" i="22"/>
  <c r="L18" i="22"/>
  <c r="L20" i="22"/>
  <c r="L21" i="22"/>
  <c r="L22" i="22"/>
  <c r="L24" i="22"/>
  <c r="L25" i="22"/>
  <c r="L26" i="22"/>
  <c r="L28" i="22"/>
  <c r="L29" i="22"/>
  <c r="L30" i="22"/>
  <c r="L14" i="22"/>
  <c r="L13" i="22"/>
  <c r="AE16" i="22"/>
  <c r="AE17" i="22"/>
  <c r="AE18" i="22"/>
  <c r="AE19" i="22"/>
  <c r="AE20" i="22"/>
  <c r="AE21" i="22"/>
  <c r="AE22" i="22"/>
  <c r="AE23" i="22"/>
  <c r="AE24" i="22"/>
  <c r="AE25" i="22"/>
  <c r="AE26" i="22"/>
  <c r="AE27" i="22"/>
  <c r="AE28" i="22"/>
  <c r="AE29" i="22"/>
  <c r="AE30" i="22"/>
  <c r="AE15" i="22"/>
  <c r="AE14" i="22"/>
  <c r="N14" i="22"/>
  <c r="N15" i="22"/>
  <c r="N16" i="22"/>
  <c r="N17" i="22"/>
  <c r="N18" i="22"/>
  <c r="N19" i="22"/>
  <c r="N20" i="22"/>
  <c r="N21" i="22"/>
  <c r="N22" i="22"/>
  <c r="N23" i="22"/>
  <c r="N24" i="22"/>
  <c r="N25" i="22"/>
  <c r="N26" i="22"/>
  <c r="N27" i="22"/>
  <c r="N28" i="22"/>
  <c r="N29" i="22"/>
  <c r="N30" i="22"/>
  <c r="N13" i="22"/>
  <c r="L42" i="22"/>
  <c r="L43" i="22"/>
  <c r="L44" i="22"/>
  <c r="L45" i="22"/>
  <c r="L46" i="22"/>
  <c r="L47" i="22"/>
  <c r="L48" i="22"/>
  <c r="L49" i="22"/>
  <c r="L50" i="22"/>
  <c r="L51" i="22"/>
  <c r="L52" i="22"/>
  <c r="L53" i="22"/>
  <c r="L54" i="22"/>
  <c r="L55" i="22"/>
  <c r="L56" i="22"/>
  <c r="L57" i="22"/>
  <c r="L58" i="22"/>
  <c r="J103" i="21"/>
  <c r="F106" i="21"/>
  <c r="F105" i="21"/>
  <c r="J45" i="23"/>
  <c r="L13" i="21" l="1"/>
  <c r="L41" i="21"/>
  <c r="L42" i="21"/>
  <c r="L43" i="21"/>
  <c r="L44" i="21"/>
  <c r="L45" i="21"/>
  <c r="L46" i="21"/>
  <c r="L47" i="21"/>
  <c r="L48" i="21"/>
  <c r="L49" i="21"/>
  <c r="L50" i="21"/>
  <c r="L51" i="21"/>
  <c r="L52" i="21"/>
  <c r="L53" i="21"/>
  <c r="L54" i="21"/>
  <c r="L55" i="21"/>
  <c r="L56" i="21"/>
  <c r="L57" i="21"/>
  <c r="L58" i="21"/>
  <c r="AF13" i="21"/>
  <c r="AF14" i="21"/>
  <c r="AF15" i="21"/>
  <c r="AF16" i="21"/>
  <c r="AF17" i="21"/>
  <c r="AF18" i="21"/>
  <c r="AF19" i="21"/>
  <c r="AF20" i="21"/>
  <c r="AF21" i="21"/>
  <c r="AF22" i="21"/>
  <c r="AF23" i="21"/>
  <c r="AF24" i="21"/>
  <c r="AF25" i="21"/>
  <c r="AF26" i="21"/>
  <c r="AF27" i="21"/>
  <c r="AF28" i="21"/>
  <c r="AF29" i="21"/>
  <c r="AF30" i="21"/>
  <c r="AF12" i="21"/>
  <c r="AE14" i="21"/>
  <c r="AE15" i="21"/>
  <c r="AE16" i="21"/>
  <c r="AE17" i="21"/>
  <c r="AE18" i="21"/>
  <c r="AE19" i="21"/>
  <c r="AE20" i="21"/>
  <c r="AE21" i="21"/>
  <c r="AE22" i="21"/>
  <c r="AE23" i="21"/>
  <c r="AE24" i="21"/>
  <c r="AE25" i="21"/>
  <c r="AE26" i="21"/>
  <c r="AE27" i="21"/>
  <c r="AE28" i="21"/>
  <c r="AE29" i="21"/>
  <c r="AE30" i="21"/>
  <c r="AE13" i="21"/>
  <c r="AE12" i="21"/>
  <c r="N15" i="21"/>
  <c r="N16" i="21"/>
  <c r="N17" i="21"/>
  <c r="N18" i="21"/>
  <c r="N19" i="21"/>
  <c r="N20" i="21"/>
  <c r="N21" i="21"/>
  <c r="N22" i="21"/>
  <c r="N23" i="21"/>
  <c r="N24" i="21"/>
  <c r="N25" i="21"/>
  <c r="N26" i="21"/>
  <c r="N27" i="21"/>
  <c r="N28" i="21"/>
  <c r="N29" i="21"/>
  <c r="N30" i="21"/>
  <c r="L12" i="21"/>
  <c r="L14" i="21"/>
  <c r="L15" i="21"/>
  <c r="L16" i="21"/>
  <c r="L17" i="21"/>
  <c r="L18" i="21"/>
  <c r="L19" i="21"/>
  <c r="L20" i="21"/>
  <c r="L21" i="21"/>
  <c r="L22" i="21"/>
  <c r="L23" i="21"/>
  <c r="L24" i="21"/>
  <c r="L25" i="21"/>
  <c r="L26" i="21"/>
  <c r="L27" i="21"/>
  <c r="L28" i="21"/>
  <c r="L29" i="21"/>
  <c r="L30" i="21"/>
  <c r="I59" i="21"/>
  <c r="K31" i="21"/>
  <c r="J31" i="21"/>
  <c r="I31" i="21"/>
  <c r="I32" i="21" l="1"/>
  <c r="E40" i="1" l="1"/>
  <c r="E41" i="1"/>
  <c r="E42" i="1"/>
  <c r="E43" i="1"/>
  <c r="E44" i="1"/>
  <c r="E45" i="1"/>
  <c r="E46" i="1"/>
  <c r="E47" i="1"/>
  <c r="E48" i="1"/>
  <c r="E49" i="1"/>
  <c r="E50" i="1"/>
  <c r="I115" i="1"/>
  <c r="E20" i="15" l="1"/>
  <c r="E19" i="15"/>
  <c r="E18" i="15"/>
  <c r="L45" i="1" l="1"/>
  <c r="L46" i="1"/>
  <c r="L47" i="1"/>
  <c r="L48" i="1"/>
  <c r="L49" i="1"/>
  <c r="L50" i="1"/>
  <c r="L51" i="1"/>
  <c r="L52" i="1"/>
  <c r="L53" i="1"/>
  <c r="L54" i="1"/>
  <c r="L55" i="1"/>
  <c r="L56" i="1"/>
  <c r="L57" i="1"/>
  <c r="L58" i="1"/>
  <c r="L59" i="1"/>
  <c r="M30" i="22" l="1"/>
  <c r="M29" i="22"/>
  <c r="M28" i="22"/>
  <c r="M27" i="22"/>
  <c r="M26" i="22"/>
  <c r="M25" i="22"/>
  <c r="M24" i="22"/>
  <c r="M23" i="22"/>
  <c r="M22" i="22"/>
  <c r="M21" i="22"/>
  <c r="M20" i="22"/>
  <c r="M19" i="22"/>
  <c r="M18" i="22"/>
  <c r="M17" i="22"/>
  <c r="M16" i="22"/>
  <c r="M15" i="22"/>
  <c r="M14" i="22"/>
  <c r="M13" i="22"/>
  <c r="M12" i="22"/>
  <c r="M11" i="22"/>
  <c r="N11" i="22" s="1"/>
  <c r="M12" i="21"/>
  <c r="M13" i="21"/>
  <c r="M14" i="21"/>
  <c r="M15" i="21"/>
  <c r="M16" i="21"/>
  <c r="M17" i="21"/>
  <c r="M18" i="21"/>
  <c r="M19" i="21"/>
  <c r="M20" i="21"/>
  <c r="M21" i="21"/>
  <c r="M22" i="21"/>
  <c r="M23" i="21"/>
  <c r="M24" i="21"/>
  <c r="M25" i="21"/>
  <c r="M26" i="21"/>
  <c r="M27" i="21"/>
  <c r="M28" i="21"/>
  <c r="M29" i="21"/>
  <c r="M30" i="21"/>
  <c r="M11" i="21"/>
  <c r="L22" i="1"/>
  <c r="L23" i="1"/>
  <c r="L24" i="1"/>
  <c r="L25" i="1"/>
  <c r="L26" i="1"/>
  <c r="L27" i="1"/>
  <c r="L28" i="1"/>
  <c r="L29" i="1"/>
  <c r="L30" i="1"/>
  <c r="M12" i="1"/>
  <c r="M13" i="1"/>
  <c r="M14" i="1"/>
  <c r="M15" i="1"/>
  <c r="M16" i="1"/>
  <c r="M17" i="1"/>
  <c r="M18" i="1"/>
  <c r="M19" i="1"/>
  <c r="M20" i="1"/>
  <c r="M21" i="1"/>
  <c r="M22" i="1"/>
  <c r="N22" i="1"/>
  <c r="M23" i="1"/>
  <c r="N23" i="1"/>
  <c r="M24" i="1"/>
  <c r="N24" i="1"/>
  <c r="M25" i="1"/>
  <c r="N25" i="1"/>
  <c r="M26" i="1"/>
  <c r="N26" i="1"/>
  <c r="M27" i="1"/>
  <c r="N27" i="1"/>
  <c r="M28" i="1"/>
  <c r="N28" i="1"/>
  <c r="M29" i="1"/>
  <c r="N29" i="1"/>
  <c r="M30" i="1"/>
  <c r="N30" i="1"/>
  <c r="M11" i="1"/>
  <c r="M31" i="21" l="1"/>
  <c r="J116" i="1"/>
  <c r="J118" i="1"/>
  <c r="J120" i="1"/>
  <c r="J122" i="1"/>
  <c r="J124" i="1"/>
  <c r="J126" i="1"/>
  <c r="J128" i="1"/>
  <c r="J130" i="1"/>
  <c r="J132" i="1"/>
  <c r="J114" i="1"/>
  <c r="D16" i="10"/>
  <c r="D12" i="10"/>
  <c r="B9" i="10" l="1"/>
  <c r="D9" i="10" s="1"/>
  <c r="B8" i="10" l="1"/>
  <c r="D8" i="10" s="1"/>
  <c r="J67" i="22"/>
  <c r="J68" i="22"/>
  <c r="J69" i="22"/>
  <c r="J70" i="22"/>
  <c r="J71" i="22"/>
  <c r="J72" i="22"/>
  <c r="J73" i="22"/>
  <c r="J74" i="22"/>
  <c r="J75" i="22"/>
  <c r="J76" i="22"/>
  <c r="J77" i="22"/>
  <c r="J78" i="22"/>
  <c r="J79" i="22"/>
  <c r="J80" i="22"/>
  <c r="J81" i="22"/>
  <c r="J82" i="22"/>
  <c r="J83" i="22"/>
  <c r="J84" i="22"/>
  <c r="J85" i="22"/>
  <c r="J66" i="22"/>
  <c r="M85" i="22"/>
  <c r="M84" i="22"/>
  <c r="M83" i="22"/>
  <c r="M82" i="22"/>
  <c r="M81" i="22"/>
  <c r="M80" i="22"/>
  <c r="M79" i="22"/>
  <c r="M78" i="22"/>
  <c r="M77" i="22"/>
  <c r="M76" i="22"/>
  <c r="M75" i="22"/>
  <c r="M74" i="22"/>
  <c r="M73" i="22"/>
  <c r="M72" i="22"/>
  <c r="AY85" i="22"/>
  <c r="E85" i="22" s="1"/>
  <c r="AY84" i="22"/>
  <c r="E84" i="22" s="1"/>
  <c r="AY83" i="22"/>
  <c r="E83" i="22" s="1"/>
  <c r="AY82" i="22"/>
  <c r="E82" i="22" s="1"/>
  <c r="AY81" i="22"/>
  <c r="E81" i="22" s="1"/>
  <c r="AY80" i="22"/>
  <c r="E80" i="22" s="1"/>
  <c r="AY79" i="22"/>
  <c r="E79" i="22" s="1"/>
  <c r="AY78" i="22"/>
  <c r="E78" i="22" s="1"/>
  <c r="AY77" i="22"/>
  <c r="E77" i="22" s="1"/>
  <c r="AY76" i="22"/>
  <c r="E76" i="22" s="1"/>
  <c r="AY75" i="22"/>
  <c r="E75" i="22" s="1"/>
  <c r="AY74" i="22"/>
  <c r="E74" i="22" s="1"/>
  <c r="AY73" i="22"/>
  <c r="E73" i="22" s="1"/>
  <c r="AY72" i="22"/>
  <c r="E72" i="22" s="1"/>
  <c r="J67" i="21"/>
  <c r="J68" i="21"/>
  <c r="J69" i="21"/>
  <c r="J70" i="21"/>
  <c r="J71" i="21"/>
  <c r="J72" i="21"/>
  <c r="J73" i="21"/>
  <c r="J74" i="21"/>
  <c r="J75" i="21"/>
  <c r="J76" i="21"/>
  <c r="J77" i="21"/>
  <c r="J78" i="21"/>
  <c r="J79" i="21"/>
  <c r="J80" i="21"/>
  <c r="J81" i="21"/>
  <c r="J82" i="21"/>
  <c r="J83" i="21"/>
  <c r="J84" i="21"/>
  <c r="J85" i="21"/>
  <c r="J66" i="21"/>
  <c r="E15" i="15"/>
  <c r="E16" i="15"/>
  <c r="E14" i="15"/>
  <c r="E2" i="18" l="1"/>
  <c r="J69" i="1" l="1"/>
  <c r="J70" i="1"/>
  <c r="J71" i="1"/>
  <c r="J72" i="1"/>
  <c r="J73" i="1"/>
  <c r="J74" i="1"/>
  <c r="J75" i="1"/>
  <c r="J76" i="1"/>
  <c r="J77" i="1"/>
  <c r="J78" i="1"/>
  <c r="J79" i="1"/>
  <c r="J80" i="1"/>
  <c r="J81" i="1"/>
  <c r="J82" i="1"/>
  <c r="J83" i="1"/>
  <c r="J84" i="1"/>
  <c r="J85" i="1"/>
  <c r="J86" i="1"/>
  <c r="J87" i="1"/>
  <c r="AX88" i="1"/>
  <c r="G2" i="23" l="1"/>
  <c r="H88" i="1"/>
  <c r="D17" i="10"/>
  <c r="D2" i="18" l="1"/>
  <c r="D2" i="11"/>
  <c r="C2" i="22"/>
  <c r="C2" i="21"/>
  <c r="C2" i="1"/>
  <c r="C2" i="10"/>
  <c r="Y40" i="22"/>
  <c r="Y41" i="22"/>
  <c r="Y42" i="22"/>
  <c r="Y43" i="22"/>
  <c r="Y44" i="22"/>
  <c r="Y45" i="22"/>
  <c r="Y46" i="22"/>
  <c r="Y47" i="22"/>
  <c r="Y48" i="22"/>
  <c r="Y49" i="22"/>
  <c r="Y50" i="22"/>
  <c r="Y51" i="22"/>
  <c r="Y52" i="22"/>
  <c r="Y53" i="22"/>
  <c r="Y54" i="22"/>
  <c r="Y55" i="22"/>
  <c r="Y56" i="22"/>
  <c r="Y57" i="22"/>
  <c r="Y58" i="22"/>
  <c r="Y39" i="22"/>
  <c r="U40" i="22"/>
  <c r="U41" i="22"/>
  <c r="U42" i="22"/>
  <c r="U43" i="22"/>
  <c r="U44" i="22"/>
  <c r="U45" i="22"/>
  <c r="U46" i="22"/>
  <c r="U47" i="22"/>
  <c r="U48" i="22"/>
  <c r="U49" i="22"/>
  <c r="U50" i="22"/>
  <c r="U51" i="22"/>
  <c r="U52" i="22"/>
  <c r="U53" i="22"/>
  <c r="U54" i="22"/>
  <c r="U55" i="22"/>
  <c r="U56" i="22"/>
  <c r="U57" i="22"/>
  <c r="U58" i="22"/>
  <c r="U39" i="22"/>
  <c r="U12" i="22"/>
  <c r="W12" i="22"/>
  <c r="X12" i="22" s="1"/>
  <c r="Y12" i="22"/>
  <c r="AA12" i="22" s="1"/>
  <c r="U13" i="22"/>
  <c r="V13" i="22" s="1"/>
  <c r="W13" i="22"/>
  <c r="X13" i="22" s="1"/>
  <c r="Y13" i="22"/>
  <c r="Z13" i="22" s="1"/>
  <c r="U14" i="22"/>
  <c r="V14" i="22" s="1"/>
  <c r="W14" i="22"/>
  <c r="X14" i="22" s="1"/>
  <c r="Y14" i="22"/>
  <c r="Z14" i="22" s="1"/>
  <c r="U15" i="22"/>
  <c r="V15" i="22" s="1"/>
  <c r="W15" i="22"/>
  <c r="X15" i="22" s="1"/>
  <c r="Y15" i="22"/>
  <c r="Z15" i="22" s="1"/>
  <c r="U16" i="22"/>
  <c r="V16" i="22" s="1"/>
  <c r="W16" i="22"/>
  <c r="X16" i="22" s="1"/>
  <c r="Y16" i="22"/>
  <c r="Z16" i="22" s="1"/>
  <c r="U17" i="22"/>
  <c r="V17" i="22" s="1"/>
  <c r="W17" i="22"/>
  <c r="X17" i="22" s="1"/>
  <c r="Y17" i="22"/>
  <c r="Z17" i="22" s="1"/>
  <c r="U18" i="22"/>
  <c r="V18" i="22" s="1"/>
  <c r="W18" i="22"/>
  <c r="X18" i="22" s="1"/>
  <c r="Y18" i="22"/>
  <c r="Z18" i="22" s="1"/>
  <c r="U19" i="22"/>
  <c r="V19" i="22" s="1"/>
  <c r="W19" i="22"/>
  <c r="X19" i="22" s="1"/>
  <c r="Y19" i="22"/>
  <c r="Z19" i="22" s="1"/>
  <c r="U20" i="22"/>
  <c r="V20" i="22" s="1"/>
  <c r="W20" i="22"/>
  <c r="X20" i="22" s="1"/>
  <c r="Y20" i="22"/>
  <c r="AA20" i="22" s="1"/>
  <c r="U21" i="22"/>
  <c r="V21" i="22" s="1"/>
  <c r="W21" i="22"/>
  <c r="X21" i="22" s="1"/>
  <c r="Y21" i="22"/>
  <c r="AA21" i="22" s="1"/>
  <c r="U22" i="22"/>
  <c r="V22" i="22" s="1"/>
  <c r="W22" i="22"/>
  <c r="X22" i="22" s="1"/>
  <c r="Y22" i="22"/>
  <c r="Z22" i="22" s="1"/>
  <c r="U23" i="22"/>
  <c r="V23" i="22" s="1"/>
  <c r="W23" i="22"/>
  <c r="X23" i="22" s="1"/>
  <c r="Y23" i="22"/>
  <c r="Z23" i="22" s="1"/>
  <c r="U24" i="22"/>
  <c r="V24" i="22" s="1"/>
  <c r="W24" i="22"/>
  <c r="X24" i="22" s="1"/>
  <c r="Y24" i="22"/>
  <c r="Z24" i="22" s="1"/>
  <c r="U25" i="22"/>
  <c r="V25" i="22" s="1"/>
  <c r="W25" i="22"/>
  <c r="X25" i="22" s="1"/>
  <c r="Y25" i="22"/>
  <c r="Z25" i="22" s="1"/>
  <c r="U26" i="22"/>
  <c r="V26" i="22" s="1"/>
  <c r="W26" i="22"/>
  <c r="X26" i="22" s="1"/>
  <c r="Y26" i="22"/>
  <c r="Z26" i="22" s="1"/>
  <c r="U27" i="22"/>
  <c r="V27" i="22" s="1"/>
  <c r="W27" i="22"/>
  <c r="X27" i="22" s="1"/>
  <c r="Y27" i="22"/>
  <c r="Z27" i="22" s="1"/>
  <c r="U28" i="22"/>
  <c r="V28" i="22" s="1"/>
  <c r="W28" i="22"/>
  <c r="X28" i="22" s="1"/>
  <c r="Y28" i="22"/>
  <c r="AA28" i="22" s="1"/>
  <c r="U29" i="22"/>
  <c r="V29" i="22" s="1"/>
  <c r="W29" i="22"/>
  <c r="X29" i="22" s="1"/>
  <c r="Y29" i="22"/>
  <c r="AA29" i="22" s="1"/>
  <c r="U30" i="22"/>
  <c r="V30" i="22" s="1"/>
  <c r="W30" i="22"/>
  <c r="X30" i="22" s="1"/>
  <c r="Y30" i="22"/>
  <c r="Z30" i="22" s="1"/>
  <c r="Y11" i="22"/>
  <c r="W11" i="22"/>
  <c r="U11" i="22"/>
  <c r="F107" i="22" l="1"/>
  <c r="F104" i="22"/>
  <c r="V12" i="22"/>
  <c r="AA30" i="22"/>
  <c r="AA26" i="22"/>
  <c r="AA27" i="22"/>
  <c r="Z21" i="22"/>
  <c r="Z29" i="22"/>
  <c r="AA19" i="22"/>
  <c r="Z28" i="22"/>
  <c r="AA22" i="22"/>
  <c r="Z20" i="22"/>
  <c r="AA18" i="22"/>
  <c r="AA14" i="22"/>
  <c r="AA13" i="22"/>
  <c r="Z12" i="22"/>
  <c r="AA23" i="22"/>
  <c r="AA15" i="22"/>
  <c r="AA24" i="22"/>
  <c r="AA16" i="22"/>
  <c r="AA25" i="22"/>
  <c r="AA17" i="22"/>
  <c r="AG12" i="22" l="1"/>
  <c r="AG14" i="22"/>
  <c r="AG15" i="22"/>
  <c r="AG16" i="22"/>
  <c r="AG11" i="22"/>
  <c r="J103" i="22"/>
  <c r="I85" i="22"/>
  <c r="D85" i="22"/>
  <c r="I84" i="22"/>
  <c r="D84" i="22"/>
  <c r="I83" i="22"/>
  <c r="D83" i="22"/>
  <c r="I82" i="22"/>
  <c r="D82" i="22"/>
  <c r="I81" i="22"/>
  <c r="D81" i="22"/>
  <c r="I80" i="22"/>
  <c r="D80" i="22"/>
  <c r="I79" i="22"/>
  <c r="D79" i="22"/>
  <c r="I78" i="22"/>
  <c r="D78" i="22"/>
  <c r="I77" i="22"/>
  <c r="D77" i="22"/>
  <c r="I76" i="22"/>
  <c r="D76" i="22"/>
  <c r="I75" i="22"/>
  <c r="D75" i="22"/>
  <c r="I74" i="22"/>
  <c r="D74" i="22"/>
  <c r="I73" i="22"/>
  <c r="D73" i="22"/>
  <c r="I72" i="22"/>
  <c r="D72" i="22"/>
  <c r="I71" i="22"/>
  <c r="D71" i="22"/>
  <c r="I70" i="22"/>
  <c r="D70" i="22"/>
  <c r="I69" i="22"/>
  <c r="D69" i="22"/>
  <c r="I68" i="22"/>
  <c r="D68" i="22"/>
  <c r="I67" i="22"/>
  <c r="D67" i="22"/>
  <c r="I66" i="22"/>
  <c r="D66" i="22"/>
  <c r="I59" i="22"/>
  <c r="AG58" i="22"/>
  <c r="AH58" i="22" s="1"/>
  <c r="AE58" i="22"/>
  <c r="AF58" i="22" s="1"/>
  <c r="AB58" i="22"/>
  <c r="AD58" i="22" s="1"/>
  <c r="Z58" i="22"/>
  <c r="W58" i="22"/>
  <c r="X58" i="22" s="1"/>
  <c r="V58" i="22"/>
  <c r="E58" i="22"/>
  <c r="AG57" i="22"/>
  <c r="AH57" i="22" s="1"/>
  <c r="AE57" i="22"/>
  <c r="AF57" i="22" s="1"/>
  <c r="AB57" i="22"/>
  <c r="AD57" i="22" s="1"/>
  <c r="Z57" i="22"/>
  <c r="W57" i="22"/>
  <c r="X57" i="22" s="1"/>
  <c r="V57" i="22"/>
  <c r="E57" i="22"/>
  <c r="AG56" i="22"/>
  <c r="AH56" i="22" s="1"/>
  <c r="AE56" i="22"/>
  <c r="AF56" i="22" s="1"/>
  <c r="AB56" i="22"/>
  <c r="AD56" i="22" s="1"/>
  <c r="Z56" i="22"/>
  <c r="W56" i="22"/>
  <c r="X56" i="22" s="1"/>
  <c r="V56" i="22"/>
  <c r="E56" i="22"/>
  <c r="AG55" i="22"/>
  <c r="AH55" i="22" s="1"/>
  <c r="AE55" i="22"/>
  <c r="AF55" i="22" s="1"/>
  <c r="AB55" i="22"/>
  <c r="AD55" i="22" s="1"/>
  <c r="Z55" i="22"/>
  <c r="W55" i="22"/>
  <c r="X55" i="22" s="1"/>
  <c r="V55" i="22"/>
  <c r="E55" i="22"/>
  <c r="AG54" i="22"/>
  <c r="AH54" i="22" s="1"/>
  <c r="AE54" i="22"/>
  <c r="AF54" i="22" s="1"/>
  <c r="AB54" i="22"/>
  <c r="AD54" i="22" s="1"/>
  <c r="Z54" i="22"/>
  <c r="W54" i="22"/>
  <c r="X54" i="22" s="1"/>
  <c r="V54" i="22"/>
  <c r="E54" i="22"/>
  <c r="AG53" i="22"/>
  <c r="AH53" i="22" s="1"/>
  <c r="AE53" i="22"/>
  <c r="AF53" i="22" s="1"/>
  <c r="AB53" i="22"/>
  <c r="AC53" i="22" s="1"/>
  <c r="Z53" i="22"/>
  <c r="W53" i="22"/>
  <c r="X53" i="22" s="1"/>
  <c r="V53" i="22"/>
  <c r="E53" i="22"/>
  <c r="AG52" i="22"/>
  <c r="AH52" i="22" s="1"/>
  <c r="AE52" i="22"/>
  <c r="AF52" i="22" s="1"/>
  <c r="AB52" i="22"/>
  <c r="AD52" i="22" s="1"/>
  <c r="Z52" i="22"/>
  <c r="W52" i="22"/>
  <c r="X52" i="22" s="1"/>
  <c r="V52" i="22"/>
  <c r="E52" i="22"/>
  <c r="AG51" i="22"/>
  <c r="AH51" i="22" s="1"/>
  <c r="AE51" i="22"/>
  <c r="AF51" i="22" s="1"/>
  <c r="AB51" i="22"/>
  <c r="AD51" i="22" s="1"/>
  <c r="Z51" i="22"/>
  <c r="W51" i="22"/>
  <c r="X51" i="22" s="1"/>
  <c r="V51" i="22"/>
  <c r="E51" i="22"/>
  <c r="AG50" i="22"/>
  <c r="AH50" i="22" s="1"/>
  <c r="AE50" i="22"/>
  <c r="AF50" i="22" s="1"/>
  <c r="AB50" i="22"/>
  <c r="AD50" i="22" s="1"/>
  <c r="Z50" i="22"/>
  <c r="W50" i="22"/>
  <c r="X50" i="22" s="1"/>
  <c r="V50" i="22"/>
  <c r="E50" i="22"/>
  <c r="AG49" i="22"/>
  <c r="AH49" i="22" s="1"/>
  <c r="AE49" i="22"/>
  <c r="AF49" i="22" s="1"/>
  <c r="AB49" i="22"/>
  <c r="AD49" i="22" s="1"/>
  <c r="Z49" i="22"/>
  <c r="W49" i="22"/>
  <c r="X49" i="22" s="1"/>
  <c r="V49" i="22"/>
  <c r="E49" i="22"/>
  <c r="AG48" i="22"/>
  <c r="AH48" i="22" s="1"/>
  <c r="AE48" i="22"/>
  <c r="AF48" i="22" s="1"/>
  <c r="AB48" i="22"/>
  <c r="AD48" i="22" s="1"/>
  <c r="Z48" i="22"/>
  <c r="W48" i="22"/>
  <c r="X48" i="22" s="1"/>
  <c r="V48" i="22"/>
  <c r="E48" i="22"/>
  <c r="AG47" i="22"/>
  <c r="AH47" i="22" s="1"/>
  <c r="AE47" i="22"/>
  <c r="AF47" i="22" s="1"/>
  <c r="AB47" i="22"/>
  <c r="AD47" i="22" s="1"/>
  <c r="Z47" i="22"/>
  <c r="W47" i="22"/>
  <c r="X47" i="22" s="1"/>
  <c r="V47" i="22"/>
  <c r="E47" i="22"/>
  <c r="AG46" i="22"/>
  <c r="AH46" i="22" s="1"/>
  <c r="AE46" i="22"/>
  <c r="AF46" i="22" s="1"/>
  <c r="AB46" i="22"/>
  <c r="AD46" i="22" s="1"/>
  <c r="Z46" i="22"/>
  <c r="W46" i="22"/>
  <c r="X46" i="22" s="1"/>
  <c r="V46" i="22"/>
  <c r="E46" i="22"/>
  <c r="AG45" i="22"/>
  <c r="AH45" i="22" s="1"/>
  <c r="AE45" i="22"/>
  <c r="AF45" i="22" s="1"/>
  <c r="AB45" i="22"/>
  <c r="AD45" i="22" s="1"/>
  <c r="Z45" i="22"/>
  <c r="W45" i="22"/>
  <c r="X45" i="22" s="1"/>
  <c r="V45" i="22"/>
  <c r="E45" i="22"/>
  <c r="AG44" i="22"/>
  <c r="AH44" i="22" s="1"/>
  <c r="AE44" i="22"/>
  <c r="AF44" i="22" s="1"/>
  <c r="AB44" i="22"/>
  <c r="AD44" i="22" s="1"/>
  <c r="Z44" i="22"/>
  <c r="W44" i="22"/>
  <c r="X44" i="22" s="1"/>
  <c r="V44" i="22"/>
  <c r="E44" i="22"/>
  <c r="AG43" i="22"/>
  <c r="AH43" i="22" s="1"/>
  <c r="AE43" i="22"/>
  <c r="AF43" i="22" s="1"/>
  <c r="AB43" i="22"/>
  <c r="AD43" i="22" s="1"/>
  <c r="Z43" i="22"/>
  <c r="W43" i="22"/>
  <c r="X43" i="22" s="1"/>
  <c r="V43" i="22"/>
  <c r="E43" i="22"/>
  <c r="AG42" i="22"/>
  <c r="AH42" i="22" s="1"/>
  <c r="AE42" i="22"/>
  <c r="AF42" i="22" s="1"/>
  <c r="AB42" i="22"/>
  <c r="AD42" i="22" s="1"/>
  <c r="Z42" i="22"/>
  <c r="W42" i="22"/>
  <c r="X42" i="22" s="1"/>
  <c r="V42" i="22"/>
  <c r="E42" i="22"/>
  <c r="AG41" i="22"/>
  <c r="AH41" i="22" s="1"/>
  <c r="AE41" i="22"/>
  <c r="AF41" i="22" s="1"/>
  <c r="L41" i="22" s="1"/>
  <c r="AB41" i="22"/>
  <c r="AD41" i="22" s="1"/>
  <c r="Z41" i="22"/>
  <c r="W41" i="22"/>
  <c r="X41" i="22" s="1"/>
  <c r="V41" i="22"/>
  <c r="E41" i="22"/>
  <c r="AG40" i="22"/>
  <c r="AH40" i="22" s="1"/>
  <c r="AE40" i="22"/>
  <c r="AF40" i="22" s="1"/>
  <c r="L40" i="22" s="1"/>
  <c r="AB40" i="22"/>
  <c r="AD40" i="22" s="1"/>
  <c r="Z40" i="22"/>
  <c r="W40" i="22"/>
  <c r="X40" i="22" s="1"/>
  <c r="V40" i="22"/>
  <c r="E40" i="22"/>
  <c r="AG39" i="22"/>
  <c r="AH39" i="22" s="1"/>
  <c r="AE39" i="22"/>
  <c r="AF39" i="22" s="1"/>
  <c r="L39" i="22" s="1"/>
  <c r="AB39" i="22"/>
  <c r="AD39" i="22" s="1"/>
  <c r="Z39" i="22"/>
  <c r="W39" i="22"/>
  <c r="X39" i="22" s="1"/>
  <c r="V39" i="22"/>
  <c r="E39" i="22"/>
  <c r="K31" i="22"/>
  <c r="J31" i="22"/>
  <c r="I31" i="22"/>
  <c r="AI30" i="22"/>
  <c r="AG30" i="22"/>
  <c r="AB30" i="22"/>
  <c r="AC30" i="22" s="1"/>
  <c r="AH30" i="22"/>
  <c r="AI29" i="22"/>
  <c r="AG29" i="22"/>
  <c r="AB29" i="22"/>
  <c r="AD29" i="22" s="1"/>
  <c r="AH29" i="22"/>
  <c r="AI28" i="22"/>
  <c r="AG28" i="22"/>
  <c r="AB28" i="22"/>
  <c r="AD28" i="22" s="1"/>
  <c r="AH28" i="22"/>
  <c r="AI27" i="22"/>
  <c r="AG27" i="22"/>
  <c r="AB27" i="22"/>
  <c r="AD27" i="22" s="1"/>
  <c r="AH27" i="22"/>
  <c r="AI26" i="22"/>
  <c r="AG26" i="22"/>
  <c r="AB26" i="22"/>
  <c r="AC26" i="22" s="1"/>
  <c r="AH26" i="22"/>
  <c r="AI25" i="22"/>
  <c r="AG25" i="22"/>
  <c r="AB25" i="22"/>
  <c r="AC25" i="22" s="1"/>
  <c r="AH25" i="22"/>
  <c r="AI24" i="22"/>
  <c r="AG24" i="22"/>
  <c r="AB24" i="22"/>
  <c r="AD24" i="22" s="1"/>
  <c r="AH24" i="22"/>
  <c r="AI23" i="22"/>
  <c r="AG23" i="22"/>
  <c r="AB23" i="22"/>
  <c r="AD23" i="22" s="1"/>
  <c r="AH23" i="22"/>
  <c r="AI22" i="22"/>
  <c r="AG22" i="22"/>
  <c r="AB22" i="22"/>
  <c r="AD22" i="22" s="1"/>
  <c r="AH22" i="22"/>
  <c r="AI21" i="22"/>
  <c r="AG21" i="22"/>
  <c r="AB21" i="22"/>
  <c r="AD21" i="22" s="1"/>
  <c r="AH21" i="22"/>
  <c r="AI20" i="22"/>
  <c r="AG20" i="22"/>
  <c r="AB20" i="22"/>
  <c r="AD20" i="22" s="1"/>
  <c r="AH20" i="22"/>
  <c r="AI19" i="22"/>
  <c r="AG19" i="22"/>
  <c r="AB19" i="22"/>
  <c r="AD19" i="22" s="1"/>
  <c r="AI18" i="22"/>
  <c r="AG18" i="22"/>
  <c r="AB18" i="22"/>
  <c r="AC18" i="22" s="1"/>
  <c r="AH18" i="22"/>
  <c r="AI17" i="22"/>
  <c r="AG17" i="22"/>
  <c r="AB17" i="22"/>
  <c r="AD17" i="22" s="1"/>
  <c r="AH17" i="22"/>
  <c r="AI16" i="22"/>
  <c r="AB16" i="22"/>
  <c r="AD16" i="22" s="1"/>
  <c r="AH16" i="22"/>
  <c r="AI15" i="22"/>
  <c r="AB15" i="22"/>
  <c r="AD15" i="22" s="1"/>
  <c r="AH15" i="22"/>
  <c r="AI14" i="22"/>
  <c r="AB14" i="22"/>
  <c r="AI13" i="22"/>
  <c r="AB13" i="22"/>
  <c r="AD13" i="22" s="1"/>
  <c r="AI12" i="22"/>
  <c r="AB12" i="22"/>
  <c r="AD12" i="22" s="1"/>
  <c r="AI11" i="22"/>
  <c r="AB11" i="22"/>
  <c r="AD11" i="22" s="1"/>
  <c r="AA11" i="22"/>
  <c r="X11" i="22"/>
  <c r="J105" i="21"/>
  <c r="I85" i="21"/>
  <c r="D85" i="21"/>
  <c r="L85" i="21" s="1"/>
  <c r="I84" i="21"/>
  <c r="D84" i="21"/>
  <c r="L84" i="21" s="1"/>
  <c r="I83" i="21"/>
  <c r="D83" i="21"/>
  <c r="L83" i="21" s="1"/>
  <c r="I82" i="21"/>
  <c r="D82" i="21"/>
  <c r="L82" i="21" s="1"/>
  <c r="I81" i="21"/>
  <c r="D81" i="21"/>
  <c r="L81" i="21" s="1"/>
  <c r="I80" i="21"/>
  <c r="D80" i="21"/>
  <c r="L80" i="21" s="1"/>
  <c r="I79" i="21"/>
  <c r="D79" i="21"/>
  <c r="L79" i="21" s="1"/>
  <c r="I78" i="21"/>
  <c r="D78" i="21"/>
  <c r="L78" i="21" s="1"/>
  <c r="I77" i="21"/>
  <c r="D77" i="21"/>
  <c r="L77" i="21" s="1"/>
  <c r="I76" i="21"/>
  <c r="D76" i="21"/>
  <c r="L76" i="21" s="1"/>
  <c r="I75" i="21"/>
  <c r="D75" i="21"/>
  <c r="L75" i="21" s="1"/>
  <c r="I74" i="21"/>
  <c r="D74" i="21"/>
  <c r="L74" i="21" s="1"/>
  <c r="I73" i="21"/>
  <c r="D73" i="21"/>
  <c r="L73" i="21" s="1"/>
  <c r="I72" i="21"/>
  <c r="D72" i="21"/>
  <c r="L72" i="21" s="1"/>
  <c r="I71" i="21"/>
  <c r="D71" i="21"/>
  <c r="L71" i="21" s="1"/>
  <c r="I70" i="21"/>
  <c r="D70" i="21"/>
  <c r="L70" i="21" s="1"/>
  <c r="I69" i="21"/>
  <c r="D69" i="21"/>
  <c r="I68" i="21"/>
  <c r="D68" i="21"/>
  <c r="I67" i="21"/>
  <c r="D67" i="21"/>
  <c r="I66" i="21"/>
  <c r="D66" i="21"/>
  <c r="AG58" i="21"/>
  <c r="AH58" i="21" s="1"/>
  <c r="AE58" i="21"/>
  <c r="AF58" i="21" s="1"/>
  <c r="AB58" i="21"/>
  <c r="AD58" i="21" s="1"/>
  <c r="Y58" i="21"/>
  <c r="AA58" i="21" s="1"/>
  <c r="W58" i="21"/>
  <c r="X58" i="21" s="1"/>
  <c r="U58" i="21"/>
  <c r="V58" i="21" s="1"/>
  <c r="E58" i="21"/>
  <c r="AG57" i="21"/>
  <c r="AH57" i="21" s="1"/>
  <c r="AE57" i="21"/>
  <c r="AF57" i="21" s="1"/>
  <c r="AB57" i="21"/>
  <c r="AD57" i="21" s="1"/>
  <c r="Y57" i="21"/>
  <c r="Z57" i="21" s="1"/>
  <c r="W57" i="21"/>
  <c r="X57" i="21" s="1"/>
  <c r="U57" i="21"/>
  <c r="V57" i="21" s="1"/>
  <c r="E57" i="21"/>
  <c r="AG56" i="21"/>
  <c r="AH56" i="21" s="1"/>
  <c r="AE56" i="21"/>
  <c r="AF56" i="21" s="1"/>
  <c r="AB56" i="21"/>
  <c r="AD56" i="21" s="1"/>
  <c r="Y56" i="21"/>
  <c r="AA56" i="21" s="1"/>
  <c r="W56" i="21"/>
  <c r="X56" i="21" s="1"/>
  <c r="U56" i="21"/>
  <c r="V56" i="21" s="1"/>
  <c r="E56" i="21"/>
  <c r="AG55" i="21"/>
  <c r="AH55" i="21" s="1"/>
  <c r="AE55" i="21"/>
  <c r="AF55" i="21" s="1"/>
  <c r="AB55" i="21"/>
  <c r="AD55" i="21" s="1"/>
  <c r="Y55" i="21"/>
  <c r="Z55" i="21" s="1"/>
  <c r="W55" i="21"/>
  <c r="X55" i="21" s="1"/>
  <c r="U55" i="21"/>
  <c r="V55" i="21" s="1"/>
  <c r="E55" i="21"/>
  <c r="AG54" i="21"/>
  <c r="AH54" i="21" s="1"/>
  <c r="AE54" i="21"/>
  <c r="AF54" i="21" s="1"/>
  <c r="AB54" i="21"/>
  <c r="AD54" i="21" s="1"/>
  <c r="Y54" i="21"/>
  <c r="AA54" i="21" s="1"/>
  <c r="W54" i="21"/>
  <c r="X54" i="21" s="1"/>
  <c r="U54" i="21"/>
  <c r="V54" i="21" s="1"/>
  <c r="E54" i="21"/>
  <c r="AG53" i="21"/>
  <c r="AH53" i="21" s="1"/>
  <c r="AE53" i="21"/>
  <c r="AF53" i="21" s="1"/>
  <c r="AB53" i="21"/>
  <c r="AD53" i="21" s="1"/>
  <c r="Y53" i="21"/>
  <c r="Z53" i="21" s="1"/>
  <c r="W53" i="21"/>
  <c r="X53" i="21" s="1"/>
  <c r="U53" i="21"/>
  <c r="V53" i="21" s="1"/>
  <c r="E53" i="21"/>
  <c r="AG52" i="21"/>
  <c r="AH52" i="21" s="1"/>
  <c r="AE52" i="21"/>
  <c r="AF52" i="21" s="1"/>
  <c r="AB52" i="21"/>
  <c r="AD52" i="21" s="1"/>
  <c r="Y52" i="21"/>
  <c r="AA52" i="21" s="1"/>
  <c r="W52" i="21"/>
  <c r="X52" i="21" s="1"/>
  <c r="U52" i="21"/>
  <c r="V52" i="21" s="1"/>
  <c r="E52" i="21"/>
  <c r="AG51" i="21"/>
  <c r="AH51" i="21" s="1"/>
  <c r="AE51" i="21"/>
  <c r="AF51" i="21" s="1"/>
  <c r="AB51" i="21"/>
  <c r="AD51" i="21" s="1"/>
  <c r="Y51" i="21"/>
  <c r="AA51" i="21" s="1"/>
  <c r="W51" i="21"/>
  <c r="X51" i="21" s="1"/>
  <c r="U51" i="21"/>
  <c r="V51" i="21" s="1"/>
  <c r="E51" i="21"/>
  <c r="AG50" i="21"/>
  <c r="AH50" i="21" s="1"/>
  <c r="AE50" i="21"/>
  <c r="AF50" i="21" s="1"/>
  <c r="AB50" i="21"/>
  <c r="AD50" i="21" s="1"/>
  <c r="Y50" i="21"/>
  <c r="AA50" i="21" s="1"/>
  <c r="W50" i="21"/>
  <c r="X50" i="21" s="1"/>
  <c r="U50" i="21"/>
  <c r="V50" i="21" s="1"/>
  <c r="E50" i="21"/>
  <c r="AG49" i="21"/>
  <c r="AH49" i="21" s="1"/>
  <c r="AE49" i="21"/>
  <c r="AF49" i="21" s="1"/>
  <c r="AB49" i="21"/>
  <c r="AD49" i="21" s="1"/>
  <c r="Y49" i="21"/>
  <c r="Z49" i="21" s="1"/>
  <c r="W49" i="21"/>
  <c r="X49" i="21" s="1"/>
  <c r="U49" i="21"/>
  <c r="V49" i="21" s="1"/>
  <c r="E49" i="21"/>
  <c r="AG48" i="21"/>
  <c r="AH48" i="21" s="1"/>
  <c r="AE48" i="21"/>
  <c r="AF48" i="21" s="1"/>
  <c r="AB48" i="21"/>
  <c r="AD48" i="21" s="1"/>
  <c r="Y48" i="21"/>
  <c r="AA48" i="21" s="1"/>
  <c r="W48" i="21"/>
  <c r="X48" i="21" s="1"/>
  <c r="U48" i="21"/>
  <c r="V48" i="21" s="1"/>
  <c r="E48" i="21"/>
  <c r="AG47" i="21"/>
  <c r="AH47" i="21" s="1"/>
  <c r="AE47" i="21"/>
  <c r="AF47" i="21" s="1"/>
  <c r="AB47" i="21"/>
  <c r="AD47" i="21" s="1"/>
  <c r="Y47" i="21"/>
  <c r="AA47" i="21" s="1"/>
  <c r="W47" i="21"/>
  <c r="X47" i="21" s="1"/>
  <c r="U47" i="21"/>
  <c r="V47" i="21" s="1"/>
  <c r="E47" i="21"/>
  <c r="AG46" i="21"/>
  <c r="AH46" i="21" s="1"/>
  <c r="AE46" i="21"/>
  <c r="AF46" i="21" s="1"/>
  <c r="AB46" i="21"/>
  <c r="AD46" i="21" s="1"/>
  <c r="Y46" i="21"/>
  <c r="AA46" i="21" s="1"/>
  <c r="W46" i="21"/>
  <c r="X46" i="21" s="1"/>
  <c r="U46" i="21"/>
  <c r="V46" i="21" s="1"/>
  <c r="E46" i="21"/>
  <c r="AG45" i="21"/>
  <c r="AH45" i="21" s="1"/>
  <c r="AE45" i="21"/>
  <c r="AF45" i="21" s="1"/>
  <c r="AB45" i="21"/>
  <c r="AD45" i="21" s="1"/>
  <c r="Y45" i="21"/>
  <c r="Z45" i="21" s="1"/>
  <c r="W45" i="21"/>
  <c r="X45" i="21" s="1"/>
  <c r="U45" i="21"/>
  <c r="V45" i="21" s="1"/>
  <c r="E45" i="21"/>
  <c r="AG44" i="21"/>
  <c r="AH44" i="21" s="1"/>
  <c r="AE44" i="21"/>
  <c r="AF44" i="21" s="1"/>
  <c r="AB44" i="21"/>
  <c r="AD44" i="21" s="1"/>
  <c r="Y44" i="21"/>
  <c r="AA44" i="21" s="1"/>
  <c r="W44" i="21"/>
  <c r="X44" i="21" s="1"/>
  <c r="U44" i="21"/>
  <c r="V44" i="21" s="1"/>
  <c r="E44" i="21"/>
  <c r="AG43" i="21"/>
  <c r="AH43" i="21" s="1"/>
  <c r="AE43" i="21"/>
  <c r="AF43" i="21" s="1"/>
  <c r="AB43" i="21"/>
  <c r="AD43" i="21" s="1"/>
  <c r="Y43" i="21"/>
  <c r="AA43" i="21" s="1"/>
  <c r="W43" i="21"/>
  <c r="X43" i="21" s="1"/>
  <c r="U43" i="21"/>
  <c r="V43" i="21" s="1"/>
  <c r="E43" i="21"/>
  <c r="AG42" i="21"/>
  <c r="AH42" i="21" s="1"/>
  <c r="AE42" i="21"/>
  <c r="AF42" i="21" s="1"/>
  <c r="AB42" i="21"/>
  <c r="AD42" i="21" s="1"/>
  <c r="Y42" i="21"/>
  <c r="AA42" i="21" s="1"/>
  <c r="W42" i="21"/>
  <c r="X42" i="21" s="1"/>
  <c r="U42" i="21"/>
  <c r="V42" i="21" s="1"/>
  <c r="E42" i="21"/>
  <c r="AG41" i="21"/>
  <c r="AH41" i="21" s="1"/>
  <c r="AE41" i="21"/>
  <c r="AF41" i="21" s="1"/>
  <c r="AB41" i="21"/>
  <c r="AD41" i="21" s="1"/>
  <c r="Y41" i="21"/>
  <c r="Z41" i="21" s="1"/>
  <c r="W41" i="21"/>
  <c r="X41" i="21" s="1"/>
  <c r="U41" i="21"/>
  <c r="V41" i="21" s="1"/>
  <c r="E41" i="21"/>
  <c r="AG40" i="21"/>
  <c r="AH40" i="21" s="1"/>
  <c r="AE40" i="21"/>
  <c r="AF40" i="21" s="1"/>
  <c r="L40" i="21" s="1"/>
  <c r="AB40" i="21"/>
  <c r="AD40" i="21" s="1"/>
  <c r="Y40" i="21"/>
  <c r="AA40" i="21" s="1"/>
  <c r="W40" i="21"/>
  <c r="X40" i="21" s="1"/>
  <c r="U40" i="21"/>
  <c r="E40" i="21"/>
  <c r="AG39" i="21"/>
  <c r="AH39" i="21" s="1"/>
  <c r="AE39" i="21"/>
  <c r="AF39" i="21" s="1"/>
  <c r="AB39" i="21"/>
  <c r="AD39" i="21" s="1"/>
  <c r="Y39" i="21"/>
  <c r="AA39" i="21" s="1"/>
  <c r="W39" i="21"/>
  <c r="X39" i="21" s="1"/>
  <c r="U39" i="21"/>
  <c r="E39" i="21"/>
  <c r="AI30" i="21"/>
  <c r="AB30" i="21"/>
  <c r="AC30" i="21" s="1"/>
  <c r="Y30" i="21"/>
  <c r="W30" i="21"/>
  <c r="U30" i="21"/>
  <c r="AG30" i="21"/>
  <c r="AI29" i="21"/>
  <c r="AB29" i="21"/>
  <c r="AD29" i="21" s="1"/>
  <c r="Y29" i="21"/>
  <c r="W29" i="21"/>
  <c r="U29" i="21"/>
  <c r="AG29" i="21"/>
  <c r="AI28" i="21"/>
  <c r="AG28" i="21"/>
  <c r="AB28" i="21"/>
  <c r="AD28" i="21" s="1"/>
  <c r="Y28" i="21"/>
  <c r="W28" i="21"/>
  <c r="U28" i="21"/>
  <c r="AI27" i="21"/>
  <c r="AB27" i="21"/>
  <c r="AD27" i="21" s="1"/>
  <c r="Y27" i="21"/>
  <c r="W27" i="21"/>
  <c r="U27" i="21"/>
  <c r="AG27" i="21"/>
  <c r="AI26" i="21"/>
  <c r="AG26" i="21"/>
  <c r="AB26" i="21"/>
  <c r="AC26" i="21" s="1"/>
  <c r="Y26" i="21"/>
  <c r="W26" i="21"/>
  <c r="U26" i="21"/>
  <c r="AI25" i="21"/>
  <c r="AB25" i="21"/>
  <c r="AD25" i="21" s="1"/>
  <c r="Y25" i="21"/>
  <c r="W25" i="21"/>
  <c r="U25" i="21"/>
  <c r="AG25" i="21"/>
  <c r="AI24" i="21"/>
  <c r="AB24" i="21"/>
  <c r="AC24" i="21" s="1"/>
  <c r="Y24" i="21"/>
  <c r="W24" i="21"/>
  <c r="U24" i="21"/>
  <c r="AG24" i="21"/>
  <c r="AI23" i="21"/>
  <c r="AB23" i="21"/>
  <c r="AD23" i="21" s="1"/>
  <c r="Y23" i="21"/>
  <c r="W23" i="21"/>
  <c r="U23" i="21"/>
  <c r="AG23" i="21"/>
  <c r="AI22" i="21"/>
  <c r="AB22" i="21"/>
  <c r="AC22" i="21" s="1"/>
  <c r="Y22" i="21"/>
  <c r="W22" i="21"/>
  <c r="U22" i="21"/>
  <c r="AG22" i="21"/>
  <c r="AI21" i="21"/>
  <c r="AB21" i="21"/>
  <c r="AD21" i="21" s="1"/>
  <c r="Y21" i="21"/>
  <c r="W21" i="21"/>
  <c r="U21" i="21"/>
  <c r="AG21" i="21"/>
  <c r="AI20" i="21"/>
  <c r="AB20" i="21"/>
  <c r="AC20" i="21" s="1"/>
  <c r="Y20" i="21"/>
  <c r="W20" i="21"/>
  <c r="U20" i="21"/>
  <c r="AG20" i="21"/>
  <c r="AI19" i="21"/>
  <c r="AB19" i="21"/>
  <c r="AD19" i="21" s="1"/>
  <c r="Y19" i="21"/>
  <c r="W19" i="21"/>
  <c r="U19" i="21"/>
  <c r="AG19" i="21"/>
  <c r="AI18" i="21"/>
  <c r="AB18" i="21"/>
  <c r="AC18" i="21" s="1"/>
  <c r="Y18" i="21"/>
  <c r="W18" i="21"/>
  <c r="U18" i="21"/>
  <c r="AG18" i="21"/>
  <c r="AI17" i="21"/>
  <c r="AB17" i="21"/>
  <c r="AD17" i="21" s="1"/>
  <c r="Y17" i="21"/>
  <c r="W17" i="21"/>
  <c r="U17" i="21"/>
  <c r="AG17" i="21"/>
  <c r="AI16" i="21"/>
  <c r="AB16" i="21"/>
  <c r="AC16" i="21" s="1"/>
  <c r="Y16" i="21"/>
  <c r="W16" i="21"/>
  <c r="U16" i="21"/>
  <c r="AG16" i="21"/>
  <c r="AI15" i="21"/>
  <c r="AB15" i="21"/>
  <c r="AD15" i="21" s="1"/>
  <c r="Y15" i="21"/>
  <c r="W15" i="21"/>
  <c r="U15" i="21"/>
  <c r="AG15" i="21"/>
  <c r="AI14" i="21"/>
  <c r="AB14" i="21"/>
  <c r="AD14" i="21" s="1"/>
  <c r="Y14" i="21"/>
  <c r="W14" i="21"/>
  <c r="U14" i="21"/>
  <c r="AG14" i="21"/>
  <c r="AI13" i="21"/>
  <c r="AB13" i="21"/>
  <c r="AD13" i="21" s="1"/>
  <c r="Y13" i="21"/>
  <c r="W13" i="21"/>
  <c r="U13" i="21"/>
  <c r="AG13" i="21"/>
  <c r="AI12" i="21"/>
  <c r="AB12" i="21"/>
  <c r="Y12" i="21"/>
  <c r="W12" i="21"/>
  <c r="U12" i="21"/>
  <c r="AH12" i="21" s="1"/>
  <c r="AG12" i="21"/>
  <c r="AI11" i="21"/>
  <c r="AB11" i="21"/>
  <c r="AD11" i="21" s="1"/>
  <c r="Y11" i="21"/>
  <c r="AA11" i="21" s="1"/>
  <c r="W11" i="21"/>
  <c r="X11" i="21" s="1"/>
  <c r="U11" i="21"/>
  <c r="F103" i="21" l="1"/>
  <c r="AF13" i="22"/>
  <c r="AE13" i="22"/>
  <c r="AF11" i="22"/>
  <c r="AE11" i="22"/>
  <c r="AH11" i="21"/>
  <c r="F110" i="21"/>
  <c r="N12" i="22"/>
  <c r="L12" i="22"/>
  <c r="AE12" i="22"/>
  <c r="AF12" i="22"/>
  <c r="V40" i="21"/>
  <c r="AY69" i="22"/>
  <c r="E69" i="22" s="1"/>
  <c r="L69" i="22"/>
  <c r="L73" i="22"/>
  <c r="AT73" i="22"/>
  <c r="AU73" i="22" s="1"/>
  <c r="AC73" i="22"/>
  <c r="U73" i="22"/>
  <c r="Y73" i="22"/>
  <c r="X73" i="22"/>
  <c r="AR73" i="22"/>
  <c r="AS73" i="22" s="1"/>
  <c r="AB73" i="22"/>
  <c r="AH73" i="22"/>
  <c r="AI73" i="22" s="1"/>
  <c r="AL73" i="22"/>
  <c r="AA73" i="22"/>
  <c r="AG73" i="22"/>
  <c r="AV73" i="22"/>
  <c r="AW73" i="22" s="1"/>
  <c r="AJ73" i="22"/>
  <c r="AK73" i="22" s="1"/>
  <c r="Z73" i="22"/>
  <c r="AD73" i="22"/>
  <c r="AX73" i="22"/>
  <c r="W73" i="22"/>
  <c r="V73" i="22"/>
  <c r="H73" i="22"/>
  <c r="AO73" i="22" s="1"/>
  <c r="L77" i="22"/>
  <c r="AG77" i="22"/>
  <c r="AX77" i="22"/>
  <c r="AD77" i="22"/>
  <c r="V77" i="22"/>
  <c r="Z77" i="22"/>
  <c r="AV77" i="22"/>
  <c r="AW77" i="22" s="1"/>
  <c r="AC77" i="22"/>
  <c r="U77" i="22"/>
  <c r="AJ77" i="22"/>
  <c r="AK77" i="22" s="1"/>
  <c r="AT77" i="22"/>
  <c r="AU77" i="22" s="1"/>
  <c r="AB77" i="22"/>
  <c r="Y77" i="22"/>
  <c r="AR77" i="22"/>
  <c r="AS77" i="22" s="1"/>
  <c r="AA77" i="22"/>
  <c r="AL77" i="22"/>
  <c r="AH77" i="22"/>
  <c r="AI77" i="22" s="1"/>
  <c r="X77" i="22"/>
  <c r="W77" i="22"/>
  <c r="H77" i="22"/>
  <c r="AO77" i="22" s="1"/>
  <c r="L81" i="22"/>
  <c r="AG81" i="22"/>
  <c r="X81" i="22"/>
  <c r="AX81" i="22"/>
  <c r="W81" i="22"/>
  <c r="AR81" i="22"/>
  <c r="AS81" i="22" s="1"/>
  <c r="AV81" i="22"/>
  <c r="AW81" i="22" s="1"/>
  <c r="AD81" i="22"/>
  <c r="V81" i="22"/>
  <c r="AB81" i="22"/>
  <c r="AL81" i="22"/>
  <c r="AT81" i="22"/>
  <c r="AU81" i="22" s="1"/>
  <c r="AC81" i="22"/>
  <c r="U81" i="22"/>
  <c r="AA81" i="22"/>
  <c r="AJ81" i="22"/>
  <c r="AK81" i="22" s="1"/>
  <c r="Z81" i="22"/>
  <c r="AH81" i="22"/>
  <c r="AI81" i="22" s="1"/>
  <c r="Y81" i="22"/>
  <c r="H81" i="22"/>
  <c r="AO81" i="22" s="1"/>
  <c r="C85" i="22"/>
  <c r="L85" i="22"/>
  <c r="AJ85" i="22"/>
  <c r="AK85" i="22" s="1"/>
  <c r="Y85" i="22"/>
  <c r="AV85" i="22"/>
  <c r="AW85" i="22" s="1"/>
  <c r="AC85" i="22"/>
  <c r="U85" i="22"/>
  <c r="AH85" i="22"/>
  <c r="AI85" i="22" s="1"/>
  <c r="X85" i="22"/>
  <c r="AG85" i="22"/>
  <c r="W85" i="22"/>
  <c r="AT85" i="22"/>
  <c r="AU85" i="22" s="1"/>
  <c r="AB85" i="22"/>
  <c r="AX85" i="22"/>
  <c r="AD85" i="22"/>
  <c r="V85" i="22"/>
  <c r="AR85" i="22"/>
  <c r="AS85" i="22" s="1"/>
  <c r="AA85" i="22"/>
  <c r="AL85" i="22"/>
  <c r="Z85" i="22"/>
  <c r="H85" i="22"/>
  <c r="AO85" i="22" s="1"/>
  <c r="AY70" i="22"/>
  <c r="E70" i="22" s="1"/>
  <c r="L70" i="22"/>
  <c r="L74" i="22"/>
  <c r="AH74" i="22"/>
  <c r="AI74" i="22" s="1"/>
  <c r="Y74" i="22"/>
  <c r="U74" i="22"/>
  <c r="AB74" i="22"/>
  <c r="AJ74" i="22"/>
  <c r="AK74" i="22" s="1"/>
  <c r="AG74" i="22"/>
  <c r="X74" i="22"/>
  <c r="AC74" i="22"/>
  <c r="AX74" i="22"/>
  <c r="W74" i="22"/>
  <c r="AT74" i="22"/>
  <c r="AU74" i="22" s="1"/>
  <c r="AV74" i="22"/>
  <c r="AW74" i="22" s="1"/>
  <c r="AD74" i="22"/>
  <c r="V74" i="22"/>
  <c r="AR74" i="22"/>
  <c r="AS74" i="22" s="1"/>
  <c r="AL74" i="22"/>
  <c r="AA74" i="22"/>
  <c r="Z74" i="22"/>
  <c r="H74" i="22"/>
  <c r="AO74" i="22" s="1"/>
  <c r="L78" i="22"/>
  <c r="AR78" i="22"/>
  <c r="AS78" i="22" s="1"/>
  <c r="AA78" i="22"/>
  <c r="AG78" i="22"/>
  <c r="V78" i="22"/>
  <c r="AL78" i="22"/>
  <c r="Z78" i="22"/>
  <c r="W78" i="22"/>
  <c r="AJ78" i="22"/>
  <c r="AK78" i="22" s="1"/>
  <c r="Y78" i="22"/>
  <c r="AX78" i="22"/>
  <c r="AD78" i="22"/>
  <c r="AH78" i="22"/>
  <c r="AI78" i="22" s="1"/>
  <c r="X78" i="22"/>
  <c r="AV78" i="22"/>
  <c r="AW78" i="22" s="1"/>
  <c r="AC78" i="22"/>
  <c r="U78" i="22"/>
  <c r="AT78" i="22"/>
  <c r="AU78" i="22" s="1"/>
  <c r="AB78" i="22"/>
  <c r="H78" i="22"/>
  <c r="AO78" i="22" s="1"/>
  <c r="L82" i="22"/>
  <c r="AR82" i="22"/>
  <c r="AS82" i="22" s="1"/>
  <c r="AB82" i="22"/>
  <c r="AL82" i="22"/>
  <c r="AA82" i="22"/>
  <c r="AG82" i="22"/>
  <c r="AJ82" i="22"/>
  <c r="AK82" i="22" s="1"/>
  <c r="Z82" i="22"/>
  <c r="X82" i="22"/>
  <c r="AX82" i="22"/>
  <c r="W82" i="22"/>
  <c r="AH82" i="22"/>
  <c r="AI82" i="22" s="1"/>
  <c r="Y82" i="22"/>
  <c r="AV82" i="22"/>
  <c r="AW82" i="22" s="1"/>
  <c r="AD82" i="22"/>
  <c r="V82" i="22"/>
  <c r="AT82" i="22"/>
  <c r="AU82" i="22" s="1"/>
  <c r="AC82" i="22"/>
  <c r="U82" i="22"/>
  <c r="H82" i="22"/>
  <c r="AO82" i="22" s="1"/>
  <c r="AY71" i="22"/>
  <c r="E71" i="22" s="1"/>
  <c r="L71" i="22"/>
  <c r="L75" i="22"/>
  <c r="AV75" i="22"/>
  <c r="AW75" i="22" s="1"/>
  <c r="AC75" i="22"/>
  <c r="U75" i="22"/>
  <c r="Y75" i="22"/>
  <c r="AT75" i="22"/>
  <c r="AU75" i="22" s="1"/>
  <c r="AB75" i="22"/>
  <c r="AH75" i="22"/>
  <c r="AI75" i="22" s="1"/>
  <c r="V75" i="22"/>
  <c r="AR75" i="22"/>
  <c r="AS75" i="22" s="1"/>
  <c r="AA75" i="22"/>
  <c r="X75" i="22"/>
  <c r="AL75" i="22"/>
  <c r="Z75" i="22"/>
  <c r="AJ75" i="22"/>
  <c r="AK75" i="22" s="1"/>
  <c r="AG75" i="22"/>
  <c r="W75" i="22"/>
  <c r="AX75" i="22"/>
  <c r="AD75" i="22"/>
  <c r="H75" i="22"/>
  <c r="AO75" i="22" s="1"/>
  <c r="L79" i="22"/>
  <c r="AG79" i="22"/>
  <c r="X79" i="22"/>
  <c r="AB79" i="22"/>
  <c r="AX79" i="22"/>
  <c r="W79" i="22"/>
  <c r="AV79" i="22"/>
  <c r="AW79" i="22" s="1"/>
  <c r="AD79" i="22"/>
  <c r="V79" i="22"/>
  <c r="AR79" i="22"/>
  <c r="AS79" i="22" s="1"/>
  <c r="AL79" i="22"/>
  <c r="AT79" i="22"/>
  <c r="AU79" i="22" s="1"/>
  <c r="AC79" i="22"/>
  <c r="U79" i="22"/>
  <c r="AA79" i="22"/>
  <c r="AJ79" i="22"/>
  <c r="AK79" i="22" s="1"/>
  <c r="Z79" i="22"/>
  <c r="AH79" i="22"/>
  <c r="AI79" i="22" s="1"/>
  <c r="Y79" i="22"/>
  <c r="H79" i="22"/>
  <c r="AO79" i="22" s="1"/>
  <c r="L83" i="22"/>
  <c r="AH83" i="22"/>
  <c r="AI83" i="22" s="1"/>
  <c r="X83" i="22"/>
  <c r="AT83" i="22"/>
  <c r="AU83" i="22" s="1"/>
  <c r="AB83" i="22"/>
  <c r="AG83" i="22"/>
  <c r="W83" i="22"/>
  <c r="AX83" i="22"/>
  <c r="AD83" i="22"/>
  <c r="V83" i="22"/>
  <c r="AA83" i="22"/>
  <c r="AV83" i="22"/>
  <c r="AW83" i="22" s="1"/>
  <c r="AC83" i="22"/>
  <c r="U83" i="22"/>
  <c r="AR83" i="22"/>
  <c r="AS83" i="22" s="1"/>
  <c r="AL83" i="22"/>
  <c r="Z83" i="22"/>
  <c r="AJ83" i="22"/>
  <c r="AK83" i="22" s="1"/>
  <c r="Y83" i="22"/>
  <c r="H83" i="22"/>
  <c r="AO83" i="22" s="1"/>
  <c r="L72" i="22"/>
  <c r="AH72" i="22"/>
  <c r="AI72" i="22" s="1"/>
  <c r="Y72" i="22"/>
  <c r="U72" i="22"/>
  <c r="AJ72" i="22"/>
  <c r="AK72" i="22" s="1"/>
  <c r="AG72" i="22"/>
  <c r="X72" i="22"/>
  <c r="AC72" i="22"/>
  <c r="Z72" i="22"/>
  <c r="AX72" i="22"/>
  <c r="W72" i="22"/>
  <c r="AB72" i="22"/>
  <c r="AV72" i="22"/>
  <c r="AW72" i="22" s="1"/>
  <c r="AD72" i="22"/>
  <c r="V72" i="22"/>
  <c r="AT72" i="22"/>
  <c r="AU72" i="22" s="1"/>
  <c r="AR72" i="22"/>
  <c r="AS72" i="22" s="1"/>
  <c r="AL72" i="22"/>
  <c r="AA72" i="22"/>
  <c r="H72" i="22"/>
  <c r="AO72" i="22" s="1"/>
  <c r="L76" i="22"/>
  <c r="AJ76" i="22"/>
  <c r="AK76" i="22" s="1"/>
  <c r="Z76" i="22"/>
  <c r="AD76" i="22"/>
  <c r="U76" i="22"/>
  <c r="AH76" i="22"/>
  <c r="AI76" i="22" s="1"/>
  <c r="Y76" i="22"/>
  <c r="AV76" i="22"/>
  <c r="AW76" i="22" s="1"/>
  <c r="V76" i="22"/>
  <c r="AG76" i="22"/>
  <c r="X76" i="22"/>
  <c r="AC76" i="22"/>
  <c r="AX76" i="22"/>
  <c r="W76" i="22"/>
  <c r="AT76" i="22"/>
  <c r="AU76" i="22" s="1"/>
  <c r="AR76" i="22"/>
  <c r="AS76" i="22" s="1"/>
  <c r="AB76" i="22"/>
  <c r="AL76" i="22"/>
  <c r="AA76" i="22"/>
  <c r="H76" i="22"/>
  <c r="AO76" i="22" s="1"/>
  <c r="L80" i="22"/>
  <c r="AR80" i="22"/>
  <c r="AS80" i="22" s="1"/>
  <c r="AB80" i="22"/>
  <c r="W80" i="22"/>
  <c r="AL80" i="22"/>
  <c r="AA80" i="22"/>
  <c r="AJ80" i="22"/>
  <c r="AK80" i="22" s="1"/>
  <c r="Z80" i="22"/>
  <c r="AG80" i="22"/>
  <c r="AX80" i="22"/>
  <c r="AH80" i="22"/>
  <c r="AI80" i="22" s="1"/>
  <c r="Y80" i="22"/>
  <c r="X80" i="22"/>
  <c r="AV80" i="22"/>
  <c r="AW80" i="22" s="1"/>
  <c r="AD80" i="22"/>
  <c r="V80" i="22"/>
  <c r="AT80" i="22"/>
  <c r="AU80" i="22" s="1"/>
  <c r="AC80" i="22"/>
  <c r="U80" i="22"/>
  <c r="H80" i="22"/>
  <c r="AO80" i="22" s="1"/>
  <c r="L84" i="22"/>
  <c r="AT84" i="22"/>
  <c r="AU84" i="22" s="1"/>
  <c r="AC84" i="22"/>
  <c r="U84" i="22"/>
  <c r="AH84" i="22"/>
  <c r="AI84" i="22" s="1"/>
  <c r="AR84" i="22"/>
  <c r="AS84" i="22" s="1"/>
  <c r="AB84" i="22"/>
  <c r="X84" i="22"/>
  <c r="AL84" i="22"/>
  <c r="AA84" i="22"/>
  <c r="Y84" i="22"/>
  <c r="AG84" i="22"/>
  <c r="AJ84" i="22"/>
  <c r="AK84" i="22" s="1"/>
  <c r="Z84" i="22"/>
  <c r="AX84" i="22"/>
  <c r="W84" i="22"/>
  <c r="AV84" i="22"/>
  <c r="AW84" i="22" s="1"/>
  <c r="AD84" i="22"/>
  <c r="V84" i="22"/>
  <c r="H84" i="22"/>
  <c r="AO84" i="22" s="1"/>
  <c r="AY68" i="22"/>
  <c r="E68" i="22" s="1"/>
  <c r="AY67" i="22"/>
  <c r="E67" i="22" s="1"/>
  <c r="AY66" i="22"/>
  <c r="E66" i="22" s="1"/>
  <c r="O32" i="21"/>
  <c r="AR79" i="21"/>
  <c r="AS79" i="21" s="1"/>
  <c r="AL79" i="21"/>
  <c r="AT79" i="21"/>
  <c r="AU79" i="21" s="1"/>
  <c r="U79" i="21"/>
  <c r="AV79" i="21"/>
  <c r="AW79" i="21" s="1"/>
  <c r="AH79" i="21"/>
  <c r="AI79" i="21" s="1"/>
  <c r="AC79" i="21"/>
  <c r="H79" i="21" s="1"/>
  <c r="AO79" i="21" s="1"/>
  <c r="AX79" i="21"/>
  <c r="AY79" i="21"/>
  <c r="E79" i="21" s="1"/>
  <c r="AG79" i="21"/>
  <c r="AJ79" i="21"/>
  <c r="AK79" i="21" s="1"/>
  <c r="U69" i="21"/>
  <c r="AV69" i="21"/>
  <c r="AW69" i="21" s="1"/>
  <c r="AC69" i="21"/>
  <c r="AX69" i="21"/>
  <c r="AR69" i="21"/>
  <c r="AS69" i="21" s="1"/>
  <c r="AD69" i="21"/>
  <c r="AY69" i="21"/>
  <c r="E69" i="21" s="1"/>
  <c r="AG69" i="21"/>
  <c r="AT69" i="21"/>
  <c r="AU69" i="21" s="1"/>
  <c r="AH69" i="21"/>
  <c r="AI69" i="21" s="1"/>
  <c r="AL69" i="21"/>
  <c r="AJ69" i="21"/>
  <c r="AK69" i="21" s="1"/>
  <c r="AY73" i="21"/>
  <c r="E73" i="21" s="1"/>
  <c r="AV73" i="21"/>
  <c r="AW73" i="21" s="1"/>
  <c r="AX73" i="21"/>
  <c r="AG73" i="21"/>
  <c r="AH73" i="21"/>
  <c r="AI73" i="21" s="1"/>
  <c r="U73" i="21"/>
  <c r="AC73" i="21"/>
  <c r="AL73" i="21"/>
  <c r="AR73" i="21"/>
  <c r="AS73" i="21" s="1"/>
  <c r="AT73" i="21"/>
  <c r="AU73" i="21" s="1"/>
  <c r="AJ73" i="21"/>
  <c r="AK73" i="21" s="1"/>
  <c r="AC77" i="21"/>
  <c r="AX77" i="21"/>
  <c r="AD77" i="21"/>
  <c r="AE77" i="21" s="1"/>
  <c r="AY77" i="21"/>
  <c r="E77" i="21" s="1"/>
  <c r="AG77" i="21"/>
  <c r="AV77" i="21"/>
  <c r="AW77" i="21" s="1"/>
  <c r="AH77" i="21"/>
  <c r="AI77" i="21" s="1"/>
  <c r="AT77" i="21"/>
  <c r="AU77" i="21" s="1"/>
  <c r="AL77" i="21"/>
  <c r="AR77" i="21"/>
  <c r="AS77" i="21" s="1"/>
  <c r="U77" i="21"/>
  <c r="AJ77" i="21"/>
  <c r="AK77" i="21" s="1"/>
  <c r="AT74" i="21"/>
  <c r="AU74" i="21" s="1"/>
  <c r="U74" i="21"/>
  <c r="AV74" i="21"/>
  <c r="AW74" i="21" s="1"/>
  <c r="AC74" i="21"/>
  <c r="AX74" i="21"/>
  <c r="AD74" i="21"/>
  <c r="AE74" i="21" s="1"/>
  <c r="AY74" i="21"/>
  <c r="AG74" i="21"/>
  <c r="AL74" i="21"/>
  <c r="AR74" i="21"/>
  <c r="AS74" i="21" s="1"/>
  <c r="AH74" i="21"/>
  <c r="AI74" i="21" s="1"/>
  <c r="AJ74" i="21"/>
  <c r="AK74" i="21" s="1"/>
  <c r="AG68" i="21"/>
  <c r="AH68" i="21"/>
  <c r="AI68" i="21" s="1"/>
  <c r="AL68" i="21"/>
  <c r="AR68" i="21"/>
  <c r="AS68" i="21" s="1"/>
  <c r="AT68" i="21"/>
  <c r="AU68" i="21" s="1"/>
  <c r="AC68" i="21"/>
  <c r="H68" i="21" s="1"/>
  <c r="AO68" i="21" s="1"/>
  <c r="AD68" i="21"/>
  <c r="U68" i="21"/>
  <c r="AV68" i="21"/>
  <c r="AW68" i="21" s="1"/>
  <c r="AX68" i="21"/>
  <c r="AY68" i="21"/>
  <c r="E68" i="21" s="1"/>
  <c r="AJ68" i="21"/>
  <c r="AK68" i="21" s="1"/>
  <c r="AG81" i="21"/>
  <c r="AH81" i="21"/>
  <c r="AI81" i="21" s="1"/>
  <c r="AX81" i="21"/>
  <c r="AL81" i="21"/>
  <c r="AR81" i="21"/>
  <c r="AS81" i="21" s="1"/>
  <c r="AT81" i="21"/>
  <c r="AU81" i="21" s="1"/>
  <c r="AC81" i="21"/>
  <c r="AY81" i="21"/>
  <c r="E81" i="21" s="1"/>
  <c r="U81" i="21"/>
  <c r="AV81" i="21"/>
  <c r="AW81" i="21" s="1"/>
  <c r="AJ81" i="21"/>
  <c r="AK81" i="21" s="1"/>
  <c r="U82" i="21"/>
  <c r="AV82" i="21"/>
  <c r="AW82" i="21" s="1"/>
  <c r="AR82" i="21"/>
  <c r="AS82" i="21" s="1"/>
  <c r="AC82" i="21"/>
  <c r="H82" i="21" s="1"/>
  <c r="AO82" i="21" s="1"/>
  <c r="AX82" i="21"/>
  <c r="AD82" i="21"/>
  <c r="AE82" i="21" s="1"/>
  <c r="AY82" i="21"/>
  <c r="E82" i="21" s="1"/>
  <c r="AG82" i="21"/>
  <c r="AT82" i="21"/>
  <c r="AU82" i="21" s="1"/>
  <c r="AH82" i="21"/>
  <c r="AI82" i="21" s="1"/>
  <c r="AL82" i="21"/>
  <c r="AJ82" i="21"/>
  <c r="AK82" i="21" s="1"/>
  <c r="AL71" i="21"/>
  <c r="AR71" i="21"/>
  <c r="AS71" i="21" s="1"/>
  <c r="AH71" i="21"/>
  <c r="AI71" i="21" s="1"/>
  <c r="AT71" i="21"/>
  <c r="AU71" i="21" s="1"/>
  <c r="U71" i="21"/>
  <c r="AV71" i="21"/>
  <c r="AW71" i="21" s="1"/>
  <c r="AG71" i="21"/>
  <c r="AC71" i="21"/>
  <c r="H71" i="21" s="1"/>
  <c r="AO71" i="21" s="1"/>
  <c r="AX71" i="21"/>
  <c r="AY71" i="21"/>
  <c r="E71" i="21" s="1"/>
  <c r="AJ71" i="21"/>
  <c r="AK71" i="21" s="1"/>
  <c r="AH75" i="21"/>
  <c r="AI75" i="21" s="1"/>
  <c r="AL75" i="21"/>
  <c r="AR75" i="21"/>
  <c r="AS75" i="21" s="1"/>
  <c r="AT75" i="21"/>
  <c r="AU75" i="21" s="1"/>
  <c r="AG75" i="21"/>
  <c r="U75" i="21"/>
  <c r="AV75" i="21"/>
  <c r="AW75" i="21" s="1"/>
  <c r="AC75" i="21"/>
  <c r="H75" i="21" s="1"/>
  <c r="AO75" i="21" s="1"/>
  <c r="AX75" i="21"/>
  <c r="AY75" i="21"/>
  <c r="E75" i="21" s="1"/>
  <c r="AJ75" i="21"/>
  <c r="AK75" i="21" s="1"/>
  <c r="AX85" i="21"/>
  <c r="AH85" i="21"/>
  <c r="AI85" i="21" s="1"/>
  <c r="AL85" i="21"/>
  <c r="AR85" i="21"/>
  <c r="AS85" i="21" s="1"/>
  <c r="AV85" i="21"/>
  <c r="AW85" i="21" s="1"/>
  <c r="AC85" i="21"/>
  <c r="AT85" i="21"/>
  <c r="AU85" i="21" s="1"/>
  <c r="U85" i="21"/>
  <c r="AY85" i="21"/>
  <c r="E85" i="21" s="1"/>
  <c r="AG85" i="21"/>
  <c r="AJ85" i="21"/>
  <c r="AK85" i="21" s="1"/>
  <c r="AH84" i="21"/>
  <c r="AI84" i="21" s="1"/>
  <c r="AL84" i="21"/>
  <c r="AR84" i="21"/>
  <c r="AS84" i="21" s="1"/>
  <c r="AV84" i="21"/>
  <c r="AW84" i="21" s="1"/>
  <c r="AC84" i="21"/>
  <c r="H84" i="21" s="1"/>
  <c r="AO84" i="21" s="1"/>
  <c r="AT84" i="21"/>
  <c r="AU84" i="21" s="1"/>
  <c r="U84" i="21"/>
  <c r="AX84" i="21"/>
  <c r="AD84" i="21"/>
  <c r="AE84" i="21" s="1"/>
  <c r="AY84" i="21"/>
  <c r="E84" i="21" s="1"/>
  <c r="AG84" i="21"/>
  <c r="AJ84" i="21"/>
  <c r="AK84" i="21" s="1"/>
  <c r="AH83" i="21"/>
  <c r="AI83" i="21" s="1"/>
  <c r="AL83" i="21"/>
  <c r="AR83" i="21"/>
  <c r="AS83" i="21" s="1"/>
  <c r="AT83" i="21"/>
  <c r="AU83" i="21" s="1"/>
  <c r="AV83" i="21"/>
  <c r="AW83" i="21" s="1"/>
  <c r="U83" i="21"/>
  <c r="AC83" i="21"/>
  <c r="H83" i="21" s="1"/>
  <c r="AO83" i="21" s="1"/>
  <c r="AX83" i="21"/>
  <c r="AG83" i="21"/>
  <c r="AD83" i="21"/>
  <c r="AE83" i="21" s="1"/>
  <c r="AY83" i="21"/>
  <c r="E83" i="21" s="1"/>
  <c r="AJ83" i="21"/>
  <c r="AK83" i="21" s="1"/>
  <c r="AD80" i="21"/>
  <c r="AE80" i="21" s="1"/>
  <c r="AY80" i="21"/>
  <c r="E80" i="21" s="1"/>
  <c r="AG80" i="21"/>
  <c r="AH80" i="21"/>
  <c r="AI80" i="21" s="1"/>
  <c r="AL80" i="21"/>
  <c r="AT80" i="21"/>
  <c r="AU80" i="21" s="1"/>
  <c r="AR80" i="21"/>
  <c r="AS80" i="21" s="1"/>
  <c r="U80" i="21"/>
  <c r="AV80" i="21"/>
  <c r="AW80" i="21" s="1"/>
  <c r="AC80" i="21"/>
  <c r="H80" i="21" s="1"/>
  <c r="AO80" i="21" s="1"/>
  <c r="AX80" i="21"/>
  <c r="AJ80" i="21"/>
  <c r="AK80" i="21" s="1"/>
  <c r="AL78" i="21"/>
  <c r="AR78" i="21"/>
  <c r="AS78" i="21" s="1"/>
  <c r="AT78" i="21"/>
  <c r="AU78" i="21" s="1"/>
  <c r="AC78" i="21"/>
  <c r="AY78" i="21"/>
  <c r="E78" i="21" s="1"/>
  <c r="U78" i="21"/>
  <c r="AV78" i="21"/>
  <c r="AW78" i="21" s="1"/>
  <c r="AX78" i="21"/>
  <c r="AD78" i="21"/>
  <c r="AE78" i="21" s="1"/>
  <c r="AG78" i="21"/>
  <c r="AH78" i="21"/>
  <c r="AI78" i="21" s="1"/>
  <c r="AJ78" i="21"/>
  <c r="AK78" i="21" s="1"/>
  <c r="U76" i="21"/>
  <c r="AV76" i="21"/>
  <c r="AW76" i="21" s="1"/>
  <c r="AT76" i="21"/>
  <c r="AU76" i="21" s="1"/>
  <c r="AC76" i="21"/>
  <c r="H76" i="21" s="1"/>
  <c r="AO76" i="21" s="1"/>
  <c r="AX76" i="21"/>
  <c r="AD76" i="21"/>
  <c r="AE76" i="21" s="1"/>
  <c r="AY76" i="21"/>
  <c r="E76" i="21" s="1"/>
  <c r="AG76" i="21"/>
  <c r="AH76" i="21"/>
  <c r="AI76" i="21" s="1"/>
  <c r="AL76" i="21"/>
  <c r="AR76" i="21"/>
  <c r="AS76" i="21" s="1"/>
  <c r="AJ76" i="21"/>
  <c r="AK76" i="21" s="1"/>
  <c r="AC72" i="21"/>
  <c r="AX72" i="21"/>
  <c r="AD72" i="21"/>
  <c r="AE72" i="21" s="1"/>
  <c r="AG72" i="21"/>
  <c r="AR72" i="21"/>
  <c r="AS72" i="21" s="1"/>
  <c r="AH72" i="21"/>
  <c r="AI72" i="21" s="1"/>
  <c r="AL72" i="21"/>
  <c r="AT72" i="21"/>
  <c r="AU72" i="21" s="1"/>
  <c r="U72" i="21"/>
  <c r="AV72" i="21"/>
  <c r="AW72" i="21" s="1"/>
  <c r="AY72" i="21"/>
  <c r="E72" i="21" s="1"/>
  <c r="AJ72" i="21"/>
  <c r="AK72" i="21" s="1"/>
  <c r="AH70" i="21"/>
  <c r="AI70" i="21" s="1"/>
  <c r="AL70" i="21"/>
  <c r="AR70" i="21"/>
  <c r="AS70" i="21" s="1"/>
  <c r="AT70" i="21"/>
  <c r="AU70" i="21" s="1"/>
  <c r="U70" i="21"/>
  <c r="AV70" i="21"/>
  <c r="AW70" i="21" s="1"/>
  <c r="AC70" i="21"/>
  <c r="H70" i="21" s="1"/>
  <c r="AO70" i="21" s="1"/>
  <c r="AX70" i="21"/>
  <c r="AD70" i="21"/>
  <c r="AE70" i="21" s="1"/>
  <c r="AY70" i="21"/>
  <c r="E70" i="21" s="1"/>
  <c r="AG70" i="21"/>
  <c r="AJ70" i="21"/>
  <c r="AK70" i="21" s="1"/>
  <c r="AH13" i="21"/>
  <c r="V68" i="21"/>
  <c r="AA21" i="21"/>
  <c r="AB76" i="21" s="1"/>
  <c r="Z76" i="21"/>
  <c r="AH24" i="21"/>
  <c r="V79" i="21"/>
  <c r="AA25" i="21"/>
  <c r="AB80" i="21" s="1"/>
  <c r="Z80" i="21"/>
  <c r="AH29" i="21"/>
  <c r="V84" i="21"/>
  <c r="AA30" i="21"/>
  <c r="AB85" i="21" s="1"/>
  <c r="Z85" i="21"/>
  <c r="AA13" i="21"/>
  <c r="AB68" i="21" s="1"/>
  <c r="Z68" i="21"/>
  <c r="AH28" i="21"/>
  <c r="V83" i="21"/>
  <c r="AA16" i="21"/>
  <c r="AB71" i="21" s="1"/>
  <c r="Z71" i="21"/>
  <c r="AA20" i="21"/>
  <c r="AB75" i="21" s="1"/>
  <c r="Z75" i="21"/>
  <c r="AH23" i="21"/>
  <c r="V78" i="21"/>
  <c r="AA24" i="21"/>
  <c r="AB79" i="21" s="1"/>
  <c r="Z79" i="21"/>
  <c r="Z29" i="21"/>
  <c r="AA84" i="21" s="1"/>
  <c r="Z84" i="21"/>
  <c r="AA14" i="21"/>
  <c r="AB69" i="21" s="1"/>
  <c r="Z69" i="21"/>
  <c r="Z17" i="21"/>
  <c r="AA72" i="21" s="1"/>
  <c r="Z72" i="21"/>
  <c r="AH19" i="21"/>
  <c r="V74" i="21"/>
  <c r="AH27" i="21"/>
  <c r="V82" i="21"/>
  <c r="AA28" i="21"/>
  <c r="AB83" i="21" s="1"/>
  <c r="Z83" i="21"/>
  <c r="AH17" i="21"/>
  <c r="V72" i="21"/>
  <c r="AH16" i="21"/>
  <c r="V71" i="21"/>
  <c r="V15" i="21"/>
  <c r="W70" i="21" s="1"/>
  <c r="V70" i="21"/>
  <c r="AH14" i="21"/>
  <c r="V69" i="21"/>
  <c r="AH18" i="21"/>
  <c r="V73" i="21"/>
  <c r="AH22" i="21"/>
  <c r="V77" i="21"/>
  <c r="AH26" i="21"/>
  <c r="V81" i="21"/>
  <c r="AH20" i="21"/>
  <c r="V75" i="21"/>
  <c r="Z15" i="21"/>
  <c r="AA70" i="21" s="1"/>
  <c r="Z70" i="21"/>
  <c r="AA19" i="21"/>
  <c r="AB74" i="21" s="1"/>
  <c r="Z74" i="21"/>
  <c r="AA23" i="21"/>
  <c r="AB78" i="21" s="1"/>
  <c r="Z78" i="21"/>
  <c r="Z27" i="21"/>
  <c r="AA82" i="21" s="1"/>
  <c r="Z82" i="21"/>
  <c r="AA18" i="21"/>
  <c r="AB73" i="21" s="1"/>
  <c r="Z73" i="21"/>
  <c r="AH21" i="21"/>
  <c r="V76" i="21"/>
  <c r="AA22" i="21"/>
  <c r="AB77" i="21" s="1"/>
  <c r="Z77" i="21"/>
  <c r="AH25" i="21"/>
  <c r="V80" i="21"/>
  <c r="AA26" i="21"/>
  <c r="AB81" i="21" s="1"/>
  <c r="Z81" i="21"/>
  <c r="V30" i="21"/>
  <c r="W85" i="21" s="1"/>
  <c r="V85" i="21"/>
  <c r="AV67" i="21"/>
  <c r="AW67" i="21" s="1"/>
  <c r="AC67" i="21"/>
  <c r="H67" i="21" s="1"/>
  <c r="AO67" i="21" s="1"/>
  <c r="AX67" i="21"/>
  <c r="AY67" i="21"/>
  <c r="E67" i="21" s="1"/>
  <c r="U67" i="21"/>
  <c r="AG67" i="21"/>
  <c r="V67" i="21"/>
  <c r="AH67" i="21"/>
  <c r="AI67" i="21" s="1"/>
  <c r="AL67" i="21"/>
  <c r="Z67" i="21"/>
  <c r="AR67" i="21"/>
  <c r="AS67" i="21" s="1"/>
  <c r="AT67" i="21"/>
  <c r="AU67" i="21" s="1"/>
  <c r="AJ67" i="21"/>
  <c r="AK67" i="21" s="1"/>
  <c r="AJ71" i="22"/>
  <c r="AK71" i="22" s="1"/>
  <c r="Z71" i="22"/>
  <c r="AH71" i="22"/>
  <c r="AI71" i="22" s="1"/>
  <c r="Y71" i="22"/>
  <c r="AR71" i="22"/>
  <c r="AS71" i="22" s="1"/>
  <c r="AG71" i="22"/>
  <c r="X71" i="22"/>
  <c r="AL71" i="22"/>
  <c r="AX71" i="22"/>
  <c r="W71" i="22"/>
  <c r="AV71" i="22"/>
  <c r="AW71" i="22" s="1"/>
  <c r="AD71" i="22"/>
  <c r="AE71" i="22" s="1"/>
  <c r="V71" i="22"/>
  <c r="AT71" i="22"/>
  <c r="AU71" i="22" s="1"/>
  <c r="AC71" i="22"/>
  <c r="H71" i="22" s="1"/>
  <c r="AO71" i="22" s="1"/>
  <c r="U71" i="22"/>
  <c r="AB71" i="22"/>
  <c r="AA71" i="22"/>
  <c r="AV70" i="22"/>
  <c r="AW70" i="22" s="1"/>
  <c r="AD70" i="22"/>
  <c r="AE70" i="22" s="1"/>
  <c r="V70" i="22"/>
  <c r="AT70" i="22"/>
  <c r="AU70" i="22" s="1"/>
  <c r="AC70" i="22"/>
  <c r="H70" i="22" s="1"/>
  <c r="AO70" i="22" s="1"/>
  <c r="U70" i="22"/>
  <c r="Z70" i="22"/>
  <c r="AR70" i="22"/>
  <c r="AS70" i="22" s="1"/>
  <c r="AB70" i="22"/>
  <c r="AJ70" i="22"/>
  <c r="AK70" i="22" s="1"/>
  <c r="AL70" i="22"/>
  <c r="AA70" i="22"/>
  <c r="Y70" i="22"/>
  <c r="AX70" i="22"/>
  <c r="W70" i="22"/>
  <c r="AH70" i="22"/>
  <c r="AI70" i="22" s="1"/>
  <c r="X70" i="22"/>
  <c r="AG70" i="22"/>
  <c r="AV69" i="22"/>
  <c r="AW69" i="22" s="1"/>
  <c r="V69" i="22"/>
  <c r="AT69" i="22"/>
  <c r="AU69" i="22" s="1"/>
  <c r="AC69" i="22"/>
  <c r="U69" i="22"/>
  <c r="AL69" i="22"/>
  <c r="Z69" i="22"/>
  <c r="AR69" i="22"/>
  <c r="AS69" i="22" s="1"/>
  <c r="AB69" i="22"/>
  <c r="AA69" i="22"/>
  <c r="Y69" i="22"/>
  <c r="AH69" i="22"/>
  <c r="AI69" i="22" s="1"/>
  <c r="X69" i="22"/>
  <c r="AX69" i="22"/>
  <c r="AG69" i="22"/>
  <c r="W69" i="22"/>
  <c r="AJ69" i="22"/>
  <c r="AK69" i="22" s="1"/>
  <c r="H69" i="22"/>
  <c r="AO69" i="22" s="1"/>
  <c r="AJ68" i="22"/>
  <c r="AK68" i="22" s="1"/>
  <c r="Y68" i="22"/>
  <c r="AA68" i="22"/>
  <c r="Z68" i="22"/>
  <c r="AH68" i="22"/>
  <c r="AI68" i="22" s="1"/>
  <c r="X68" i="22"/>
  <c r="AL68" i="22"/>
  <c r="AX68" i="22"/>
  <c r="AG68" i="22"/>
  <c r="W68" i="22"/>
  <c r="AV68" i="22"/>
  <c r="AW68" i="22" s="1"/>
  <c r="AD68" i="22"/>
  <c r="AE68" i="22" s="1"/>
  <c r="V68" i="22"/>
  <c r="AT68" i="22"/>
  <c r="AU68" i="22" s="1"/>
  <c r="AC68" i="22"/>
  <c r="H68" i="22" s="1"/>
  <c r="AO68" i="22" s="1"/>
  <c r="U68" i="22"/>
  <c r="AR68" i="22"/>
  <c r="AS68" i="22" s="1"/>
  <c r="AB68" i="22"/>
  <c r="AG13" i="22"/>
  <c r="AB67" i="22"/>
  <c r="AT67" i="22"/>
  <c r="AU67" i="22" s="1"/>
  <c r="AR67" i="22"/>
  <c r="AS67" i="22" s="1"/>
  <c r="AA67" i="22"/>
  <c r="AL67" i="22"/>
  <c r="Z67" i="22"/>
  <c r="AC67" i="22"/>
  <c r="H67" i="22" s="1"/>
  <c r="AO67" i="22" s="1"/>
  <c r="AJ67" i="22"/>
  <c r="AK67" i="22" s="1"/>
  <c r="Y67" i="22"/>
  <c r="AH67" i="22"/>
  <c r="X67" i="22"/>
  <c r="AX67" i="22"/>
  <c r="AG67" i="22"/>
  <c r="W67" i="22"/>
  <c r="U67" i="22"/>
  <c r="AV67" i="22"/>
  <c r="AW67" i="22" s="1"/>
  <c r="AD67" i="22"/>
  <c r="AE67" i="22" s="1"/>
  <c r="V67" i="22"/>
  <c r="AL66" i="22"/>
  <c r="AB66" i="22"/>
  <c r="AC66" i="22"/>
  <c r="H66" i="22" s="1"/>
  <c r="AO66" i="22" s="1"/>
  <c r="AJ66" i="22"/>
  <c r="AK66" i="22" s="1"/>
  <c r="AH66" i="22"/>
  <c r="AI66" i="22" s="1"/>
  <c r="Z66" i="22"/>
  <c r="AG66" i="22"/>
  <c r="Y66" i="22"/>
  <c r="AR66" i="22"/>
  <c r="AS66" i="22" s="1"/>
  <c r="L66" i="22" s="1"/>
  <c r="AX66" i="22"/>
  <c r="X66" i="22"/>
  <c r="AV66" i="22"/>
  <c r="AW66" i="22" s="1"/>
  <c r="AT66" i="22"/>
  <c r="AU66" i="22" s="1"/>
  <c r="AD66" i="22"/>
  <c r="AE66" i="22" s="1"/>
  <c r="V66" i="22"/>
  <c r="U66" i="22"/>
  <c r="X23" i="21"/>
  <c r="Y78" i="21" s="1"/>
  <c r="X78" i="21"/>
  <c r="X14" i="21"/>
  <c r="X69" i="21"/>
  <c r="X22" i="21"/>
  <c r="Y77" i="21" s="1"/>
  <c r="X77" i="21"/>
  <c r="X19" i="21"/>
  <c r="Y74" i="21" s="1"/>
  <c r="X74" i="21"/>
  <c r="X13" i="21"/>
  <c r="X68" i="21"/>
  <c r="X25" i="21"/>
  <c r="Y80" i="21" s="1"/>
  <c r="X80" i="21"/>
  <c r="X30" i="21"/>
  <c r="Y85" i="21" s="1"/>
  <c r="X85" i="21"/>
  <c r="X15" i="21"/>
  <c r="Y70" i="21" s="1"/>
  <c r="X70" i="21"/>
  <c r="X27" i="21"/>
  <c r="Y82" i="21" s="1"/>
  <c r="X82" i="21"/>
  <c r="X26" i="21"/>
  <c r="Y81" i="21" s="1"/>
  <c r="X81" i="21"/>
  <c r="X21" i="21"/>
  <c r="Y76" i="21" s="1"/>
  <c r="X76" i="21"/>
  <c r="X18" i="21"/>
  <c r="Y73" i="21" s="1"/>
  <c r="X73" i="21"/>
  <c r="X12" i="21"/>
  <c r="X67" i="21"/>
  <c r="X16" i="21"/>
  <c r="Y71" i="21" s="1"/>
  <c r="X71" i="21"/>
  <c r="X20" i="21"/>
  <c r="Y75" i="21" s="1"/>
  <c r="X75" i="21"/>
  <c r="X24" i="21"/>
  <c r="Y79" i="21" s="1"/>
  <c r="X79" i="21"/>
  <c r="X29" i="21"/>
  <c r="Y84" i="21" s="1"/>
  <c r="X84" i="21"/>
  <c r="X17" i="21"/>
  <c r="Y72" i="21" s="1"/>
  <c r="X72" i="21"/>
  <c r="X28" i="21"/>
  <c r="Y83" i="21" s="1"/>
  <c r="X83" i="21"/>
  <c r="H85" i="21"/>
  <c r="AO85" i="21" s="1"/>
  <c r="H81" i="21"/>
  <c r="AO81" i="21" s="1"/>
  <c r="H78" i="21"/>
  <c r="AO78" i="21" s="1"/>
  <c r="H77" i="21"/>
  <c r="AO77" i="21" s="1"/>
  <c r="H74" i="21"/>
  <c r="AO74" i="21" s="1"/>
  <c r="H73" i="21"/>
  <c r="AO73" i="21" s="1"/>
  <c r="H72" i="21"/>
  <c r="AO72" i="21" s="1"/>
  <c r="H69" i="21"/>
  <c r="AO69" i="21" s="1"/>
  <c r="Z66" i="21"/>
  <c r="AT66" i="21"/>
  <c r="AU66" i="21" s="1"/>
  <c r="AH66" i="21"/>
  <c r="AI66" i="21" s="1"/>
  <c r="Y66" i="21"/>
  <c r="AR66" i="21"/>
  <c r="AS66" i="21" s="1"/>
  <c r="AG66" i="21"/>
  <c r="X66" i="21"/>
  <c r="AL66" i="21"/>
  <c r="AD66" i="21"/>
  <c r="V66" i="21"/>
  <c r="AB66" i="21"/>
  <c r="AV66" i="21"/>
  <c r="AW66" i="21" s="1"/>
  <c r="AC66" i="21"/>
  <c r="H66" i="21" s="1"/>
  <c r="AO66" i="21" s="1"/>
  <c r="U66" i="21"/>
  <c r="AY66" i="21"/>
  <c r="E66" i="21" s="1"/>
  <c r="AX66" i="21"/>
  <c r="AJ66" i="21"/>
  <c r="AK66" i="21" s="1"/>
  <c r="Z25" i="21"/>
  <c r="AA80" i="21" s="1"/>
  <c r="C77" i="22"/>
  <c r="AA27" i="21"/>
  <c r="AB82" i="21" s="1"/>
  <c r="AD20" i="21"/>
  <c r="AD75" i="21" s="1"/>
  <c r="AE75" i="21" s="1"/>
  <c r="E74" i="21"/>
  <c r="AC27" i="22"/>
  <c r="I32" i="22"/>
  <c r="AC49" i="22"/>
  <c r="AC17" i="22"/>
  <c r="AD25" i="22"/>
  <c r="C68" i="22"/>
  <c r="Z51" i="21"/>
  <c r="C70" i="21"/>
  <c r="C67" i="21"/>
  <c r="AD53" i="22"/>
  <c r="AA57" i="22"/>
  <c r="AC41" i="22"/>
  <c r="C83" i="22"/>
  <c r="AC45" i="22"/>
  <c r="AH19" i="22"/>
  <c r="AC54" i="22"/>
  <c r="AC19" i="22"/>
  <c r="AC44" i="22"/>
  <c r="AC48" i="22"/>
  <c r="AC52" i="22"/>
  <c r="AC13" i="22"/>
  <c r="AC56" i="22"/>
  <c r="C71" i="22"/>
  <c r="AC15" i="22"/>
  <c r="AA39" i="22"/>
  <c r="AA41" i="22"/>
  <c r="AA45" i="22"/>
  <c r="AA49" i="22"/>
  <c r="I86" i="22"/>
  <c r="C79" i="22"/>
  <c r="V11" i="22"/>
  <c r="AH11" i="22"/>
  <c r="AA44" i="22"/>
  <c r="AA48" i="22"/>
  <c r="AA52" i="22"/>
  <c r="AA55" i="22"/>
  <c r="AC58" i="22"/>
  <c r="C81" i="22"/>
  <c r="C73" i="22"/>
  <c r="Z11" i="22"/>
  <c r="AA66" i="22" s="1"/>
  <c r="AC40" i="22"/>
  <c r="AC42" i="22"/>
  <c r="AC46" i="22"/>
  <c r="AC50" i="22"/>
  <c r="AA56" i="22"/>
  <c r="AC57" i="22"/>
  <c r="AH13" i="22"/>
  <c r="AC21" i="22"/>
  <c r="AC23" i="22"/>
  <c r="C82" i="22"/>
  <c r="AC11" i="22"/>
  <c r="AC29" i="22"/>
  <c r="AA43" i="22"/>
  <c r="AA47" i="22"/>
  <c r="AA51" i="22"/>
  <c r="AA53" i="22"/>
  <c r="C70" i="22"/>
  <c r="O32" i="22"/>
  <c r="AA15" i="21"/>
  <c r="AB70" i="21" s="1"/>
  <c r="AA17" i="21"/>
  <c r="AB72" i="21" s="1"/>
  <c r="AD24" i="21"/>
  <c r="AD79" i="21" s="1"/>
  <c r="AE79" i="21" s="1"/>
  <c r="V29" i="21"/>
  <c r="W84" i="21" s="1"/>
  <c r="Z11" i="21"/>
  <c r="AA66" i="21" s="1"/>
  <c r="AH30" i="21"/>
  <c r="Z22" i="21"/>
  <c r="AA77" i="21" s="1"/>
  <c r="C79" i="21"/>
  <c r="AD22" i="21"/>
  <c r="Z24" i="21"/>
  <c r="AA79" i="21" s="1"/>
  <c r="AA53" i="21"/>
  <c r="Z47" i="21"/>
  <c r="AA55" i="21"/>
  <c r="Z23" i="21"/>
  <c r="AA78" i="21" s="1"/>
  <c r="AH15" i="21"/>
  <c r="AD18" i="21"/>
  <c r="AD73" i="21" s="1"/>
  <c r="AE73" i="21" s="1"/>
  <c r="V27" i="21"/>
  <c r="W82" i="21" s="1"/>
  <c r="Z40" i="21"/>
  <c r="Z43" i="21"/>
  <c r="AA57" i="21"/>
  <c r="C77" i="21"/>
  <c r="C81" i="21"/>
  <c r="AD30" i="21"/>
  <c r="AD85" i="21" s="1"/>
  <c r="AE85" i="21" s="1"/>
  <c r="AA49" i="21"/>
  <c r="AA45" i="21"/>
  <c r="Z16" i="21"/>
  <c r="AA71" i="21" s="1"/>
  <c r="V26" i="21"/>
  <c r="W81" i="21" s="1"/>
  <c r="AA29" i="21"/>
  <c r="AB84" i="21" s="1"/>
  <c r="AA41" i="21"/>
  <c r="V28" i="21"/>
  <c r="W83" i="21" s="1"/>
  <c r="V22" i="21"/>
  <c r="W77" i="21" s="1"/>
  <c r="V23" i="21"/>
  <c r="W78" i="21" s="1"/>
  <c r="V24" i="21"/>
  <c r="W79" i="21" s="1"/>
  <c r="V25" i="21"/>
  <c r="W80" i="21" s="1"/>
  <c r="AD16" i="21"/>
  <c r="AD71" i="21" s="1"/>
  <c r="AE71" i="21" s="1"/>
  <c r="V18" i="21"/>
  <c r="W73" i="21" s="1"/>
  <c r="V19" i="21"/>
  <c r="W74" i="21" s="1"/>
  <c r="V20" i="21"/>
  <c r="W75" i="21" s="1"/>
  <c r="V21" i="21"/>
  <c r="W76" i="21" s="1"/>
  <c r="Z39" i="21"/>
  <c r="Z42" i="21"/>
  <c r="Z46" i="21"/>
  <c r="Z50" i="21"/>
  <c r="Z54" i="21"/>
  <c r="Z58" i="21"/>
  <c r="Z14" i="21"/>
  <c r="AA69" i="21" s="1"/>
  <c r="V16" i="21"/>
  <c r="V17" i="21"/>
  <c r="W72" i="21" s="1"/>
  <c r="Z30" i="21"/>
  <c r="AA85" i="21" s="1"/>
  <c r="Z26" i="21"/>
  <c r="AA81" i="21" s="1"/>
  <c r="Z28" i="21"/>
  <c r="AA83" i="21" s="1"/>
  <c r="C85" i="21"/>
  <c r="Z18" i="21"/>
  <c r="AA73" i="21" s="1"/>
  <c r="Z19" i="21"/>
  <c r="AA74" i="21" s="1"/>
  <c r="Z20" i="21"/>
  <c r="AA75" i="21" s="1"/>
  <c r="Z21" i="21"/>
  <c r="AA76" i="21" s="1"/>
  <c r="AD26" i="21"/>
  <c r="AD81" i="21" s="1"/>
  <c r="AE81" i="21" s="1"/>
  <c r="AC28" i="21"/>
  <c r="Z44" i="21"/>
  <c r="Z48" i="21"/>
  <c r="Z52" i="21"/>
  <c r="Z56" i="21"/>
  <c r="C71" i="21"/>
  <c r="C83" i="21"/>
  <c r="C73" i="21"/>
  <c r="AC12" i="21"/>
  <c r="V14" i="21"/>
  <c r="Z12" i="21"/>
  <c r="AA67" i="21" s="1"/>
  <c r="V13" i="21"/>
  <c r="C69" i="21"/>
  <c r="AD12" i="21"/>
  <c r="AD67" i="21" s="1"/>
  <c r="AE67" i="21" s="1"/>
  <c r="V12" i="21"/>
  <c r="Z13" i="21"/>
  <c r="AA68" i="21" s="1"/>
  <c r="I86" i="21"/>
  <c r="AC22" i="22"/>
  <c r="AH12" i="22"/>
  <c r="AD14" i="22"/>
  <c r="AD69" i="22" s="1"/>
  <c r="AE69" i="22" s="1"/>
  <c r="AD18" i="22"/>
  <c r="AD26" i="22"/>
  <c r="AD30" i="22"/>
  <c r="AC39" i="22"/>
  <c r="AA42" i="22"/>
  <c r="AC43" i="22"/>
  <c r="AA46" i="22"/>
  <c r="AC47" i="22"/>
  <c r="AA50" i="22"/>
  <c r="AC51" i="22"/>
  <c r="AA54" i="22"/>
  <c r="AC55" i="22"/>
  <c r="AA58" i="22"/>
  <c r="C66" i="22"/>
  <c r="C80" i="22"/>
  <c r="AC14" i="22"/>
  <c r="AC12" i="22"/>
  <c r="AC16" i="22"/>
  <c r="AC20" i="22"/>
  <c r="AC24" i="22"/>
  <c r="AC28" i="22"/>
  <c r="M31" i="22"/>
  <c r="AH14" i="22"/>
  <c r="AA40" i="22"/>
  <c r="C69" i="22"/>
  <c r="C67" i="22"/>
  <c r="C72" i="22"/>
  <c r="C74" i="22"/>
  <c r="C78" i="22"/>
  <c r="C75" i="22"/>
  <c r="C76" i="22"/>
  <c r="C84" i="22"/>
  <c r="AG11" i="21"/>
  <c r="AC13" i="21"/>
  <c r="AC17" i="21"/>
  <c r="AC21" i="21"/>
  <c r="AC25" i="21"/>
  <c r="AC29" i="21"/>
  <c r="C74" i="21"/>
  <c r="C68" i="21"/>
  <c r="C76" i="21"/>
  <c r="AC14" i="21"/>
  <c r="C78" i="21"/>
  <c r="AA12" i="21"/>
  <c r="AB67" i="21" s="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V11" i="21"/>
  <c r="L11" i="21" s="1"/>
  <c r="V39" i="21"/>
  <c r="L39" i="21" s="1"/>
  <c r="L59" i="21" s="1"/>
  <c r="C66" i="21"/>
  <c r="C80" i="21"/>
  <c r="C82" i="21"/>
  <c r="C84" i="21"/>
  <c r="G103" i="21" l="1"/>
  <c r="H103" i="21" s="1"/>
  <c r="F104" i="21"/>
  <c r="F109" i="21"/>
  <c r="N11" i="21"/>
  <c r="AE11" i="21"/>
  <c r="P1" i="21" s="1"/>
  <c r="G110" i="21" s="1"/>
  <c r="AF11" i="21"/>
  <c r="AE77" i="22"/>
  <c r="AF77" i="22" s="1"/>
  <c r="AE74" i="22"/>
  <c r="AF74" i="22" s="1"/>
  <c r="AE81" i="22"/>
  <c r="AF81" i="22" s="1"/>
  <c r="AE76" i="22"/>
  <c r="AF76" i="22" s="1"/>
  <c r="AE79" i="22"/>
  <c r="AF79" i="22" s="1"/>
  <c r="AE80" i="22"/>
  <c r="AF80" i="22" s="1"/>
  <c r="AE73" i="22"/>
  <c r="AF73" i="22" s="1"/>
  <c r="AE84" i="22"/>
  <c r="AF84" i="22" s="1"/>
  <c r="AE72" i="22"/>
  <c r="AF72" i="22" s="1"/>
  <c r="AE78" i="22"/>
  <c r="AF78" i="22" s="1"/>
  <c r="AE85" i="22"/>
  <c r="AF85" i="22" s="1"/>
  <c r="AE83" i="22"/>
  <c r="AF83" i="22" s="1"/>
  <c r="AE82" i="22"/>
  <c r="AF82" i="22" s="1"/>
  <c r="G103" i="22"/>
  <c r="K69" i="23" s="1"/>
  <c r="W69" i="21"/>
  <c r="N14" i="21"/>
  <c r="W67" i="21"/>
  <c r="N12" i="21"/>
  <c r="W68" i="21"/>
  <c r="N13" i="21"/>
  <c r="G105" i="21"/>
  <c r="H105" i="21" s="1"/>
  <c r="P3" i="21"/>
  <c r="AE75" i="22"/>
  <c r="AF75" i="22" s="1"/>
  <c r="F103" i="22"/>
  <c r="J69" i="23" s="1"/>
  <c r="F108" i="22"/>
  <c r="W66" i="21"/>
  <c r="L31" i="21"/>
  <c r="Y69" i="21"/>
  <c r="AE69" i="21" s="1"/>
  <c r="AF69" i="21" s="1"/>
  <c r="Y68" i="21"/>
  <c r="AE68" i="21" s="1"/>
  <c r="AF68" i="21" s="1"/>
  <c r="AI67" i="22"/>
  <c r="BL84" i="22"/>
  <c r="BL72" i="22"/>
  <c r="BL70" i="22"/>
  <c r="BL83" i="22"/>
  <c r="BL75" i="22"/>
  <c r="BL82" i="22"/>
  <c r="BL79" i="22"/>
  <c r="BL85" i="22"/>
  <c r="BL71" i="22"/>
  <c r="BL81" i="22"/>
  <c r="BL67" i="22"/>
  <c r="BL76" i="22"/>
  <c r="BL80" i="22"/>
  <c r="BL77" i="22"/>
  <c r="BL73" i="22"/>
  <c r="BL78" i="22"/>
  <c r="BL68" i="22"/>
  <c r="BL66" i="22"/>
  <c r="BL69" i="22"/>
  <c r="BL74" i="22"/>
  <c r="AN75" i="22"/>
  <c r="AM75" i="22"/>
  <c r="AQ75" i="22"/>
  <c r="AP75" i="22"/>
  <c r="AN78" i="22"/>
  <c r="AM78" i="22"/>
  <c r="BJ78" i="22"/>
  <c r="BJ77" i="22"/>
  <c r="BJ79" i="22"/>
  <c r="BJ68" i="22"/>
  <c r="BJ67" i="22"/>
  <c r="BJ75" i="22"/>
  <c r="BJ84" i="22"/>
  <c r="BJ73" i="22"/>
  <c r="BJ81" i="22"/>
  <c r="BJ70" i="22"/>
  <c r="BJ83" i="22"/>
  <c r="BJ74" i="22"/>
  <c r="BJ69" i="22"/>
  <c r="BJ66" i="22"/>
  <c r="BJ82" i="22"/>
  <c r="BJ72" i="22"/>
  <c r="BJ85" i="22"/>
  <c r="BJ80" i="22"/>
  <c r="BJ71" i="22"/>
  <c r="BJ76" i="22"/>
  <c r="AM74" i="22"/>
  <c r="AN74" i="22"/>
  <c r="AQ81" i="22"/>
  <c r="AP81" i="22"/>
  <c r="BQ83" i="22"/>
  <c r="BQ72" i="22"/>
  <c r="BQ80" i="22"/>
  <c r="BQ70" i="22"/>
  <c r="BQ69" i="22"/>
  <c r="BQ76" i="22"/>
  <c r="BQ71" i="22"/>
  <c r="BQ73" i="22"/>
  <c r="BQ67" i="22"/>
  <c r="BQ74" i="22"/>
  <c r="BQ79" i="22"/>
  <c r="BQ85" i="22"/>
  <c r="BQ77" i="22"/>
  <c r="BQ82" i="22"/>
  <c r="BQ84" i="22"/>
  <c r="BQ68" i="22"/>
  <c r="BQ75" i="22"/>
  <c r="BQ66" i="22"/>
  <c r="BQ81" i="22"/>
  <c r="BQ78" i="22"/>
  <c r="AN77" i="22"/>
  <c r="AM77" i="22"/>
  <c r="AQ73" i="22"/>
  <c r="AP73" i="22"/>
  <c r="BR78" i="22"/>
  <c r="BR76" i="22"/>
  <c r="BR72" i="22"/>
  <c r="BR67" i="22"/>
  <c r="BR77" i="22"/>
  <c r="BR79" i="22"/>
  <c r="BR73" i="22"/>
  <c r="BR70" i="22"/>
  <c r="BR68" i="22"/>
  <c r="BR84" i="22"/>
  <c r="BR75" i="22"/>
  <c r="BR81" i="22"/>
  <c r="BR66" i="22"/>
  <c r="BR83" i="22"/>
  <c r="BR74" i="22"/>
  <c r="BR80" i="22"/>
  <c r="BR69" i="22"/>
  <c r="BR82" i="22"/>
  <c r="BR71" i="22"/>
  <c r="BR85" i="22"/>
  <c r="AM76" i="22"/>
  <c r="AN76" i="22"/>
  <c r="BK81" i="22"/>
  <c r="BK71" i="22"/>
  <c r="BK70" i="22"/>
  <c r="BK67" i="22"/>
  <c r="BK73" i="22"/>
  <c r="BK82" i="22"/>
  <c r="BK74" i="22"/>
  <c r="BK83" i="22"/>
  <c r="BK85" i="22"/>
  <c r="BK76" i="22"/>
  <c r="BK80" i="22"/>
  <c r="BK79" i="22"/>
  <c r="BK75" i="22"/>
  <c r="BK78" i="22"/>
  <c r="BK72" i="22"/>
  <c r="BK66" i="22"/>
  <c r="BK84" i="22"/>
  <c r="BK68" i="22"/>
  <c r="BK69" i="22"/>
  <c r="BK77" i="22"/>
  <c r="AQ78" i="22"/>
  <c r="AP78" i="22"/>
  <c r="AN81" i="22"/>
  <c r="AM81" i="22"/>
  <c r="AQ83" i="22"/>
  <c r="AP83" i="22"/>
  <c r="AN84" i="22"/>
  <c r="AM84" i="22"/>
  <c r="AN80" i="22"/>
  <c r="AM80"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N73" i="22"/>
  <c r="AM73" i="22"/>
  <c r="AP84" i="22"/>
  <c r="AQ84" i="22"/>
  <c r="AP80" i="22"/>
  <c r="AQ80" i="22"/>
  <c r="AP72" i="22"/>
  <c r="AQ72" i="22"/>
  <c r="AN83" i="22"/>
  <c r="AM83" i="22"/>
  <c r="BS84" i="22"/>
  <c r="BS81" i="22"/>
  <c r="BS80" i="22"/>
  <c r="BS83" i="22"/>
  <c r="BS76" i="22"/>
  <c r="BS66" i="22"/>
  <c r="BS78" i="22"/>
  <c r="BS77" i="22"/>
  <c r="BS70" i="22"/>
  <c r="BS69" i="22"/>
  <c r="BS71" i="22"/>
  <c r="BS85" i="22"/>
  <c r="BS82" i="22"/>
  <c r="BS79" i="22"/>
  <c r="BS72" i="22"/>
  <c r="BS67" i="22"/>
  <c r="BS68" i="22"/>
  <c r="BS73" i="22"/>
  <c r="BS74" i="22"/>
  <c r="BS75" i="22"/>
  <c r="AQ79" i="22"/>
  <c r="AP79" i="22"/>
  <c r="AQ85" i="22"/>
  <c r="AP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N79" i="22"/>
  <c r="AM79" i="22"/>
  <c r="AQ77" i="22"/>
  <c r="AP77" i="22"/>
  <c r="AQ76" i="22"/>
  <c r="AP76" i="22"/>
  <c r="BP80" i="22"/>
  <c r="BP81" i="22"/>
  <c r="BP67" i="22"/>
  <c r="BP78" i="22"/>
  <c r="BP69" i="22"/>
  <c r="BP68" i="22"/>
  <c r="BP84" i="22"/>
  <c r="BP74" i="22"/>
  <c r="BP66" i="22"/>
  <c r="BP79" i="22"/>
  <c r="BP75" i="22"/>
  <c r="BP70" i="22"/>
  <c r="BP72" i="22"/>
  <c r="BP82" i="22"/>
  <c r="BP77" i="22"/>
  <c r="BP71" i="22"/>
  <c r="BP76" i="22"/>
  <c r="BP83" i="22"/>
  <c r="BP73" i="22"/>
  <c r="BP85" i="22"/>
  <c r="AN72" i="22"/>
  <c r="AM72" i="22"/>
  <c r="BH80" i="22"/>
  <c r="BH81" i="22"/>
  <c r="BH67" i="22"/>
  <c r="BH84" i="22"/>
  <c r="BH71" i="22"/>
  <c r="BH68" i="22"/>
  <c r="BH74" i="22"/>
  <c r="BH70" i="22"/>
  <c r="BH78" i="22"/>
  <c r="BH66" i="22"/>
  <c r="BH69" i="22"/>
  <c r="BH77" i="22"/>
  <c r="BH75" i="22"/>
  <c r="BH72" i="22"/>
  <c r="BH82" i="22"/>
  <c r="BH85" i="22"/>
  <c r="BH76" i="22"/>
  <c r="BH83" i="22"/>
  <c r="BH73" i="22"/>
  <c r="BH79" i="22"/>
  <c r="AQ82" i="22"/>
  <c r="AP82" i="22"/>
  <c r="AN82" i="22"/>
  <c r="AM82" i="22"/>
  <c r="AQ74" i="22"/>
  <c r="AP74" i="22"/>
  <c r="AN85" i="22"/>
  <c r="AM85" i="22"/>
  <c r="BM79" i="22"/>
  <c r="BM83" i="22"/>
  <c r="BM66" i="22"/>
  <c r="BM73" i="22"/>
  <c r="BM67" i="22"/>
  <c r="BM77" i="22"/>
  <c r="BM72" i="22"/>
  <c r="BM76" i="22"/>
  <c r="BM69" i="22"/>
  <c r="BM70" i="22"/>
  <c r="BM78" i="22"/>
  <c r="BM75" i="22"/>
  <c r="BM82" i="22"/>
  <c r="BM71" i="22"/>
  <c r="BM84" i="22"/>
  <c r="BM85" i="22"/>
  <c r="BM68" i="22"/>
  <c r="BM74" i="22"/>
  <c r="BM81" i="22"/>
  <c r="BM80" i="22"/>
  <c r="Y67" i="21"/>
  <c r="AF67" i="21" s="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AM82" i="21"/>
  <c r="AN82" i="21"/>
  <c r="AN68" i="21"/>
  <c r="AM68" i="21"/>
  <c r="AM69" i="21"/>
  <c r="AN69" i="21"/>
  <c r="BK67" i="21"/>
  <c r="BK82" i="21"/>
  <c r="BK80" i="21"/>
  <c r="BK84" i="21"/>
  <c r="BK75" i="21"/>
  <c r="BK78" i="21"/>
  <c r="BK81" i="21"/>
  <c r="BK71" i="21"/>
  <c r="BK68" i="21"/>
  <c r="BK70" i="21"/>
  <c r="BK85" i="21"/>
  <c r="BK83" i="21"/>
  <c r="BK74" i="21"/>
  <c r="BK69" i="21"/>
  <c r="BK66" i="21"/>
  <c r="BK76" i="21"/>
  <c r="BK72" i="21"/>
  <c r="BK73" i="21"/>
  <c r="BK77" i="21"/>
  <c r="BK79" i="21"/>
  <c r="AM75" i="21"/>
  <c r="AN75"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AN81" i="21"/>
  <c r="AM81" i="21"/>
  <c r="BJ73" i="21"/>
  <c r="BJ66" i="21"/>
  <c r="BJ68" i="21"/>
  <c r="BJ85" i="21"/>
  <c r="BJ82" i="21"/>
  <c r="BJ72" i="21"/>
  <c r="BJ84" i="21"/>
  <c r="BJ80" i="21"/>
  <c r="BJ69" i="21"/>
  <c r="BJ79" i="21"/>
  <c r="BJ78" i="21"/>
  <c r="BJ67" i="21"/>
  <c r="BJ70" i="21"/>
  <c r="BJ76" i="21"/>
  <c r="BJ74" i="21"/>
  <c r="BJ77" i="21"/>
  <c r="BJ71" i="21"/>
  <c r="BJ83" i="21"/>
  <c r="BJ75" i="21"/>
  <c r="BJ81" i="21"/>
  <c r="AM77" i="21"/>
  <c r="AN77"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AM79" i="21"/>
  <c r="AN79" i="21"/>
  <c r="BG69" i="21"/>
  <c r="BG66" i="21"/>
  <c r="BG77" i="21"/>
  <c r="BG85" i="21"/>
  <c r="BG75" i="21"/>
  <c r="BG73" i="21"/>
  <c r="BG76" i="21"/>
  <c r="BG84" i="21"/>
  <c r="BG68" i="21"/>
  <c r="BG74" i="21"/>
  <c r="BG80" i="21"/>
  <c r="BG79" i="21"/>
  <c r="BG70" i="21"/>
  <c r="BG81" i="21"/>
  <c r="BG72" i="21"/>
  <c r="BG78" i="21"/>
  <c r="BG82" i="21"/>
  <c r="BG67" i="21"/>
  <c r="BG83" i="21"/>
  <c r="BG71" i="21"/>
  <c r="AM71" i="21"/>
  <c r="AN71" i="21"/>
  <c r="BR68" i="21"/>
  <c r="BR76" i="21"/>
  <c r="BR71" i="21"/>
  <c r="BR82" i="21"/>
  <c r="BR83" i="21"/>
  <c r="BR72" i="21"/>
  <c r="BR74" i="21"/>
  <c r="BR79" i="21"/>
  <c r="BR80" i="21"/>
  <c r="BR67" i="21"/>
  <c r="BR70" i="21"/>
  <c r="BR66" i="21"/>
  <c r="BR75" i="21"/>
  <c r="BR69" i="21"/>
  <c r="BR85" i="21"/>
  <c r="BR77" i="21"/>
  <c r="BR78" i="21"/>
  <c r="BR73" i="21"/>
  <c r="BR81" i="21"/>
  <c r="BR84" i="21"/>
  <c r="AN74" i="21"/>
  <c r="AM74" i="21"/>
  <c r="AN73" i="21"/>
  <c r="AM73" i="21"/>
  <c r="AM85" i="21"/>
  <c r="AN85"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AN84" i="21"/>
  <c r="AM84" i="21"/>
  <c r="BS72" i="21"/>
  <c r="BS85" i="21"/>
  <c r="BS73" i="21"/>
  <c r="BS67" i="21"/>
  <c r="BS77" i="21"/>
  <c r="BS75" i="21"/>
  <c r="BS79" i="21"/>
  <c r="BS83" i="21"/>
  <c r="BS71" i="21"/>
  <c r="BS84" i="21"/>
  <c r="BS82" i="21"/>
  <c r="BS66" i="21"/>
  <c r="BS80" i="21"/>
  <c r="BS76" i="21"/>
  <c r="BS74" i="21"/>
  <c r="BS78" i="21"/>
  <c r="BS70" i="21"/>
  <c r="BS69" i="21"/>
  <c r="BS68" i="21"/>
  <c r="BS81" i="21"/>
  <c r="AM83" i="21"/>
  <c r="AN83" i="21"/>
  <c r="AM80" i="21"/>
  <c r="AN80"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AM78" i="21"/>
  <c r="AN78" i="21"/>
  <c r="BL67" i="21"/>
  <c r="BL76" i="21"/>
  <c r="BL66" i="21"/>
  <c r="BL71" i="21"/>
  <c r="BL70" i="21"/>
  <c r="BL81" i="21"/>
  <c r="BL80" i="21"/>
  <c r="BL75" i="21"/>
  <c r="BL83" i="21"/>
  <c r="BL77" i="21"/>
  <c r="BL74" i="21"/>
  <c r="BL85" i="21"/>
  <c r="BL69" i="21"/>
  <c r="BL84" i="21"/>
  <c r="BL68" i="21"/>
  <c r="BL79" i="21"/>
  <c r="BL82" i="21"/>
  <c r="BL78" i="21"/>
  <c r="BL73" i="21"/>
  <c r="BL72" i="21"/>
  <c r="AN76" i="21"/>
  <c r="AM76" i="21"/>
  <c r="AM72" i="21"/>
  <c r="AN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AM70" i="21"/>
  <c r="AN70" i="21"/>
  <c r="AF85" i="21"/>
  <c r="AF79" i="21"/>
  <c r="AF73" i="21"/>
  <c r="AF70" i="21"/>
  <c r="AF74" i="21"/>
  <c r="W71" i="21"/>
  <c r="AF71" i="21" s="1"/>
  <c r="AF83" i="21"/>
  <c r="AF75" i="21"/>
  <c r="AF76" i="21"/>
  <c r="AF77" i="21"/>
  <c r="W66" i="22"/>
  <c r="AF66" i="22" s="1"/>
  <c r="AF72" i="21"/>
  <c r="AF81" i="21"/>
  <c r="AF80" i="21"/>
  <c r="AF84" i="21"/>
  <c r="AF82" i="21"/>
  <c r="AF78" i="21"/>
  <c r="AM67" i="21"/>
  <c r="AN67" i="21"/>
  <c r="BC68" i="21"/>
  <c r="BC76" i="21"/>
  <c r="BC69" i="21"/>
  <c r="BC78" i="21"/>
  <c r="BC77" i="21"/>
  <c r="BC67" i="21"/>
  <c r="BC70" i="21"/>
  <c r="BC84" i="21"/>
  <c r="BC83" i="21"/>
  <c r="BC72" i="21"/>
  <c r="BC81" i="21"/>
  <c r="BC82" i="21"/>
  <c r="BC85" i="21"/>
  <c r="BC71" i="21"/>
  <c r="BC80" i="21"/>
  <c r="BC73" i="21"/>
  <c r="BC66" i="21"/>
  <c r="BC79" i="21"/>
  <c r="BC74" i="21"/>
  <c r="BC75" i="21"/>
  <c r="AF71" i="22"/>
  <c r="AF70" i="22"/>
  <c r="AF69" i="22"/>
  <c r="AN71" i="22"/>
  <c r="AM71" i="22"/>
  <c r="AQ71" i="22"/>
  <c r="AP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Q70" i="22"/>
  <c r="AP70" i="22"/>
  <c r="AM70" i="22"/>
  <c r="AN70" i="22"/>
  <c r="AQ69" i="22"/>
  <c r="AP69" i="22"/>
  <c r="AN69" i="22"/>
  <c r="AM69" i="22"/>
  <c r="BE79" i="22"/>
  <c r="BE81" i="22"/>
  <c r="BE68" i="22"/>
  <c r="BE78" i="22"/>
  <c r="BE80" i="22"/>
  <c r="BE66" i="22"/>
  <c r="BE70" i="22"/>
  <c r="BE67" i="22"/>
  <c r="BE73" i="22"/>
  <c r="BE72" i="22"/>
  <c r="BE71" i="22"/>
  <c r="BE84" i="22"/>
  <c r="BE69" i="22"/>
  <c r="BE85" i="22"/>
  <c r="BE76" i="22"/>
  <c r="BE83" i="22"/>
  <c r="BE74" i="22"/>
  <c r="BE77" i="22"/>
  <c r="BE75" i="22"/>
  <c r="BE82" i="22"/>
  <c r="AF68" i="22"/>
  <c r="AM68" i="22"/>
  <c r="AN68" i="22"/>
  <c r="AQ68" i="22"/>
  <c r="AP68" i="22"/>
  <c r="BD84" i="22"/>
  <c r="BD77" i="22"/>
  <c r="BD68" i="22"/>
  <c r="BD83" i="22"/>
  <c r="BD66" i="22"/>
  <c r="BD70" i="22"/>
  <c r="BD78" i="22"/>
  <c r="BD69" i="22"/>
  <c r="BD67" i="22"/>
  <c r="BD75" i="22"/>
  <c r="BD79" i="22"/>
  <c r="BD73" i="22"/>
  <c r="BD76" i="22"/>
  <c r="BD82" i="22"/>
  <c r="BD81" i="22"/>
  <c r="BD72" i="22"/>
  <c r="BD85" i="22"/>
  <c r="BD74" i="22"/>
  <c r="BD71" i="22"/>
  <c r="BD80" i="22"/>
  <c r="AM67" i="22"/>
  <c r="AN67" i="22"/>
  <c r="BC81" i="22"/>
  <c r="BC80" i="22"/>
  <c r="BC74" i="22"/>
  <c r="BC75" i="22"/>
  <c r="BC66" i="22"/>
  <c r="BC72" i="22"/>
  <c r="BC83" i="22"/>
  <c r="BC67" i="22"/>
  <c r="BC69" i="22"/>
  <c r="BC73" i="22"/>
  <c r="BC71" i="22"/>
  <c r="BC70" i="22"/>
  <c r="BC79" i="22"/>
  <c r="BC68" i="22"/>
  <c r="BC77" i="22"/>
  <c r="BC84" i="22"/>
  <c r="BC82" i="22"/>
  <c r="BC78" i="22"/>
  <c r="BC85" i="22"/>
  <c r="BC76" i="22"/>
  <c r="AQ67" i="22"/>
  <c r="AP67" i="22"/>
  <c r="BB78" i="22"/>
  <c r="BB67" i="22"/>
  <c r="BB66" i="22"/>
  <c r="BB79" i="22"/>
  <c r="BB74" i="22"/>
  <c r="BB82" i="22"/>
  <c r="BB73" i="22"/>
  <c r="BB81" i="22"/>
  <c r="BB69" i="22"/>
  <c r="BB72" i="22"/>
  <c r="BB76" i="22"/>
  <c r="BB83" i="22"/>
  <c r="BB80" i="22"/>
  <c r="BB84" i="22"/>
  <c r="BB70" i="22"/>
  <c r="BB71" i="22"/>
  <c r="BB75" i="22"/>
  <c r="BB77" i="22"/>
  <c r="BB85" i="22"/>
  <c r="BB68" i="22"/>
  <c r="AN66" i="22"/>
  <c r="AM66" i="22"/>
  <c r="AP66" i="22"/>
  <c r="AQ66" i="22"/>
  <c r="BB70" i="21"/>
  <c r="BB78" i="21"/>
  <c r="BB71" i="21"/>
  <c r="BB79" i="21"/>
  <c r="BB77" i="21"/>
  <c r="BB72" i="21"/>
  <c r="BB80" i="21"/>
  <c r="BB73" i="21"/>
  <c r="BB81" i="21"/>
  <c r="BB74" i="21"/>
  <c r="BB82" i="21"/>
  <c r="BB76" i="21"/>
  <c r="BB66" i="21"/>
  <c r="BB85" i="21"/>
  <c r="BB67" i="21"/>
  <c r="BB75" i="21"/>
  <c r="BB83" i="21"/>
  <c r="BB68" i="21"/>
  <c r="BB84" i="21"/>
  <c r="BB69" i="21"/>
  <c r="AP71" i="21"/>
  <c r="AQ71" i="21"/>
  <c r="AP79" i="21"/>
  <c r="AQ79" i="21"/>
  <c r="AP72" i="21"/>
  <c r="AQ72" i="21"/>
  <c r="AP80" i="21"/>
  <c r="AQ80" i="21"/>
  <c r="AQ73" i="21"/>
  <c r="AP73" i="21"/>
  <c r="AQ81" i="21"/>
  <c r="AP81" i="21"/>
  <c r="AP74" i="21"/>
  <c r="AQ74" i="21"/>
  <c r="AQ82" i="21"/>
  <c r="AP82" i="21"/>
  <c r="AP67" i="21"/>
  <c r="AQ67" i="21"/>
  <c r="AP75" i="21"/>
  <c r="AQ75" i="21"/>
  <c r="AP83" i="21"/>
  <c r="AQ83" i="21"/>
  <c r="AP68" i="21"/>
  <c r="AQ68" i="21"/>
  <c r="AP76" i="21"/>
  <c r="AQ76" i="21"/>
  <c r="AP84" i="21"/>
  <c r="AQ84" i="21"/>
  <c r="AQ69" i="21"/>
  <c r="AP69" i="21"/>
  <c r="AQ77" i="21"/>
  <c r="AP77" i="21"/>
  <c r="AP70" i="21"/>
  <c r="AQ70" i="21"/>
  <c r="AP78" i="21"/>
  <c r="AQ78" i="21"/>
  <c r="AP85" i="21"/>
  <c r="AQ85" i="21"/>
  <c r="AN66" i="21"/>
  <c r="AM66" i="21"/>
  <c r="AQ66" i="21"/>
  <c r="AP66" i="21"/>
  <c r="J70" i="23"/>
  <c r="L59" i="22"/>
  <c r="P3" i="22" s="1"/>
  <c r="N31" i="21" l="1"/>
  <c r="P2" i="21" s="1"/>
  <c r="L66" i="21"/>
  <c r="L69" i="21"/>
  <c r="G106" i="21" s="1"/>
  <c r="H106" i="21" s="1"/>
  <c r="L68" i="21"/>
  <c r="G104" i="21" s="1"/>
  <c r="H104" i="21" s="1"/>
  <c r="I104" i="21" s="1"/>
  <c r="AE66" i="21"/>
  <c r="G109" i="21"/>
  <c r="H109" i="21" s="1"/>
  <c r="BL64" i="22"/>
  <c r="BX76" i="22" s="1"/>
  <c r="BV76" i="22" s="1"/>
  <c r="O33" i="22"/>
  <c r="AF67" i="22"/>
  <c r="L67" i="22"/>
  <c r="G104" i="22" s="1"/>
  <c r="M66"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L68" i="22"/>
  <c r="M68" i="22" s="1"/>
  <c r="L67" i="21"/>
  <c r="M67" i="21" s="1"/>
  <c r="O33" i="21"/>
  <c r="M71" i="22"/>
  <c r="M82" i="21"/>
  <c r="M79" i="21"/>
  <c r="BU64" i="21"/>
  <c r="BX85" i="21" s="1"/>
  <c r="BV85" i="21" s="1"/>
  <c r="BT64" i="21"/>
  <c r="BX84" i="21" s="1"/>
  <c r="BV84" i="21" s="1"/>
  <c r="M81" i="21"/>
  <c r="M69" i="22"/>
  <c r="M72" i="21"/>
  <c r="P1" i="22"/>
  <c r="J67" i="23"/>
  <c r="M75" i="21"/>
  <c r="BB64" i="22"/>
  <c r="BX66" i="22" s="1"/>
  <c r="BV66" i="22" s="1"/>
  <c r="BD64" i="22"/>
  <c r="BX68" i="22" s="1"/>
  <c r="BV68" i="22" s="1"/>
  <c r="BB64" i="21"/>
  <c r="BX66" i="21" s="1"/>
  <c r="BV66" i="21" s="1"/>
  <c r="M70" i="22"/>
  <c r="BF64" i="22"/>
  <c r="BX70" i="22" s="1"/>
  <c r="BV70" i="22" s="1"/>
  <c r="BG64" i="22"/>
  <c r="BX71" i="22" s="1"/>
  <c r="BV71" i="22" s="1"/>
  <c r="BE64" i="22"/>
  <c r="BX69" i="22" s="1"/>
  <c r="BV69" i="22" s="1"/>
  <c r="BC64" i="22"/>
  <c r="BX67" i="22" s="1"/>
  <c r="BV67" i="22" s="1"/>
  <c r="M70" i="21"/>
  <c r="M74" i="21"/>
  <c r="M85" i="21"/>
  <c r="M73" i="21"/>
  <c r="M77" i="21"/>
  <c r="M78" i="21"/>
  <c r="M80" i="21"/>
  <c r="M83" i="21"/>
  <c r="M71" i="21"/>
  <c r="BM64" i="21"/>
  <c r="BX77" i="21" s="1"/>
  <c r="BV77" i="21" s="1"/>
  <c r="M76" i="21"/>
  <c r="BD64" i="21"/>
  <c r="BX68" i="21" s="1"/>
  <c r="BV68" i="21" s="1"/>
  <c r="BF64" i="21"/>
  <c r="BX70" i="21" s="1"/>
  <c r="BV70" i="21" s="1"/>
  <c r="BJ64" i="21"/>
  <c r="BX74" i="21" s="1"/>
  <c r="BV74" i="21" s="1"/>
  <c r="J68" i="23"/>
  <c r="BN64" i="21"/>
  <c r="BX78" i="21" s="1"/>
  <c r="BV78" i="21" s="1"/>
  <c r="BO64" i="21"/>
  <c r="BX79" i="21" s="1"/>
  <c r="BV79" i="21" s="1"/>
  <c r="M84" i="21"/>
  <c r="BR64" i="21"/>
  <c r="BX82" i="21" s="1"/>
  <c r="BV82" i="21" s="1"/>
  <c r="J65" i="23"/>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J66" i="23"/>
  <c r="H103" i="22"/>
  <c r="K67" i="23"/>
  <c r="L31" i="22"/>
  <c r="H20" i="23" s="1"/>
  <c r="P27" i="23" s="1"/>
  <c r="N31" i="22"/>
  <c r="P2" i="22" s="1"/>
  <c r="H19" i="23"/>
  <c r="M68" i="21" l="1"/>
  <c r="M66" i="21"/>
  <c r="M69" i="21"/>
  <c r="AF66" i="21"/>
  <c r="G108" i="22"/>
  <c r="H108" i="22" s="1"/>
  <c r="G107" i="22"/>
  <c r="H107" i="22" s="1"/>
  <c r="I107" i="22" s="1"/>
  <c r="J107" i="22" s="1"/>
  <c r="P26" i="23"/>
  <c r="H27" i="23"/>
  <c r="H104" i="22"/>
  <c r="I104" i="22" s="1"/>
  <c r="J104" i="22" s="1"/>
  <c r="M67" i="22"/>
  <c r="M86" i="22" s="1"/>
  <c r="L86" i="22"/>
  <c r="P4" i="22" s="1"/>
  <c r="K65" i="23"/>
  <c r="K68" i="23"/>
  <c r="H28" i="23"/>
  <c r="L86" i="21"/>
  <c r="P5" i="21" s="1"/>
  <c r="K66" i="23"/>
  <c r="I108" i="22" l="1"/>
  <c r="F109" i="22"/>
  <c r="I109" i="22" s="1"/>
  <c r="J109" i="22" s="1"/>
  <c r="P4" i="21"/>
  <c r="H110" i="21"/>
  <c r="F111" i="21" s="1"/>
  <c r="K70" i="23"/>
  <c r="H70" i="23" s="1"/>
  <c r="G73" i="23" s="1"/>
  <c r="I106" i="21"/>
  <c r="J106" i="21" s="1"/>
  <c r="E97" i="22"/>
  <c r="J97" i="22" s="1"/>
  <c r="M86" i="21"/>
  <c r="H24" i="23"/>
  <c r="P5" i="22"/>
  <c r="J108" i="22" l="1"/>
  <c r="J2" i="22" s="1"/>
  <c r="H69" i="23"/>
  <c r="G71" i="23" s="1"/>
  <c r="Q27" i="23"/>
  <c r="L33" i="23"/>
  <c r="J104" i="21"/>
  <c r="I111" i="21"/>
  <c r="J111" i="21" s="1"/>
  <c r="H32" i="23"/>
  <c r="H36" i="23" s="1"/>
  <c r="H23" i="23"/>
  <c r="L32" i="23" s="1"/>
  <c r="G11" i="23"/>
  <c r="D19" i="11" s="1"/>
  <c r="I109" i="21"/>
  <c r="I110" i="21"/>
  <c r="H33" i="23"/>
  <c r="H37" i="23" s="1"/>
  <c r="D11" i="11"/>
  <c r="E98" i="22" l="1"/>
  <c r="J98" i="22" s="1"/>
  <c r="E97" i="21"/>
  <c r="J97" i="21" s="1"/>
  <c r="G10" i="23"/>
  <c r="D18" i="11" s="1"/>
  <c r="Q26" i="23"/>
  <c r="H65" i="23"/>
  <c r="H67" i="23"/>
  <c r="J109" i="21"/>
  <c r="H68" i="23"/>
  <c r="G69" i="23" s="1"/>
  <c r="D10" i="11"/>
  <c r="J110" i="21"/>
  <c r="H66" i="23"/>
  <c r="E10" i="11"/>
  <c r="D14" i="11"/>
  <c r="E11" i="11"/>
  <c r="D15" i="11"/>
  <c r="AT88" i="1"/>
  <c r="I65" i="23" l="1"/>
  <c r="G65" i="23"/>
  <c r="I66" i="23"/>
  <c r="G67" i="23"/>
  <c r="E98" i="21"/>
  <c r="J98" i="21" s="1"/>
  <c r="J2" i="21"/>
  <c r="N57" i="23"/>
  <c r="D34" i="11" s="1"/>
  <c r="AU88" i="1"/>
  <c r="AY88" i="1"/>
  <c r="E88" i="1" s="1"/>
  <c r="E51" i="1" l="1"/>
  <c r="E52" i="1"/>
  <c r="E53" i="1"/>
  <c r="E54" i="1"/>
  <c r="E55" i="1"/>
  <c r="E56" i="1"/>
  <c r="E57" i="1"/>
  <c r="E58" i="1"/>
  <c r="E59" i="1"/>
  <c r="G99" i="1" l="1"/>
  <c r="AH88" i="1"/>
  <c r="AI88" i="1" s="1"/>
  <c r="AL88" i="1"/>
  <c r="AM88" i="1" s="1"/>
  <c r="AO88" i="1"/>
  <c r="AQ88" i="1" s="1"/>
  <c r="AR88" i="1"/>
  <c r="AS88" i="1" s="1"/>
  <c r="AV88" i="1"/>
  <c r="AW88" i="1" s="1"/>
  <c r="J88" i="1"/>
  <c r="AJ88" i="1" s="1"/>
  <c r="AK88" i="1" s="1"/>
  <c r="J68" i="1"/>
  <c r="AP88" i="1" l="1"/>
  <c r="AN88" i="1"/>
  <c r="AE44" i="1"/>
  <c r="AF44" i="1" s="1"/>
  <c r="AE45" i="1"/>
  <c r="AF45" i="1" s="1"/>
  <c r="AE46" i="1"/>
  <c r="AF46" i="1" s="1"/>
  <c r="AE47" i="1"/>
  <c r="AF47" i="1" s="1"/>
  <c r="AE48" i="1"/>
  <c r="AF48" i="1" s="1"/>
  <c r="AE49" i="1"/>
  <c r="AF49" i="1" s="1"/>
  <c r="AE50" i="1"/>
  <c r="AF50" i="1" s="1"/>
  <c r="AE51" i="1"/>
  <c r="AF51" i="1" s="1"/>
  <c r="AE52" i="1"/>
  <c r="AF52" i="1" s="1"/>
  <c r="AE53" i="1"/>
  <c r="AF53" i="1" s="1"/>
  <c r="AE54" i="1"/>
  <c r="AF54" i="1" s="1"/>
  <c r="AE55" i="1"/>
  <c r="AF55" i="1" s="1"/>
  <c r="AE56" i="1"/>
  <c r="AF56" i="1" s="1"/>
  <c r="AE57" i="1"/>
  <c r="AF57" i="1" s="1"/>
  <c r="AE58" i="1"/>
  <c r="AF58" i="1" s="1"/>
  <c r="AE59" i="1"/>
  <c r="AF59" i="1" s="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H99" i="1" l="1"/>
  <c r="I69" i="1" l="1"/>
  <c r="I70" i="1"/>
  <c r="I71" i="1"/>
  <c r="I72" i="1"/>
  <c r="I73" i="1"/>
  <c r="I74" i="1"/>
  <c r="I75" i="1"/>
  <c r="I76" i="1"/>
  <c r="I77" i="1"/>
  <c r="I78" i="1"/>
  <c r="I79" i="1"/>
  <c r="I80" i="1"/>
  <c r="I81" i="1"/>
  <c r="I82" i="1"/>
  <c r="I83" i="1"/>
  <c r="I84" i="1"/>
  <c r="I85" i="1"/>
  <c r="I86" i="1"/>
  <c r="I87" i="1"/>
  <c r="I68" i="1"/>
  <c r="D69" i="1"/>
  <c r="D70" i="1"/>
  <c r="D71" i="1"/>
  <c r="D72" i="1"/>
  <c r="L72" i="1" s="1"/>
  <c r="D73" i="1"/>
  <c r="D74" i="1"/>
  <c r="D75" i="1"/>
  <c r="D76" i="1"/>
  <c r="D77" i="1"/>
  <c r="L77" i="1" s="1"/>
  <c r="D78" i="1"/>
  <c r="L78" i="1" s="1"/>
  <c r="D79" i="1"/>
  <c r="L79" i="1" s="1"/>
  <c r="D80" i="1"/>
  <c r="L80" i="1" s="1"/>
  <c r="D81" i="1"/>
  <c r="L81" i="1" s="1"/>
  <c r="D82" i="1"/>
  <c r="L82" i="1" s="1"/>
  <c r="D83" i="1"/>
  <c r="L83" i="1" s="1"/>
  <c r="D84" i="1"/>
  <c r="L84" i="1" s="1"/>
  <c r="D85" i="1"/>
  <c r="L85" i="1" s="1"/>
  <c r="D86" i="1"/>
  <c r="L86" i="1" s="1"/>
  <c r="D87" i="1"/>
  <c r="L87" i="1" s="1"/>
  <c r="D68" i="1"/>
  <c r="D99" i="1"/>
  <c r="E99"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U41" i="1"/>
  <c r="V41" i="1" s="1"/>
  <c r="W41" i="1"/>
  <c r="X41" i="1" s="1"/>
  <c r="Y41" i="1"/>
  <c r="Z41" i="1" s="1"/>
  <c r="AB41" i="1"/>
  <c r="AC41" i="1" s="1"/>
  <c r="U42" i="1"/>
  <c r="W42" i="1"/>
  <c r="X42" i="1" s="1"/>
  <c r="Y42" i="1"/>
  <c r="AA42" i="1" s="1"/>
  <c r="AB42" i="1"/>
  <c r="AD42" i="1" s="1"/>
  <c r="U43" i="1"/>
  <c r="V43" i="1" s="1"/>
  <c r="W43" i="1"/>
  <c r="X43" i="1" s="1"/>
  <c r="Y43" i="1"/>
  <c r="Z43" i="1" s="1"/>
  <c r="AB43" i="1"/>
  <c r="AD43" i="1" s="1"/>
  <c r="U44" i="1"/>
  <c r="Y44" i="1"/>
  <c r="AA44" i="1" s="1"/>
  <c r="AB44" i="1"/>
  <c r="AD44" i="1" s="1"/>
  <c r="U45" i="1"/>
  <c r="V45" i="1" s="1"/>
  <c r="Y45" i="1"/>
  <c r="Z45" i="1" s="1"/>
  <c r="AB45" i="1"/>
  <c r="AC45" i="1" s="1"/>
  <c r="U46" i="1"/>
  <c r="V46" i="1" s="1"/>
  <c r="Y46" i="1"/>
  <c r="Z46" i="1" s="1"/>
  <c r="AB46" i="1"/>
  <c r="AC46" i="1" s="1"/>
  <c r="U47" i="1"/>
  <c r="V47" i="1" s="1"/>
  <c r="Y47" i="1"/>
  <c r="Z47" i="1" s="1"/>
  <c r="AB47" i="1"/>
  <c r="AD47" i="1" s="1"/>
  <c r="U48" i="1"/>
  <c r="V48" i="1" s="1"/>
  <c r="Y48" i="1"/>
  <c r="Z48" i="1" s="1"/>
  <c r="AB48" i="1"/>
  <c r="AC48" i="1" s="1"/>
  <c r="U49" i="1"/>
  <c r="V49" i="1" s="1"/>
  <c r="Y49" i="1"/>
  <c r="Z49" i="1" s="1"/>
  <c r="AB49" i="1"/>
  <c r="AC49" i="1" s="1"/>
  <c r="U50" i="1"/>
  <c r="V50" i="1" s="1"/>
  <c r="Y50" i="1"/>
  <c r="Z50" i="1" s="1"/>
  <c r="AB50" i="1"/>
  <c r="AC50" i="1" s="1"/>
  <c r="U51" i="1"/>
  <c r="V51" i="1" s="1"/>
  <c r="Y51" i="1"/>
  <c r="Z51" i="1" s="1"/>
  <c r="AB51" i="1"/>
  <c r="AD51" i="1" s="1"/>
  <c r="U52" i="1"/>
  <c r="V52" i="1" s="1"/>
  <c r="Y52" i="1"/>
  <c r="Z52" i="1" s="1"/>
  <c r="AB52" i="1"/>
  <c r="AC52" i="1" s="1"/>
  <c r="U53" i="1"/>
  <c r="V53" i="1" s="1"/>
  <c r="Y53" i="1"/>
  <c r="Z53" i="1" s="1"/>
  <c r="AB53" i="1"/>
  <c r="AC53" i="1" s="1"/>
  <c r="U54" i="1"/>
  <c r="V54" i="1" s="1"/>
  <c r="Y54" i="1"/>
  <c r="AA54" i="1" s="1"/>
  <c r="AB54" i="1"/>
  <c r="AD54" i="1" s="1"/>
  <c r="U55" i="1"/>
  <c r="V55" i="1" s="1"/>
  <c r="Y55" i="1"/>
  <c r="Z55" i="1" s="1"/>
  <c r="AB55" i="1"/>
  <c r="AD55" i="1" s="1"/>
  <c r="U56" i="1"/>
  <c r="V56" i="1" s="1"/>
  <c r="Y56" i="1"/>
  <c r="Z56" i="1" s="1"/>
  <c r="AB56" i="1"/>
  <c r="AC56" i="1" s="1"/>
  <c r="U57" i="1"/>
  <c r="V57" i="1" s="1"/>
  <c r="Y57" i="1"/>
  <c r="Z57" i="1" s="1"/>
  <c r="AB57" i="1"/>
  <c r="AC57" i="1" s="1"/>
  <c r="U58" i="1"/>
  <c r="V58" i="1" s="1"/>
  <c r="Y58" i="1"/>
  <c r="Z58" i="1" s="1"/>
  <c r="AB58" i="1"/>
  <c r="AC58" i="1" s="1"/>
  <c r="U59" i="1"/>
  <c r="V59" i="1" s="1"/>
  <c r="Y59" i="1"/>
  <c r="Z59" i="1" s="1"/>
  <c r="AB59" i="1"/>
  <c r="AD59" i="1" s="1"/>
  <c r="U60" i="1"/>
  <c r="V60" i="1" s="1"/>
  <c r="W60" i="1"/>
  <c r="X60" i="1" s="1"/>
  <c r="Y60" i="1"/>
  <c r="Z60" i="1" s="1"/>
  <c r="AB60" i="1"/>
  <c r="AC60" i="1" s="1"/>
  <c r="AG40" i="1"/>
  <c r="AH40" i="1" s="1"/>
  <c r="Y40" i="1"/>
  <c r="Z40" i="1" s="1"/>
  <c r="W40" i="1"/>
  <c r="X40" i="1" s="1"/>
  <c r="U40" i="1"/>
  <c r="AB40" i="1"/>
  <c r="AD40" i="1" s="1"/>
  <c r="AG21" i="1"/>
  <c r="AG22" i="1"/>
  <c r="AG23" i="1"/>
  <c r="AG24" i="1"/>
  <c r="AG25" i="1"/>
  <c r="AG26" i="1"/>
  <c r="AG27" i="1"/>
  <c r="AG28" i="1"/>
  <c r="AG29" i="1"/>
  <c r="AG30" i="1"/>
  <c r="AX68" i="1" l="1"/>
  <c r="AT80" i="1"/>
  <c r="AU80" i="1" s="1"/>
  <c r="AV80" i="1"/>
  <c r="AW80" i="1" s="1"/>
  <c r="AL80" i="1"/>
  <c r="AX80" i="1"/>
  <c r="AY80" i="1"/>
  <c r="AH80" i="1"/>
  <c r="AI80" i="1" s="1"/>
  <c r="AR80" i="1"/>
  <c r="AS80" i="1" s="1"/>
  <c r="AT72" i="1"/>
  <c r="AU72" i="1" s="1"/>
  <c r="AV72" i="1"/>
  <c r="AW72" i="1" s="1"/>
  <c r="AL72" i="1"/>
  <c r="AX72" i="1"/>
  <c r="AY72" i="1"/>
  <c r="E72" i="1" s="1"/>
  <c r="AH72" i="1"/>
  <c r="AI72" i="1" s="1"/>
  <c r="AR72" i="1"/>
  <c r="AS72" i="1" s="1"/>
  <c r="AL86" i="1"/>
  <c r="AM86" i="1" s="1"/>
  <c r="AR86" i="1"/>
  <c r="AS86" i="1" s="1"/>
  <c r="AX86" i="1"/>
  <c r="AT86" i="1"/>
  <c r="AU86" i="1" s="1"/>
  <c r="AY86" i="1"/>
  <c r="E86" i="1" s="1"/>
  <c r="AV86" i="1"/>
  <c r="AW86" i="1" s="1"/>
  <c r="AH86" i="1"/>
  <c r="AI86" i="1" s="1"/>
  <c r="AL78" i="1"/>
  <c r="AM78" i="1" s="1"/>
  <c r="AR78" i="1"/>
  <c r="AS78" i="1" s="1"/>
  <c r="AX78" i="1"/>
  <c r="AT78" i="1"/>
  <c r="AU78" i="1" s="1"/>
  <c r="AY78" i="1"/>
  <c r="E78" i="1" s="1"/>
  <c r="AV78" i="1"/>
  <c r="AW78" i="1" s="1"/>
  <c r="AH78" i="1"/>
  <c r="AI78" i="1" s="1"/>
  <c r="AL70" i="1"/>
  <c r="AM70" i="1" s="1"/>
  <c r="AR70" i="1"/>
  <c r="AS70" i="1" s="1"/>
  <c r="AX70" i="1"/>
  <c r="AT70" i="1"/>
  <c r="AU70" i="1" s="1"/>
  <c r="AY70" i="1"/>
  <c r="E70" i="1" s="1"/>
  <c r="AV70" i="1"/>
  <c r="AW70" i="1" s="1"/>
  <c r="AH70" i="1"/>
  <c r="AI70" i="1" s="1"/>
  <c r="AL71" i="1"/>
  <c r="AX71" i="1"/>
  <c r="AV71" i="1"/>
  <c r="AW71" i="1" s="1"/>
  <c r="AY71" i="1"/>
  <c r="E71" i="1" s="1"/>
  <c r="AR71" i="1"/>
  <c r="AS71" i="1" s="1"/>
  <c r="AH71" i="1"/>
  <c r="AT71" i="1"/>
  <c r="AU71" i="1" s="1"/>
  <c r="AV85" i="1"/>
  <c r="AW85" i="1" s="1"/>
  <c r="AX85" i="1"/>
  <c r="AY85" i="1"/>
  <c r="AH85" i="1"/>
  <c r="AI85" i="1" s="1"/>
  <c r="AR85" i="1"/>
  <c r="AS85" i="1" s="1"/>
  <c r="AT85" i="1"/>
  <c r="AU85" i="1" s="1"/>
  <c r="AL85" i="1"/>
  <c r="AV77" i="1"/>
  <c r="AW77" i="1" s="1"/>
  <c r="AX77" i="1"/>
  <c r="AY77" i="1"/>
  <c r="E77" i="1" s="1"/>
  <c r="AH77" i="1"/>
  <c r="AR77" i="1"/>
  <c r="AS77" i="1" s="1"/>
  <c r="AT77" i="1"/>
  <c r="AU77" i="1" s="1"/>
  <c r="AL77" i="1"/>
  <c r="AV69" i="1"/>
  <c r="AW69" i="1" s="1"/>
  <c r="AX69" i="1"/>
  <c r="AH69" i="1"/>
  <c r="AI69" i="1" s="1"/>
  <c r="AY69" i="1"/>
  <c r="E69" i="1" s="1"/>
  <c r="AT69" i="1"/>
  <c r="AU69" i="1" s="1"/>
  <c r="AL69" i="1"/>
  <c r="AM69" i="1" s="1"/>
  <c r="AR69" i="1"/>
  <c r="AS69" i="1" s="1"/>
  <c r="AV87" i="1"/>
  <c r="AW87" i="1" s="1"/>
  <c r="AL87" i="1"/>
  <c r="AX87" i="1"/>
  <c r="AY87" i="1"/>
  <c r="E87" i="1" s="1"/>
  <c r="AR87" i="1"/>
  <c r="AS87" i="1" s="1"/>
  <c r="AH87" i="1"/>
  <c r="AI87" i="1" s="1"/>
  <c r="AT87" i="1"/>
  <c r="AU87" i="1" s="1"/>
  <c r="AY84" i="1"/>
  <c r="E84" i="1" s="1"/>
  <c r="AH84" i="1"/>
  <c r="AI84" i="1" s="1"/>
  <c r="AL84" i="1"/>
  <c r="AR84" i="1"/>
  <c r="AS84" i="1" s="1"/>
  <c r="AT84" i="1"/>
  <c r="AU84" i="1" s="1"/>
  <c r="AV84" i="1"/>
  <c r="AW84" i="1" s="1"/>
  <c r="AX84" i="1"/>
  <c r="AY76" i="1"/>
  <c r="AH76" i="1"/>
  <c r="AI76" i="1" s="1"/>
  <c r="AR76" i="1"/>
  <c r="AS76" i="1" s="1"/>
  <c r="AL76" i="1"/>
  <c r="AT76" i="1"/>
  <c r="AU76" i="1" s="1"/>
  <c r="AV76" i="1"/>
  <c r="AW76" i="1" s="1"/>
  <c r="AX76" i="1"/>
  <c r="AY83" i="1"/>
  <c r="E83" i="1" s="1"/>
  <c r="AR83" i="1"/>
  <c r="AS83" i="1" s="1"/>
  <c r="AH83" i="1"/>
  <c r="AI83" i="1" s="1"/>
  <c r="AT83" i="1"/>
  <c r="AU83" i="1" s="1"/>
  <c r="AV83" i="1"/>
  <c r="AW83" i="1" s="1"/>
  <c r="AX83" i="1"/>
  <c r="AL83" i="1"/>
  <c r="AY75" i="1"/>
  <c r="E75" i="1" s="1"/>
  <c r="AR75" i="1"/>
  <c r="AS75" i="1" s="1"/>
  <c r="AH75" i="1"/>
  <c r="AI75" i="1" s="1"/>
  <c r="AT75" i="1"/>
  <c r="AU75" i="1" s="1"/>
  <c r="AV75" i="1"/>
  <c r="AW75" i="1" s="1"/>
  <c r="AL75" i="1"/>
  <c r="AX75" i="1"/>
  <c r="AL79" i="1"/>
  <c r="AV79" i="1"/>
  <c r="AW79" i="1" s="1"/>
  <c r="AX79" i="1"/>
  <c r="AY79" i="1"/>
  <c r="E79" i="1" s="1"/>
  <c r="AR79" i="1"/>
  <c r="AS79" i="1" s="1"/>
  <c r="AH79" i="1"/>
  <c r="AI79" i="1" s="1"/>
  <c r="AT79" i="1"/>
  <c r="AU79" i="1" s="1"/>
  <c r="AL82" i="1"/>
  <c r="AM82" i="1" s="1"/>
  <c r="AR82" i="1"/>
  <c r="AS82" i="1" s="1"/>
  <c r="AX82" i="1"/>
  <c r="AY82" i="1"/>
  <c r="E82" i="1" s="1"/>
  <c r="AV82" i="1"/>
  <c r="AW82" i="1" s="1"/>
  <c r="AH82" i="1"/>
  <c r="AI82" i="1" s="1"/>
  <c r="AT82" i="1"/>
  <c r="AU82" i="1" s="1"/>
  <c r="AL74" i="1"/>
  <c r="AM74" i="1" s="1"/>
  <c r="AT74" i="1"/>
  <c r="AU74" i="1" s="1"/>
  <c r="AR74" i="1"/>
  <c r="AS74" i="1" s="1"/>
  <c r="AX74" i="1"/>
  <c r="AY74" i="1"/>
  <c r="E74" i="1" s="1"/>
  <c r="AV74" i="1"/>
  <c r="AW74" i="1" s="1"/>
  <c r="AH74" i="1"/>
  <c r="AI74" i="1" s="1"/>
  <c r="AY81" i="1"/>
  <c r="E81" i="1" s="1"/>
  <c r="AH81" i="1"/>
  <c r="AI81" i="1" s="1"/>
  <c r="AR81" i="1"/>
  <c r="AS81" i="1" s="1"/>
  <c r="AT81" i="1"/>
  <c r="AU81" i="1" s="1"/>
  <c r="AL81" i="1"/>
  <c r="AV81" i="1"/>
  <c r="AW81" i="1" s="1"/>
  <c r="AX81" i="1"/>
  <c r="AR73" i="1"/>
  <c r="AS73" i="1" s="1"/>
  <c r="AT73" i="1"/>
  <c r="AU73" i="1" s="1"/>
  <c r="AL73" i="1"/>
  <c r="AM73" i="1" s="1"/>
  <c r="AY73" i="1"/>
  <c r="E73" i="1" s="1"/>
  <c r="AV73" i="1"/>
  <c r="AW73" i="1" s="1"/>
  <c r="AX73" i="1"/>
  <c r="AH73" i="1"/>
  <c r="AI73" i="1" s="1"/>
  <c r="U83" i="1"/>
  <c r="U75" i="1"/>
  <c r="U76" i="1"/>
  <c r="U81" i="1"/>
  <c r="U73" i="1"/>
  <c r="U84" i="1"/>
  <c r="U82" i="1"/>
  <c r="U80" i="1"/>
  <c r="U72" i="1"/>
  <c r="U87" i="1"/>
  <c r="U79" i="1"/>
  <c r="U71" i="1"/>
  <c r="U86" i="1"/>
  <c r="U78" i="1"/>
  <c r="U70" i="1"/>
  <c r="U74" i="1"/>
  <c r="U85" i="1"/>
  <c r="U77" i="1"/>
  <c r="U69" i="1"/>
  <c r="AT68" i="1"/>
  <c r="AU68" i="1" s="1"/>
  <c r="U68" i="1"/>
  <c r="E80" i="1"/>
  <c r="E85" i="1"/>
  <c r="AY68" i="1"/>
  <c r="E68" i="1" s="1"/>
  <c r="AC83" i="1"/>
  <c r="H83" i="1" s="1"/>
  <c r="AO83" i="1" s="1"/>
  <c r="C77" i="1"/>
  <c r="C76" i="1"/>
  <c r="AC59" i="1"/>
  <c r="AC54" i="1"/>
  <c r="AC44" i="1"/>
  <c r="AD60" i="1"/>
  <c r="AC51" i="1"/>
  <c r="AD52" i="1"/>
  <c r="AD56" i="1"/>
  <c r="AD58" i="1"/>
  <c r="AC55" i="1"/>
  <c r="AC47" i="1"/>
  <c r="AC42" i="1"/>
  <c r="AD46" i="1"/>
  <c r="AD50" i="1"/>
  <c r="Z42" i="1"/>
  <c r="V44" i="1"/>
  <c r="L44" i="1" s="1"/>
  <c r="V42" i="1"/>
  <c r="V40" i="1"/>
  <c r="AA52" i="1"/>
  <c r="Z44" i="1"/>
  <c r="AA58" i="1"/>
  <c r="Z54" i="1"/>
  <c r="AA60" i="1"/>
  <c r="AA50" i="1"/>
  <c r="AA56" i="1"/>
  <c r="AA46" i="1"/>
  <c r="AD48" i="1"/>
  <c r="AJ74" i="1"/>
  <c r="AK74" i="1" s="1"/>
  <c r="C72" i="1"/>
  <c r="AV68" i="1"/>
  <c r="AW68" i="1" s="1"/>
  <c r="C69" i="1"/>
  <c r="AC82" i="1"/>
  <c r="H82" i="1" s="1"/>
  <c r="AO82" i="1" s="1"/>
  <c r="AJ68" i="1"/>
  <c r="AK68" i="1" s="1"/>
  <c r="AG80" i="1"/>
  <c r="AG72" i="1"/>
  <c r="AL68" i="1"/>
  <c r="AN68" i="1" s="1"/>
  <c r="AJ82" i="1"/>
  <c r="AK82" i="1" s="1"/>
  <c r="AC81" i="1"/>
  <c r="H81" i="1" s="1"/>
  <c r="AO81" i="1" s="1"/>
  <c r="AG68" i="1"/>
  <c r="AJ75" i="1"/>
  <c r="AK75" i="1" s="1"/>
  <c r="I89" i="1"/>
  <c r="AH68" i="1"/>
  <c r="AR68" i="1"/>
  <c r="AS68" i="1" s="1"/>
  <c r="C68" i="1"/>
  <c r="C86" i="1"/>
  <c r="C78" i="1"/>
  <c r="AJ81" i="1"/>
  <c r="AK81" i="1" s="1"/>
  <c r="AJ73" i="1"/>
  <c r="AK73" i="1" s="1"/>
  <c r="C85" i="1"/>
  <c r="C75" i="1"/>
  <c r="AC80" i="1"/>
  <c r="H80" i="1" s="1"/>
  <c r="AO80" i="1" s="1"/>
  <c r="AG87" i="1"/>
  <c r="AG79" i="1"/>
  <c r="AG71" i="1"/>
  <c r="AJ80" i="1"/>
  <c r="AK80" i="1" s="1"/>
  <c r="AJ72" i="1"/>
  <c r="AK72" i="1" s="1"/>
  <c r="C84" i="1"/>
  <c r="C74" i="1"/>
  <c r="AC87" i="1"/>
  <c r="H87" i="1" s="1"/>
  <c r="AO87" i="1" s="1"/>
  <c r="AC79" i="1"/>
  <c r="H79" i="1" s="1"/>
  <c r="AO79" i="1" s="1"/>
  <c r="AG86" i="1"/>
  <c r="AG78" i="1"/>
  <c r="AG70" i="1"/>
  <c r="AJ87" i="1"/>
  <c r="AK87" i="1" s="1"/>
  <c r="AJ79" i="1"/>
  <c r="AK79" i="1" s="1"/>
  <c r="AJ71" i="1"/>
  <c r="AK71" i="1" s="1"/>
  <c r="C83" i="1"/>
  <c r="C73" i="1"/>
  <c r="AC86" i="1"/>
  <c r="H86" i="1" s="1"/>
  <c r="AO86" i="1" s="1"/>
  <c r="AC78" i="1"/>
  <c r="H78" i="1" s="1"/>
  <c r="AO78" i="1" s="1"/>
  <c r="AG85" i="1"/>
  <c r="AG77" i="1"/>
  <c r="AG69" i="1"/>
  <c r="AJ83" i="1"/>
  <c r="AK83" i="1" s="1"/>
  <c r="AC85" i="1"/>
  <c r="H85" i="1" s="1"/>
  <c r="AO85" i="1" s="1"/>
  <c r="AG84" i="1"/>
  <c r="AG76" i="1"/>
  <c r="AJ77" i="1"/>
  <c r="AK77" i="1" s="1"/>
  <c r="AJ85" i="1"/>
  <c r="AK85" i="1" s="1"/>
  <c r="AJ69" i="1"/>
  <c r="AK69" i="1" s="1"/>
  <c r="C81" i="1"/>
  <c r="C71" i="1"/>
  <c r="AC84" i="1"/>
  <c r="H84" i="1" s="1"/>
  <c r="AO84" i="1" s="1"/>
  <c r="AG83" i="1"/>
  <c r="AG75" i="1"/>
  <c r="AJ86" i="1"/>
  <c r="AK86" i="1" s="1"/>
  <c r="AJ78" i="1"/>
  <c r="AK78" i="1" s="1"/>
  <c r="AJ70" i="1"/>
  <c r="AK70" i="1" s="1"/>
  <c r="C82" i="1"/>
  <c r="AJ84" i="1"/>
  <c r="AK84" i="1" s="1"/>
  <c r="AJ76" i="1"/>
  <c r="AK76" i="1" s="1"/>
  <c r="C80" i="1"/>
  <c r="C70" i="1"/>
  <c r="AG82" i="1"/>
  <c r="AG74" i="1"/>
  <c r="C87" i="1"/>
  <c r="C79" i="1"/>
  <c r="AG81" i="1"/>
  <c r="AG73" i="1"/>
  <c r="AA48" i="1"/>
  <c r="AC43" i="1"/>
  <c r="AA57" i="1"/>
  <c r="AA53" i="1"/>
  <c r="AA49" i="1"/>
  <c r="AA45" i="1"/>
  <c r="AA41" i="1"/>
  <c r="AA59" i="1"/>
  <c r="AA51" i="1"/>
  <c r="AA43" i="1"/>
  <c r="AA55" i="1"/>
  <c r="AA47" i="1"/>
  <c r="AD57" i="1"/>
  <c r="AD53" i="1"/>
  <c r="AD49" i="1"/>
  <c r="AD45" i="1"/>
  <c r="AD41" i="1"/>
  <c r="AA40" i="1"/>
  <c r="AC40" i="1"/>
  <c r="G115" i="1" l="1"/>
  <c r="H115" i="1" s="1"/>
  <c r="G114" i="1"/>
  <c r="H114" i="1" s="1"/>
  <c r="G120" i="1"/>
  <c r="G125" i="1"/>
  <c r="G133" i="1"/>
  <c r="G121" i="1"/>
  <c r="G126" i="1"/>
  <c r="G130" i="1"/>
  <c r="G127" i="1"/>
  <c r="G122" i="1"/>
  <c r="G132" i="1"/>
  <c r="G124" i="1"/>
  <c r="G123" i="1"/>
  <c r="K54" i="23" s="1"/>
  <c r="G131"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P84" i="1"/>
  <c r="AQ84" i="1"/>
  <c r="AQ79" i="1"/>
  <c r="AP79" i="1"/>
  <c r="AP85" i="1"/>
  <c r="AQ85" i="1"/>
  <c r="AQ87" i="1"/>
  <c r="AP87" i="1"/>
  <c r="AP80" i="1"/>
  <c r="AQ80" i="1"/>
  <c r="AP82" i="1"/>
  <c r="AQ82" i="1"/>
  <c r="AP83" i="1"/>
  <c r="AQ83" i="1"/>
  <c r="AP86" i="1"/>
  <c r="AQ86" i="1"/>
  <c r="AP81" i="1"/>
  <c r="AQ81" i="1"/>
  <c r="AP78" i="1"/>
  <c r="AQ78" i="1"/>
  <c r="AI68" i="1"/>
  <c r="AN82" i="1"/>
  <c r="AN78" i="1"/>
  <c r="AI77" i="1"/>
  <c r="AI71" i="1"/>
  <c r="AN74" i="1"/>
  <c r="AN73" i="1"/>
  <c r="AN69" i="1"/>
  <c r="AM68" i="1"/>
  <c r="AN70" i="1"/>
  <c r="AN86" i="1"/>
  <c r="AM77" i="1"/>
  <c r="AN77" i="1"/>
  <c r="AM72" i="1"/>
  <c r="AN72" i="1"/>
  <c r="AM81" i="1"/>
  <c r="AN81" i="1"/>
  <c r="AN76" i="1"/>
  <c r="AM76" i="1"/>
  <c r="AN80" i="1"/>
  <c r="AM80" i="1"/>
  <c r="AN71" i="1"/>
  <c r="AM71" i="1"/>
  <c r="AN79" i="1"/>
  <c r="AM79" i="1"/>
  <c r="AM85" i="1"/>
  <c r="AN85" i="1"/>
  <c r="AM83" i="1"/>
  <c r="AN83" i="1"/>
  <c r="AN87" i="1"/>
  <c r="AM87" i="1"/>
  <c r="AM75" i="1"/>
  <c r="AN75" i="1"/>
  <c r="AN84" i="1"/>
  <c r="AM84" i="1"/>
  <c r="AB12" i="1"/>
  <c r="AC69" i="1" s="1"/>
  <c r="H69" i="1" s="1"/>
  <c r="AO69" i="1" s="1"/>
  <c r="AC70" i="1"/>
  <c r="AC71" i="1"/>
  <c r="H71" i="1" s="1"/>
  <c r="AO71" i="1" s="1"/>
  <c r="AC72" i="1"/>
  <c r="H72" i="1" s="1"/>
  <c r="AO72" i="1" s="1"/>
  <c r="AC73" i="1"/>
  <c r="AC74" i="1"/>
  <c r="H74" i="1" s="1"/>
  <c r="AO74" i="1" s="1"/>
  <c r="AC75" i="1"/>
  <c r="H75" i="1" s="1"/>
  <c r="AO75" i="1" s="1"/>
  <c r="AC21" i="1"/>
  <c r="AC22" i="1"/>
  <c r="AC23" i="1"/>
  <c r="AD24" i="1"/>
  <c r="AD81" i="1" s="1"/>
  <c r="AD25" i="1"/>
  <c r="AD82" i="1" s="1"/>
  <c r="AD26" i="1"/>
  <c r="AD83" i="1" s="1"/>
  <c r="AD27" i="1"/>
  <c r="AD84" i="1" s="1"/>
  <c r="AD28" i="1"/>
  <c r="AD85" i="1" s="1"/>
  <c r="AC29" i="1"/>
  <c r="AC30" i="1"/>
  <c r="AB31" i="1"/>
  <c r="AB11" i="1"/>
  <c r="AC68" i="1" s="1"/>
  <c r="H68" i="1" s="1"/>
  <c r="AO68" i="1" s="1"/>
  <c r="Y12" i="1"/>
  <c r="Z69" i="1" s="1"/>
  <c r="Y13" i="1"/>
  <c r="Z70" i="1" s="1"/>
  <c r="Y14" i="1"/>
  <c r="Z71" i="1" s="1"/>
  <c r="Y15" i="1"/>
  <c r="Z72" i="1" s="1"/>
  <c r="Y16" i="1"/>
  <c r="Z73" i="1" s="1"/>
  <c r="Y17" i="1"/>
  <c r="Z74" i="1" s="1"/>
  <c r="Y18" i="1"/>
  <c r="Z75" i="1" s="1"/>
  <c r="Y19" i="1"/>
  <c r="Y20" i="1"/>
  <c r="Y21" i="1"/>
  <c r="Y22" i="1"/>
  <c r="Y23" i="1"/>
  <c r="Y24" i="1"/>
  <c r="Y25" i="1"/>
  <c r="Y26" i="1"/>
  <c r="Y27" i="1"/>
  <c r="Y28" i="1"/>
  <c r="Y29" i="1"/>
  <c r="Y30" i="1"/>
  <c r="Y31" i="1"/>
  <c r="Y11" i="1"/>
  <c r="Z68" i="1" s="1"/>
  <c r="W12" i="1"/>
  <c r="X69" i="1" s="1"/>
  <c r="W13" i="1"/>
  <c r="X70" i="1" s="1"/>
  <c r="W14" i="1"/>
  <c r="X71" i="1" s="1"/>
  <c r="W15" i="1"/>
  <c r="X72" i="1" s="1"/>
  <c r="W16" i="1"/>
  <c r="X73" i="1" s="1"/>
  <c r="W17" i="1"/>
  <c r="X74" i="1" s="1"/>
  <c r="W18" i="1"/>
  <c r="X75" i="1" s="1"/>
  <c r="W19" i="1"/>
  <c r="W20" i="1"/>
  <c r="W21" i="1"/>
  <c r="W22" i="1"/>
  <c r="W23" i="1"/>
  <c r="W24" i="1"/>
  <c r="W25" i="1"/>
  <c r="W26" i="1"/>
  <c r="W27" i="1"/>
  <c r="W28" i="1"/>
  <c r="W29" i="1"/>
  <c r="W30" i="1"/>
  <c r="W31" i="1"/>
  <c r="W11" i="1"/>
  <c r="X68" i="1" s="1"/>
  <c r="U12" i="1"/>
  <c r="U13" i="1"/>
  <c r="U14" i="1"/>
  <c r="U15" i="1"/>
  <c r="U16" i="1"/>
  <c r="U17" i="1"/>
  <c r="U18" i="1"/>
  <c r="V75" i="1" s="1"/>
  <c r="U19" i="1"/>
  <c r="U20" i="1"/>
  <c r="U21" i="1"/>
  <c r="U22" i="1"/>
  <c r="U23" i="1"/>
  <c r="U24" i="1"/>
  <c r="U25" i="1"/>
  <c r="U26" i="1"/>
  <c r="U27" i="1"/>
  <c r="U28" i="1"/>
  <c r="U29" i="1"/>
  <c r="U30" i="1"/>
  <c r="U31" i="1"/>
  <c r="U11" i="1"/>
  <c r="AE41" i="1"/>
  <c r="AF41" i="1" s="1"/>
  <c r="L41" i="1" s="1"/>
  <c r="AE42" i="1"/>
  <c r="AF42" i="1" s="1"/>
  <c r="L42" i="1" s="1"/>
  <c r="AE43" i="1"/>
  <c r="AF43" i="1" s="1"/>
  <c r="L43" i="1" s="1"/>
  <c r="AE60" i="1"/>
  <c r="AF60" i="1" s="1"/>
  <c r="AE40" i="1"/>
  <c r="AF40" i="1" s="1"/>
  <c r="L40" i="1" s="1"/>
  <c r="F128" i="1" l="1"/>
  <c r="F129" i="1"/>
  <c r="F118" i="1"/>
  <c r="G118" i="1"/>
  <c r="K49" i="23" s="1"/>
  <c r="F117" i="1"/>
  <c r="I117" i="1" s="1"/>
  <c r="G117" i="1"/>
  <c r="K45" i="23"/>
  <c r="V74" i="1"/>
  <c r="V73" i="1"/>
  <c r="V72" i="1"/>
  <c r="V71" i="1"/>
  <c r="V70" i="1"/>
  <c r="V69" i="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P72" i="1"/>
  <c r="AQ72" i="1"/>
  <c r="H70" i="1"/>
  <c r="AO70" i="1" s="1"/>
  <c r="AP75" i="1"/>
  <c r="AQ75" i="1"/>
  <c r="AP69" i="1"/>
  <c r="AQ69" i="1"/>
  <c r="AP74" i="1"/>
  <c r="AQ74" i="1"/>
  <c r="AQ68" i="1"/>
  <c r="AP68" i="1"/>
  <c r="AQ71" i="1"/>
  <c r="AP71" i="1"/>
  <c r="H73" i="1"/>
  <c r="AO73" i="1" s="1"/>
  <c r="AC31" i="1"/>
  <c r="AC88" i="1"/>
  <c r="J64" i="23"/>
  <c r="X31" i="1"/>
  <c r="Y88" i="1" s="1"/>
  <c r="X88" i="1"/>
  <c r="X27" i="1"/>
  <c r="Y84" i="1" s="1"/>
  <c r="X84" i="1"/>
  <c r="V31" i="1"/>
  <c r="W88" i="1" s="1"/>
  <c r="V88" i="1"/>
  <c r="AA31" i="1"/>
  <c r="AB88" i="1" s="1"/>
  <c r="Z88" i="1"/>
  <c r="AH27" i="1"/>
  <c r="V84" i="1"/>
  <c r="Z27" i="1"/>
  <c r="AA84" i="1" s="1"/>
  <c r="Z84" i="1"/>
  <c r="AH29" i="1"/>
  <c r="V86" i="1"/>
  <c r="AH21" i="1"/>
  <c r="V78" i="1"/>
  <c r="AA23" i="1"/>
  <c r="AB80" i="1" s="1"/>
  <c r="Z80" i="1"/>
  <c r="AA22" i="1"/>
  <c r="AB79" i="1" s="1"/>
  <c r="Z79" i="1"/>
  <c r="AH28" i="1"/>
  <c r="V85" i="1"/>
  <c r="AA29" i="1"/>
  <c r="AB86" i="1" s="1"/>
  <c r="Z86" i="1"/>
  <c r="AA21" i="1"/>
  <c r="AB78" i="1" s="1"/>
  <c r="Z78" i="1"/>
  <c r="V22" i="1"/>
  <c r="V79" i="1"/>
  <c r="AH26" i="1"/>
  <c r="V83" i="1"/>
  <c r="Z28" i="1"/>
  <c r="AA85" i="1" s="1"/>
  <c r="Z85" i="1"/>
  <c r="AA24" i="1"/>
  <c r="AB81" i="1" s="1"/>
  <c r="Z81" i="1"/>
  <c r="AH25" i="1"/>
  <c r="V82" i="1"/>
  <c r="AA26" i="1"/>
  <c r="AB83" i="1" s="1"/>
  <c r="Z83" i="1"/>
  <c r="AH24" i="1"/>
  <c r="V81" i="1"/>
  <c r="V23" i="1"/>
  <c r="V80" i="1"/>
  <c r="Z25" i="1"/>
  <c r="AA82" i="1" s="1"/>
  <c r="Z82" i="1"/>
  <c r="X26" i="1"/>
  <c r="Y83" i="1" s="1"/>
  <c r="X83" i="1"/>
  <c r="X25" i="1"/>
  <c r="Y82" i="1" s="1"/>
  <c r="X82" i="1"/>
  <c r="X24" i="1"/>
  <c r="Y81" i="1" s="1"/>
  <c r="X81" i="1"/>
  <c r="X23" i="1"/>
  <c r="Y80" i="1" s="1"/>
  <c r="X80" i="1"/>
  <c r="X22" i="1"/>
  <c r="Y79" i="1" s="1"/>
  <c r="X79" i="1"/>
  <c r="X21" i="1"/>
  <c r="X78" i="1"/>
  <c r="X29" i="1"/>
  <c r="Y86" i="1" s="1"/>
  <c r="X86" i="1"/>
  <c r="X28" i="1"/>
  <c r="Y85" i="1" s="1"/>
  <c r="X85" i="1"/>
  <c r="X30" i="1"/>
  <c r="Y87" i="1" s="1"/>
  <c r="X87" i="1"/>
  <c r="V30" i="1"/>
  <c r="V87" i="1"/>
  <c r="AA30" i="1"/>
  <c r="AB87" i="1" s="1"/>
  <c r="Z87" i="1"/>
  <c r="AC28" i="1"/>
  <c r="AD11" i="1"/>
  <c r="V68" i="1"/>
  <c r="AD13" i="1"/>
  <c r="AD70" i="1" s="1"/>
  <c r="AD12" i="1"/>
  <c r="AD69" i="1" s="1"/>
  <c r="AC11" i="1"/>
  <c r="V29" i="1"/>
  <c r="V28" i="1"/>
  <c r="AH12" i="1"/>
  <c r="Z30" i="1"/>
  <c r="AA87" i="1" s="1"/>
  <c r="AA27" i="1"/>
  <c r="AB84" i="1" s="1"/>
  <c r="AA18" i="1"/>
  <c r="AB75" i="1" s="1"/>
  <c r="AA14" i="1"/>
  <c r="AB71" i="1" s="1"/>
  <c r="V25" i="1"/>
  <c r="Z22" i="1"/>
  <c r="AA79" i="1" s="1"/>
  <c r="AC24" i="1"/>
  <c r="Z26" i="1"/>
  <c r="AA83" i="1" s="1"/>
  <c r="V21" i="1"/>
  <c r="Z16" i="1"/>
  <c r="AA73" i="1" s="1"/>
  <c r="AC18" i="1"/>
  <c r="V18" i="1"/>
  <c r="Z15" i="1"/>
  <c r="AA72" i="1" s="1"/>
  <c r="AC17" i="1"/>
  <c r="AC27" i="1"/>
  <c r="AH17" i="1"/>
  <c r="Z12" i="1"/>
  <c r="AA69" i="1" s="1"/>
  <c r="AH13" i="1"/>
  <c r="AA28" i="1"/>
  <c r="AB85" i="1" s="1"/>
  <c r="AD17" i="1"/>
  <c r="AD74" i="1" s="1"/>
  <c r="AD23" i="1"/>
  <c r="AD80" i="1" s="1"/>
  <c r="AH31" i="1"/>
  <c r="AA17" i="1"/>
  <c r="AB74" i="1" s="1"/>
  <c r="V27" i="1"/>
  <c r="V17" i="1"/>
  <c r="X12" i="1"/>
  <c r="Z24" i="1"/>
  <c r="AA81" i="1" s="1"/>
  <c r="Z14" i="1"/>
  <c r="AA71" i="1" s="1"/>
  <c r="AA16" i="1"/>
  <c r="AB73" i="1" s="1"/>
  <c r="AC26" i="1"/>
  <c r="AC16" i="1"/>
  <c r="AD29" i="1"/>
  <c r="AD86" i="1" s="1"/>
  <c r="AD21" i="1"/>
  <c r="AD78" i="1" s="1"/>
  <c r="AH23" i="1"/>
  <c r="AD31" i="1"/>
  <c r="V20" i="1"/>
  <c r="V77" i="1"/>
  <c r="V26" i="1"/>
  <c r="V16" i="1"/>
  <c r="AH18" i="1"/>
  <c r="Z31" i="1"/>
  <c r="AA88" i="1" s="1"/>
  <c r="Z23" i="1"/>
  <c r="AA80" i="1" s="1"/>
  <c r="Z13" i="1"/>
  <c r="AA70" i="1" s="1"/>
  <c r="AA25" i="1"/>
  <c r="AB82" i="1" s="1"/>
  <c r="AA15" i="1"/>
  <c r="AB72" i="1" s="1"/>
  <c r="AD20" i="1"/>
  <c r="AD77" i="1" s="1"/>
  <c r="AC77" i="1"/>
  <c r="H77" i="1" s="1"/>
  <c r="AO77" i="1" s="1"/>
  <c r="AC25" i="1"/>
  <c r="AC15" i="1"/>
  <c r="AD18" i="1"/>
  <c r="AD75" i="1" s="1"/>
  <c r="AH30" i="1"/>
  <c r="AD22" i="1"/>
  <c r="AD79" i="1" s="1"/>
  <c r="V15" i="1"/>
  <c r="AC19" i="1"/>
  <c r="AC76" i="1"/>
  <c r="H76" i="1" s="1"/>
  <c r="AO76" i="1" s="1"/>
  <c r="AC14" i="1"/>
  <c r="AH22" i="1"/>
  <c r="AD30" i="1"/>
  <c r="AD87" i="1" s="1"/>
  <c r="AA20" i="1"/>
  <c r="AB77" i="1" s="1"/>
  <c r="Z77" i="1"/>
  <c r="V24" i="1"/>
  <c r="V14" i="1"/>
  <c r="AH16" i="1"/>
  <c r="Z29" i="1"/>
  <c r="AA86" i="1" s="1"/>
  <c r="Z21" i="1"/>
  <c r="AA78" i="1" s="1"/>
  <c r="AA13" i="1"/>
  <c r="AB70" i="1" s="1"/>
  <c r="AC13" i="1"/>
  <c r="AD16" i="1"/>
  <c r="AD73" i="1" s="1"/>
  <c r="V19" i="1"/>
  <c r="V76" i="1"/>
  <c r="AA19" i="1"/>
  <c r="AB76" i="1" s="1"/>
  <c r="Z76" i="1"/>
  <c r="V13" i="1"/>
  <c r="AH15" i="1"/>
  <c r="Z18" i="1"/>
  <c r="AA75" i="1" s="1"/>
  <c r="AA12" i="1"/>
  <c r="AB69" i="1" s="1"/>
  <c r="AC12" i="1"/>
  <c r="AD15" i="1"/>
  <c r="AD72" i="1" s="1"/>
  <c r="V12" i="1"/>
  <c r="AH14" i="1"/>
  <c r="Z17" i="1"/>
  <c r="AA74" i="1" s="1"/>
  <c r="AD14" i="1"/>
  <c r="AD71" i="1" s="1"/>
  <c r="X13" i="1"/>
  <c r="X18" i="1"/>
  <c r="X17" i="1"/>
  <c r="X16" i="1"/>
  <c r="X20" i="1"/>
  <c r="X77" i="1"/>
  <c r="X15" i="1"/>
  <c r="X19" i="1"/>
  <c r="X76" i="1"/>
  <c r="X14" i="1"/>
  <c r="AH11" i="1"/>
  <c r="AA11" i="1"/>
  <c r="AB68" i="1" s="1"/>
  <c r="X11" i="1"/>
  <c r="Z11" i="1"/>
  <c r="AA68" i="1" s="1"/>
  <c r="V11" i="1"/>
  <c r="AC20" i="1"/>
  <c r="AD19" i="1"/>
  <c r="AD76" i="1" s="1"/>
  <c r="AH19" i="1"/>
  <c r="AH20" i="1"/>
  <c r="Z20" i="1"/>
  <c r="AA77" i="1" s="1"/>
  <c r="Z19" i="1"/>
  <c r="AA76" i="1" s="1"/>
  <c r="Y78" i="1" l="1"/>
  <c r="L21" i="1"/>
  <c r="N21" i="1"/>
  <c r="Y76" i="1"/>
  <c r="L19" i="1"/>
  <c r="N19" i="1"/>
  <c r="L14" i="1"/>
  <c r="N14" i="1"/>
  <c r="L13" i="1"/>
  <c r="N13" i="1"/>
  <c r="L15" i="1"/>
  <c r="N15" i="1"/>
  <c r="Y77" i="1"/>
  <c r="L20" i="1"/>
  <c r="N20" i="1"/>
  <c r="L16" i="1"/>
  <c r="N16" i="1"/>
  <c r="L17" i="1"/>
  <c r="N17" i="1"/>
  <c r="L18" i="1"/>
  <c r="N18" i="1"/>
  <c r="L11" i="1"/>
  <c r="F116" i="1" s="1"/>
  <c r="Y69" i="1"/>
  <c r="L12" i="1"/>
  <c r="N12" i="1"/>
  <c r="Y68" i="1"/>
  <c r="N11" i="1"/>
  <c r="AD68" i="1"/>
  <c r="AP70" i="1"/>
  <c r="AQ70" i="1"/>
  <c r="AP76" i="1"/>
  <c r="AQ76" i="1"/>
  <c r="AP77" i="1"/>
  <c r="AQ77" i="1"/>
  <c r="AE30" i="1"/>
  <c r="W86" i="1"/>
  <c r="AE29" i="1"/>
  <c r="W85" i="1"/>
  <c r="AE28" i="1"/>
  <c r="W84" i="1"/>
  <c r="AE27" i="1"/>
  <c r="W83" i="1"/>
  <c r="AE26" i="1"/>
  <c r="W82" i="1"/>
  <c r="AE25" i="1"/>
  <c r="W81" i="1"/>
  <c r="AE24" i="1"/>
  <c r="W80" i="1"/>
  <c r="AE23" i="1"/>
  <c r="W79" i="1"/>
  <c r="AE22" i="1"/>
  <c r="W78" i="1"/>
  <c r="AE21" i="1"/>
  <c r="W77" i="1"/>
  <c r="AE20" i="1"/>
  <c r="W76" i="1"/>
  <c r="AE19" i="1"/>
  <c r="W75" i="1"/>
  <c r="L75" i="1" s="1"/>
  <c r="AE18" i="1"/>
  <c r="W74" i="1"/>
  <c r="AE17" i="1"/>
  <c r="W72" i="1"/>
  <c r="AE15" i="1"/>
  <c r="W71" i="1"/>
  <c r="AE14" i="1"/>
  <c r="W69" i="1"/>
  <c r="L69" i="1" s="1"/>
  <c r="AE12" i="1"/>
  <c r="G119" i="1" s="1"/>
  <c r="AE11" i="1"/>
  <c r="G116" i="1" s="1"/>
  <c r="AP73" i="1"/>
  <c r="AQ73" i="1"/>
  <c r="W70" i="1"/>
  <c r="AE13" i="1"/>
  <c r="W73" i="1"/>
  <c r="AE16" i="1"/>
  <c r="AD88" i="1"/>
  <c r="I133" i="1"/>
  <c r="J133" i="1" s="1"/>
  <c r="AF23" i="1"/>
  <c r="AF30" i="1"/>
  <c r="W87" i="1"/>
  <c r="AF22" i="1"/>
  <c r="AF29" i="1"/>
  <c r="AF28" i="1"/>
  <c r="AF27" i="1"/>
  <c r="AF26" i="1"/>
  <c r="AF25" i="1"/>
  <c r="AF24" i="1"/>
  <c r="AF21" i="1"/>
  <c r="AF13" i="1"/>
  <c r="AF20" i="1"/>
  <c r="Y70" i="1"/>
  <c r="K64" i="23"/>
  <c r="AF12" i="1"/>
  <c r="AF19" i="1"/>
  <c r="AF18" i="1"/>
  <c r="Y75" i="1"/>
  <c r="AF17" i="1"/>
  <c r="Y74" i="1"/>
  <c r="AF15" i="1"/>
  <c r="Y72" i="1"/>
  <c r="AF14" i="1"/>
  <c r="Y71" i="1"/>
  <c r="AF16" i="1"/>
  <c r="Y73" i="1"/>
  <c r="AF11" i="1"/>
  <c r="W68" i="1"/>
  <c r="F136" i="1" l="1"/>
  <c r="F119" i="1"/>
  <c r="H116" i="1"/>
  <c r="F137" i="1"/>
  <c r="L70" i="1"/>
  <c r="L74" i="1"/>
  <c r="L68" i="1"/>
  <c r="L76" i="1"/>
  <c r="L73" i="1"/>
  <c r="L71" i="1"/>
  <c r="O36" i="1"/>
  <c r="AE69" i="1"/>
  <c r="AE73" i="1"/>
  <c r="M76" i="1"/>
  <c r="AE75" i="1"/>
  <c r="AE79" i="1"/>
  <c r="M79" i="1" s="1"/>
  <c r="AE83" i="1"/>
  <c r="M83" i="1" s="1"/>
  <c r="AE76" i="1"/>
  <c r="AE80" i="1"/>
  <c r="M80" i="1" s="1"/>
  <c r="AE84" i="1"/>
  <c r="M84" i="1" s="1"/>
  <c r="AE87" i="1"/>
  <c r="M87" i="1" s="1"/>
  <c r="AE72" i="1"/>
  <c r="M72" i="1" s="1"/>
  <c r="AE77" i="1"/>
  <c r="M77" i="1" s="1"/>
  <c r="AE81" i="1"/>
  <c r="M81" i="1" s="1"/>
  <c r="AE85" i="1"/>
  <c r="M85" i="1" s="1"/>
  <c r="AE74" i="1"/>
  <c r="AE78" i="1"/>
  <c r="M78" i="1" s="1"/>
  <c r="AE82" i="1"/>
  <c r="M82" i="1" s="1"/>
  <c r="AE86" i="1"/>
  <c r="M86" i="1" s="1"/>
  <c r="AE71" i="1"/>
  <c r="AE70" i="1"/>
  <c r="AE68" i="1"/>
  <c r="H133" i="1"/>
  <c r="C11" i="18"/>
  <c r="C13" i="18"/>
  <c r="C15" i="18"/>
  <c r="C17" i="18"/>
  <c r="C19" i="18"/>
  <c r="C21" i="18"/>
  <c r="C23" i="18"/>
  <c r="C25" i="18"/>
  <c r="C27" i="18"/>
  <c r="C29" i="18"/>
  <c r="C31" i="18"/>
  <c r="C33" i="18"/>
  <c r="C35" i="18"/>
  <c r="C37" i="18"/>
  <c r="C39" i="18"/>
  <c r="C41" i="18"/>
  <c r="C43" i="18"/>
  <c r="C45" i="18"/>
  <c r="C47" i="18"/>
  <c r="C9" i="18"/>
  <c r="M73" i="1" l="1"/>
  <c r="M74" i="1"/>
  <c r="M75" i="1"/>
  <c r="M69" i="1"/>
  <c r="M71" i="1"/>
  <c r="M70" i="1"/>
  <c r="M68" i="1"/>
  <c r="AG14" i="1" l="1"/>
  <c r="AG15" i="1"/>
  <c r="AG16" i="1"/>
  <c r="AG17" i="1"/>
  <c r="AG18" i="1"/>
  <c r="AG20" i="1"/>
  <c r="AF78" i="1"/>
  <c r="AF79" i="1"/>
  <c r="AF80" i="1"/>
  <c r="AF81" i="1"/>
  <c r="AF82" i="1"/>
  <c r="AF83" i="1"/>
  <c r="AF84" i="1"/>
  <c r="AF85" i="1"/>
  <c r="AF86" i="1"/>
  <c r="AF87" i="1"/>
  <c r="D11" i="10"/>
  <c r="AF77" i="1" l="1"/>
  <c r="AF76" i="1"/>
  <c r="J63" i="23"/>
  <c r="AG19" i="1"/>
  <c r="J54" i="23"/>
  <c r="J61" i="23"/>
  <c r="O49" i="4"/>
  <c r="P49" i="4" s="1"/>
  <c r="L98" i="1" s="1"/>
  <c r="O48" i="4"/>
  <c r="P48" i="4" s="1"/>
  <c r="L97" i="1" s="1"/>
  <c r="O47" i="4"/>
  <c r="P47" i="4" s="1"/>
  <c r="L96" i="1" s="1"/>
  <c r="I61" i="1"/>
  <c r="K57" i="23"/>
  <c r="K61" i="23"/>
  <c r="AG12" i="1"/>
  <c r="AG13" i="1"/>
  <c r="AG11" i="1"/>
  <c r="S38" i="4"/>
  <c r="T38" i="4" s="1"/>
  <c r="S37" i="4"/>
  <c r="T37" i="4" s="1"/>
  <c r="S36" i="4"/>
  <c r="T36" i="4" s="1"/>
  <c r="O97" i="1" l="1"/>
  <c r="I97" i="1"/>
  <c r="P97" i="1"/>
  <c r="O98" i="1"/>
  <c r="P98" i="1"/>
  <c r="I98" i="1"/>
  <c r="O96" i="1"/>
  <c r="P96" i="1"/>
  <c r="I96" i="1"/>
  <c r="K63" i="23"/>
  <c r="K62" i="23"/>
  <c r="J60" i="23"/>
  <c r="K55" i="23"/>
  <c r="K58" i="23"/>
  <c r="J56" i="23"/>
  <c r="J59" i="23"/>
  <c r="K48" i="23"/>
  <c r="I123" i="1"/>
  <c r="J123" i="1" s="1"/>
  <c r="H130" i="1"/>
  <c r="H123" i="1"/>
  <c r="L99" i="1" l="1"/>
  <c r="P99" i="1"/>
  <c r="I60" i="1" s="1"/>
  <c r="L60" i="1" s="1"/>
  <c r="O99" i="1"/>
  <c r="K31" i="1" s="1"/>
  <c r="H132" i="1"/>
  <c r="K53" i="23"/>
  <c r="AF73" i="1"/>
  <c r="AF71" i="1"/>
  <c r="AF75" i="1"/>
  <c r="AF72" i="1"/>
  <c r="K56" i="23"/>
  <c r="J53" i="23"/>
  <c r="I99" i="1"/>
  <c r="J52" i="23"/>
  <c r="I88" i="1" l="1"/>
  <c r="L88" i="1" s="1"/>
  <c r="L89" i="1" s="1"/>
  <c r="U88" i="1"/>
  <c r="AE88" i="1" s="1"/>
  <c r="AF31" i="1"/>
  <c r="J51" i="23"/>
  <c r="J46" i="23"/>
  <c r="AF69" i="1"/>
  <c r="J55" i="23"/>
  <c r="J62" i="23"/>
  <c r="AF68" i="1"/>
  <c r="AF74" i="1"/>
  <c r="AF70" i="1"/>
  <c r="J31" i="1"/>
  <c r="AE31" i="1" s="1"/>
  <c r="G129" i="1" s="1"/>
  <c r="K60" i="23" s="1"/>
  <c r="I31" i="1"/>
  <c r="H125" i="1"/>
  <c r="I125" i="1" s="1"/>
  <c r="J125" i="1" s="1"/>
  <c r="H122" i="1"/>
  <c r="J50" i="23"/>
  <c r="J49" i="23"/>
  <c r="J48" i="23"/>
  <c r="J47" i="23"/>
  <c r="J58" i="23"/>
  <c r="H129" i="1" l="1"/>
  <c r="I129" i="1" s="1"/>
  <c r="J129" i="1" s="1"/>
  <c r="P1" i="1"/>
  <c r="G128" i="1"/>
  <c r="H128" i="1" s="1"/>
  <c r="P4" i="1"/>
  <c r="H126" i="1"/>
  <c r="J57" i="23"/>
  <c r="AG88" i="1"/>
  <c r="L31" i="1"/>
  <c r="L32" i="1" s="1"/>
  <c r="H124" i="1"/>
  <c r="H131" i="1"/>
  <c r="I131" i="1" s="1"/>
  <c r="J131" i="1" s="1"/>
  <c r="M31" i="1"/>
  <c r="AG31" i="1" s="1"/>
  <c r="H118" i="1"/>
  <c r="H117" i="1"/>
  <c r="J117" i="1" s="1"/>
  <c r="G136" i="1" l="1"/>
  <c r="G137" i="1"/>
  <c r="K59" i="23"/>
  <c r="AF88" i="1"/>
  <c r="H18" i="23"/>
  <c r="M88" i="1"/>
  <c r="M89" i="1" s="1"/>
  <c r="N31" i="1"/>
  <c r="N32" i="1" s="1"/>
  <c r="P2" i="1" s="1"/>
  <c r="J32" i="1"/>
  <c r="K32" i="1"/>
  <c r="M32" i="1"/>
  <c r="I32" i="1"/>
  <c r="H137" i="1" l="1"/>
  <c r="H136" i="1"/>
  <c r="P25" i="23"/>
  <c r="H26" i="23"/>
  <c r="I35" i="1"/>
  <c r="O35" i="1" s="1"/>
  <c r="I33" i="1"/>
  <c r="O33" i="1" s="1"/>
  <c r="I62" i="1"/>
  <c r="O62" i="1" s="1"/>
  <c r="I34" i="1"/>
  <c r="O34" i="1" s="1"/>
  <c r="K52" i="23"/>
  <c r="F138" i="1" l="1"/>
  <c r="I138" i="1" s="1"/>
  <c r="I137" i="1"/>
  <c r="H45" i="23" s="1"/>
  <c r="I136" i="1"/>
  <c r="L61" i="1"/>
  <c r="H121" i="1"/>
  <c r="I121" i="1" s="1"/>
  <c r="J121" i="1" s="1"/>
  <c r="K50" i="23"/>
  <c r="K47" i="23"/>
  <c r="H127" i="1"/>
  <c r="I127" i="1" s="1"/>
  <c r="J127" i="1" s="1"/>
  <c r="H50" i="23" l="1"/>
  <c r="G49" i="23" s="1"/>
  <c r="H59" i="23"/>
  <c r="P3" i="1"/>
  <c r="H22" i="23" s="1"/>
  <c r="G9" i="23" s="1"/>
  <c r="P5" i="1"/>
  <c r="K51" i="23"/>
  <c r="H120" i="1"/>
  <c r="J115" i="1"/>
  <c r="K46" i="23"/>
  <c r="H119" i="1"/>
  <c r="I119" i="1" s="1"/>
  <c r="J119" i="1" s="1"/>
  <c r="Q25" i="23" l="1"/>
  <c r="L31" i="23"/>
  <c r="E108" i="1"/>
  <c r="J108" i="1" s="1"/>
  <c r="D17" i="11"/>
  <c r="J138" i="1"/>
  <c r="J137" i="1"/>
  <c r="G5" i="23" l="1"/>
  <c r="H48" i="23"/>
  <c r="G47" i="23" s="1"/>
  <c r="J136" i="1"/>
  <c r="H52" i="23"/>
  <c r="H56" i="23"/>
  <c r="H58" i="23"/>
  <c r="H64" i="23"/>
  <c r="I68" i="23"/>
  <c r="I70" i="23"/>
  <c r="H62" i="23"/>
  <c r="H54" i="23"/>
  <c r="H46" i="23"/>
  <c r="H60" i="23"/>
  <c r="H55" i="23"/>
  <c r="I55" i="23" s="1"/>
  <c r="I45" i="23"/>
  <c r="H63" i="23"/>
  <c r="I63" i="23" s="1"/>
  <c r="H53" i="23"/>
  <c r="I53" i="23" s="1"/>
  <c r="H49" i="23"/>
  <c r="I49" i="23" s="1"/>
  <c r="I59" i="23"/>
  <c r="I69" i="23"/>
  <c r="H57" i="23"/>
  <c r="I57" i="23" s="1"/>
  <c r="H61" i="23"/>
  <c r="I61" i="23" s="1"/>
  <c r="I67" i="23"/>
  <c r="H47" i="23"/>
  <c r="H51" i="23"/>
  <c r="I51" i="23" s="1"/>
  <c r="H31" i="23"/>
  <c r="H35" i="23" s="1"/>
  <c r="D9" i="11"/>
  <c r="G43" i="23" l="1"/>
  <c r="G45" i="23"/>
  <c r="H71" i="23"/>
  <c r="I64" i="23"/>
  <c r="G63" i="23"/>
  <c r="I60" i="23"/>
  <c r="G59" i="23"/>
  <c r="I58" i="23"/>
  <c r="G57" i="23"/>
  <c r="I46" i="23"/>
  <c r="I56" i="23"/>
  <c r="G55" i="23"/>
  <c r="I54" i="23"/>
  <c r="G53" i="23"/>
  <c r="I52" i="23"/>
  <c r="G51" i="23"/>
  <c r="I50" i="23"/>
  <c r="I62" i="23"/>
  <c r="G61" i="23"/>
  <c r="I48" i="23"/>
  <c r="I47" i="23"/>
  <c r="E109" i="1"/>
  <c r="J109" i="1" s="1"/>
  <c r="G15" i="23" s="1"/>
  <c r="J2" i="1"/>
  <c r="N50" i="23"/>
  <c r="D27" i="11" s="1"/>
  <c r="N53" i="23"/>
  <c r="D30" i="11" s="1"/>
  <c r="N52" i="23"/>
  <c r="D29" i="11" s="1"/>
  <c r="N49" i="23"/>
  <c r="D26" i="11" s="1"/>
  <c r="N47" i="23"/>
  <c r="D24" i="11" s="1"/>
  <c r="N51" i="23"/>
  <c r="D28" i="11" s="1"/>
  <c r="N55" i="23"/>
  <c r="D32" i="11" s="1"/>
  <c r="N58" i="23"/>
  <c r="D35" i="11" s="1"/>
  <c r="N48" i="23"/>
  <c r="D25" i="11" s="1"/>
  <c r="N59" i="23"/>
  <c r="D36" i="11" s="1"/>
  <c r="N54" i="23"/>
  <c r="D31" i="11" s="1"/>
  <c r="N56" i="23"/>
  <c r="D33" i="11" s="1"/>
  <c r="D5" i="11"/>
  <c r="G7" i="23"/>
  <c r="D7" i="11" s="1"/>
  <c r="D13" i="11"/>
  <c r="E9" i="11"/>
  <c r="G75" i="23" l="1"/>
  <c r="D37" i="11"/>
</calcChain>
</file>

<file path=xl/sharedStrings.xml><?xml version="1.0" encoding="utf-8"?>
<sst xmlns="http://schemas.openxmlformats.org/spreadsheetml/2006/main" count="3077" uniqueCount="1021">
  <si>
    <t>created by Sam Arthur @ FPCR</t>
  </si>
  <si>
    <t>Small Sites Metric</t>
  </si>
  <si>
    <t>Beta Test</t>
  </si>
  <si>
    <t>Release Date:</t>
  </si>
  <si>
    <t>July 2021</t>
  </si>
  <si>
    <t>Version</t>
  </si>
  <si>
    <t>1.0</t>
  </si>
  <si>
    <t>ISBN: 978-1-78354-793-7</t>
  </si>
  <si>
    <t>Authors:</t>
  </si>
  <si>
    <t>Sam Arthur (Associate Ecologist &amp; Biodiversity Net Gain Specialist - FPCR) 
James Hutchinson (Ecologist - FPCR)
Tom Butterworth (Technical Director for Natural Capital and Biodiversity - WSP)
Julia Baker (Biodiversity Technical Specialist - Balfour Beatty Construction Services UK)
Jack Potter (Biodiversity Net Gain Senior Specialist - Natural England)</t>
  </si>
  <si>
    <t>Cell style conventions</t>
  </si>
  <si>
    <t>Option information</t>
  </si>
  <si>
    <t>Enter data</t>
  </si>
  <si>
    <t>Automated equation</t>
  </si>
  <si>
    <t>Result</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</si>
  <si>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</si>
  <si>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Sheet Name</t>
  </si>
  <si>
    <t>Site Details</t>
  </si>
  <si>
    <t>1. Planning authority:</t>
  </si>
  <si>
    <t>Barnsley Metropolitan Borough Council</t>
  </si>
  <si>
    <t>2. Site name:</t>
  </si>
  <si>
    <t>Land off Barnsley Rd, Darton</t>
  </si>
  <si>
    <t>3. Applicant:</t>
  </si>
  <si>
    <t>4. Planning application type:</t>
  </si>
  <si>
    <t>Outline planning consent</t>
  </si>
  <si>
    <t>5. Planning application reference:</t>
  </si>
  <si>
    <t>2021/1571</t>
  </si>
  <si>
    <t>6. Metric completed by (name &amp; job title):</t>
  </si>
  <si>
    <t>Robert Bell - Principal Ecologist</t>
  </si>
  <si>
    <t>7. Date of metric completion:</t>
  </si>
  <si>
    <t>8. Revision number:</t>
  </si>
  <si>
    <t>9. Masterplan document title / drawing number:</t>
  </si>
  <si>
    <t>0280_BARN_108</t>
  </si>
  <si>
    <t>Net Gain Targets</t>
  </si>
  <si>
    <t>10. Targeted % increase in Units</t>
  </si>
  <si>
    <t>12a. Habitat</t>
  </si>
  <si>
    <t>12b. Hedgerow</t>
  </si>
  <si>
    <t>12c. River</t>
  </si>
  <si>
    <t>11. Targeted increase in Units if baseline value is zero - agreed with local planning authority</t>
  </si>
  <si>
    <t>12a. Habitat units</t>
  </si>
  <si>
    <t>12b. Hedgerow units</t>
  </si>
  <si>
    <t>12c. River units</t>
  </si>
  <si>
    <t>For planning authority use only</t>
  </si>
  <si>
    <t>12. Planning authority reviewer:</t>
  </si>
  <si>
    <t>13. Date of planning authority review:</t>
  </si>
  <si>
    <t>Site Name:</t>
  </si>
  <si>
    <t>Desktop Assessment</t>
  </si>
  <si>
    <t>Development</t>
  </si>
  <si>
    <t>14. Select the type of proposed development.
If Other provide details at Q.24 below</t>
  </si>
  <si>
    <t>Residential</t>
  </si>
  <si>
    <r>
      <t>15. Site area (m</t>
    </r>
    <r>
      <rPr>
        <b/>
        <vertAlign val="superscript"/>
        <sz val="14"/>
        <color theme="0"/>
        <rFont val="Calibri"/>
        <family val="2"/>
        <scheme val="minor"/>
      </rPr>
      <t>2</t>
    </r>
    <r>
      <rPr>
        <b/>
        <sz val="14"/>
        <color theme="0"/>
        <rFont val="Calibri"/>
        <family val="2"/>
        <scheme val="minor"/>
      </rPr>
      <t>)</t>
    </r>
  </si>
  <si>
    <t>Designated sites and priority habitats</t>
  </si>
  <si>
    <t>18. Any designated sites on or within 500m of the site?</t>
  </si>
  <si>
    <t>No</t>
  </si>
  <si>
    <t>19. Any priority habitats on or within 500m of the site?</t>
  </si>
  <si>
    <t>20. List the designated sites and/or priority habitats</t>
  </si>
  <si>
    <t>21. Information sources used. See guidance for details of requirements.</t>
  </si>
  <si>
    <t>Site walkover</t>
  </si>
  <si>
    <t>22. Site walkover completed?</t>
  </si>
  <si>
    <t>Walkover completed by qualified ecologist</t>
  </si>
  <si>
    <t>23. Date of site walkover - DD/MM/YY</t>
  </si>
  <si>
    <t>24. Name and job title of who undertook the walkover</t>
  </si>
  <si>
    <t>Additional details</t>
  </si>
  <si>
    <t>25. Any additional information or notes:</t>
  </si>
  <si>
    <t>Supporting Information</t>
  </si>
  <si>
    <t>Baseline Habitat Photos</t>
  </si>
  <si>
    <t>In order to support the assumptions made within the metric please inset the relevant photographs</t>
  </si>
  <si>
    <t>Ref</t>
  </si>
  <si>
    <t>Habitat type</t>
  </si>
  <si>
    <t>Photo 1</t>
  </si>
  <si>
    <t>Photo 2</t>
  </si>
  <si>
    <t>Date taken</t>
  </si>
  <si>
    <t>Retained Units</t>
  </si>
  <si>
    <t>Data beyond this column is automated</t>
  </si>
  <si>
    <r>
      <rPr>
        <b/>
        <u/>
        <sz val="14"/>
        <color theme="1"/>
        <rFont val="Calibri"/>
        <family val="2"/>
        <scheme val="minor"/>
      </rPr>
      <t>Instructions:</t>
    </r>
    <r>
      <rPr>
        <sz val="11"/>
        <color theme="1"/>
        <rFont val="Calibri"/>
        <family val="2"/>
        <scheme val="minor"/>
      </rPr>
      <t xml:space="preserve">
1. Enter data in the Baseline Habitats table
2. Scroll down to enter data for any habitats to be created
3. Scroll down again to enter data for any habitats being enhanced
4. Finally scroll down to enter data about any urban trees
</t>
    </r>
  </si>
  <si>
    <t>Lost Units</t>
  </si>
  <si>
    <t>4. Area Habitats</t>
  </si>
  <si>
    <t>Created Units</t>
  </si>
  <si>
    <t>Enhancement Units</t>
  </si>
  <si>
    <t>Net Change</t>
  </si>
  <si>
    <t>1a. Baseline habitats</t>
  </si>
  <si>
    <t>Habitat</t>
  </si>
  <si>
    <t>C. Strategic significance</t>
  </si>
  <si>
    <t>Areas M sq</t>
  </si>
  <si>
    <t>Baseline results</t>
  </si>
  <si>
    <t>Comments</t>
  </si>
  <si>
    <t>Habitat distinctiveness</t>
  </si>
  <si>
    <t>Habitat condition</t>
  </si>
  <si>
    <t>Ecological connectivity</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</si>
  <si>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</si>
  <si>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</si>
  <si>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</si>
  <si>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</si>
  <si>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</si>
  <si>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</si>
  <si>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</si>
  <si>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</si>
  <si>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</si>
  <si>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</si>
  <si>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</si>
  <si>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</si>
  <si>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</si>
  <si>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</si>
  <si>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</si>
  <si>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</si>
  <si>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</si>
  <si>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 xml:space="preserve">Connectivity </t>
  </si>
  <si>
    <t>Connectivity multiplier</t>
  </si>
  <si>
    <t>Strategic position multiplier</t>
  </si>
  <si>
    <t>Baseline units retained</t>
  </si>
  <si>
    <t>Baseline units to be enhanced</t>
  </si>
  <si>
    <t>Area lost</t>
  </si>
  <si>
    <t>Grassland</t>
  </si>
  <si>
    <t>Modified grassland</t>
  </si>
  <si>
    <t>Within area formally identified in local strategy</t>
  </si>
  <si>
    <t>Heathland and shrub</t>
  </si>
  <si>
    <t>Mixed scrub</t>
  </si>
  <si>
    <t>Urban</t>
  </si>
  <si>
    <t>Developed land; sealed surface</t>
  </si>
  <si>
    <t>Artificial unvegetated, unsealed surface</t>
  </si>
  <si>
    <t>Trees</t>
  </si>
  <si>
    <t>Urban Tree</t>
  </si>
  <si>
    <t>Area not in local strategy</t>
  </si>
  <si>
    <t>Totals (areas excl  Trees)</t>
  </si>
  <si>
    <t>Error Check 1</t>
  </si>
  <si>
    <t>Error Check 2</t>
  </si>
  <si>
    <t>Error Check 3</t>
  </si>
  <si>
    <t>1b. Habitats to be created</t>
  </si>
  <si>
    <t>Condition Assessment</t>
  </si>
  <si>
    <t>D. Strategic significance</t>
  </si>
  <si>
    <t>E. Total Area M sq.</t>
  </si>
  <si>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</si>
  <si>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</si>
  <si>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</si>
  <si>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</si>
  <si>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</si>
  <si>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</si>
  <si>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</si>
  <si>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</si>
  <si>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</si>
  <si>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</si>
  <si>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Other neutral grassland</t>
  </si>
  <si>
    <t>Moderate</t>
  </si>
  <si>
    <t>This will be newly created grassland to comprise a species -rich mix on a low nutrient substrate subject to low intensity management</t>
  </si>
  <si>
    <t>N/A - Other</t>
  </si>
  <si>
    <t>Vegetated garden</t>
  </si>
  <si>
    <t>Poor</t>
  </si>
  <si>
    <t>This will comprise new native scrub species and will completement and further thicken the exitsting scrub habitat already present on the southwest boundary</t>
  </si>
  <si>
    <t>Error Check 4</t>
  </si>
  <si>
    <t>Divider</t>
  </si>
  <si>
    <t>1c. Habitats to be enhanced</t>
  </si>
  <si>
    <t>,</t>
  </si>
  <si>
    <t>Baseline ref</t>
  </si>
  <si>
    <t>Exiting Habitat Type</t>
  </si>
  <si>
    <t>Enhanced Habitat type</t>
  </si>
  <si>
    <t>B. Strategic significance</t>
  </si>
  <si>
    <t>Area Enhanced</t>
  </si>
  <si>
    <t>Enhanced Condition</t>
  </si>
  <si>
    <t>Total Value</t>
  </si>
  <si>
    <t>Net Improvement</t>
  </si>
  <si>
    <t>Baseline Values</t>
  </si>
  <si>
    <t xml:space="preserve"> Distinctiveness change acceptable?</t>
  </si>
  <si>
    <t>Enhanced multipliers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</si>
  <si>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</si>
  <si>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</si>
  <si>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</si>
  <si>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</si>
  <si>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</si>
  <si>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</si>
  <si>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</si>
  <si>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</si>
  <si>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</si>
  <si>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</si>
  <si>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 xml:space="preserve">Baseline ecological connectivity </t>
  </si>
  <si>
    <t>Baseline connectivity</t>
  </si>
  <si>
    <t>Baseline connectivity score</t>
  </si>
  <si>
    <t>Baseline strategic significance category</t>
  </si>
  <si>
    <t>Baseline strategic significance score</t>
  </si>
  <si>
    <t>baseline value of area enhanced</t>
  </si>
  <si>
    <t>Ecological connectivity score</t>
  </si>
  <si>
    <t>Condition enhancement - Time to target condition/years</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</si>
  <si>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</si>
  <si>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</si>
  <si>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</si>
  <si>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</si>
  <si>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</si>
  <si>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</si>
  <si>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</si>
  <si>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</si>
  <si>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</si>
  <si>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</si>
  <si>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</si>
  <si>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</si>
  <si>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</si>
  <si>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</si>
  <si>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</si>
  <si>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</si>
  <si>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</si>
  <si>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</si>
  <si>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</si>
  <si>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</si>
  <si>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</si>
  <si>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</si>
  <si>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</si>
  <si>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</si>
  <si>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</si>
  <si>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</si>
  <si>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</si>
  <si>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</si>
  <si>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</si>
  <si>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</si>
  <si>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</si>
  <si>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Urban tree</t>
  </si>
  <si>
    <t>1.d  - Urban Tree Area Calculator</t>
  </si>
  <si>
    <t>Tree size
(Diameter at breast height)</t>
  </si>
  <si>
    <t>A. Total number of trees pre development</t>
  </si>
  <si>
    <t>B. Number of trees lost to development</t>
  </si>
  <si>
    <t>C. Number of trees retained &amp; enhanced post development</t>
  </si>
  <si>
    <t>D. Number of new trees planted post development</t>
  </si>
  <si>
    <t>Areas</t>
  </si>
  <si>
    <t>Area pre development</t>
  </si>
  <si>
    <t>Area lost to development</t>
  </si>
  <si>
    <t>Area Enhanced by development</t>
  </si>
  <si>
    <t>Area of new trees planted post development</t>
  </si>
  <si>
    <t>Small -DBH 10cm</t>
  </si>
  <si>
    <t>Medium - DBH 30cm</t>
  </si>
  <si>
    <t>Large DBH - 50cm</t>
  </si>
  <si>
    <t>Total</t>
  </si>
  <si>
    <t>Data beyond this row is automated</t>
  </si>
  <si>
    <t>1e . Trading Summary</t>
  </si>
  <si>
    <t>Broad Habitat Type</t>
  </si>
  <si>
    <t xml:space="preserve">Distinctiveness Band </t>
  </si>
  <si>
    <t>1f . Habitat trading assessment</t>
  </si>
  <si>
    <t>Broad habitat types</t>
  </si>
  <si>
    <t>Distinctiveness band</t>
  </si>
  <si>
    <t>Baseline units</t>
  </si>
  <si>
    <t>Onsite provision</t>
  </si>
  <si>
    <t>Net change</t>
  </si>
  <si>
    <t>Trading satisfied?</t>
  </si>
  <si>
    <t>Cropland</t>
  </si>
  <si>
    <t>Low</t>
  </si>
  <si>
    <t>-</t>
  </si>
  <si>
    <t>Medium</t>
  </si>
  <si>
    <t>Intertidal Hard Structures</t>
  </si>
  <si>
    <t>Intertidal sediment</t>
  </si>
  <si>
    <t>Lakes</t>
  </si>
  <si>
    <t>Sparsely vegetated land</t>
  </si>
  <si>
    <t>Woodland and forest</t>
  </si>
  <si>
    <t>Coastal Saltmarsh</t>
  </si>
  <si>
    <t>Medium distinctiveness</t>
  </si>
  <si>
    <t>Low distinctiveness</t>
  </si>
  <si>
    <t>Are there sufficient Medium distinctiveness units to cover low distinctiveness losses?</t>
  </si>
  <si>
    <r>
      <rPr>
        <b/>
        <u/>
        <sz val="14"/>
        <color theme="1"/>
        <rFont val="Calibri"/>
        <family val="2"/>
        <scheme val="minor"/>
      </rPr>
      <t xml:space="preserve">Instructions:
</t>
    </r>
    <r>
      <rPr>
        <sz val="11"/>
        <color theme="1"/>
        <rFont val="Calibri"/>
        <family val="2"/>
        <scheme val="minor"/>
      </rPr>
      <t xml:space="preserve">
1. Enter data in the Baseline Habitats table
2. Scroll down to enter data for any habitats to be created
3. Scroll down again to enter data for any habitats being enhanced
</t>
    </r>
  </si>
  <si>
    <t>5. Hedges &amp; Lines of Trees</t>
  </si>
  <si>
    <t>Length M</t>
  </si>
  <si>
    <t>D. Total Length</t>
  </si>
  <si>
    <t>E. Length retained</t>
  </si>
  <si>
    <t>F. Length enhanced</t>
  </si>
  <si>
    <t>Total  units onsite</t>
  </si>
  <si>
    <t>Length Lost</t>
  </si>
  <si>
    <t>Hedgerow</t>
  </si>
  <si>
    <t>Native Species Rich Hedgerow</t>
  </si>
  <si>
    <t>Totals</t>
  </si>
  <si>
    <t>E. Total Length created  M</t>
  </si>
  <si>
    <t>Units created onsite</t>
  </si>
  <si>
    <t xml:space="preserve">The species mix for the new hedge will include in excess of five native woody species </t>
  </si>
  <si>
    <t>Length Enhanced m</t>
  </si>
  <si>
    <t>hide with styling or alter equation to look for word in adjacent column</t>
  </si>
  <si>
    <t>Line of trees</t>
  </si>
  <si>
    <t>6. Rivers</t>
  </si>
  <si>
    <t>Watercourses</t>
  </si>
  <si>
    <t xml:space="preserve"> Enhanced Habitat type</t>
  </si>
  <si>
    <t>Length Enhanced</t>
  </si>
  <si>
    <t>Headline Results</t>
  </si>
  <si>
    <t>Headline</t>
  </si>
  <si>
    <t>Next steps</t>
  </si>
  <si>
    <t>Total net unit change</t>
  </si>
  <si>
    <t>Habitat units</t>
  </si>
  <si>
    <t>Hedgerow units</t>
  </si>
  <si>
    <t>River units</t>
  </si>
  <si>
    <t>Total net % change</t>
  </si>
  <si>
    <t>Habitats units required to meet target</t>
  </si>
  <si>
    <t>Hedgerow units required to meet target</t>
  </si>
  <si>
    <t>River units required to meet target</t>
  </si>
  <si>
    <t>Off Site Biodiversity Requirement</t>
  </si>
  <si>
    <t>Units Required</t>
  </si>
  <si>
    <t>* based on government cost per unit of:</t>
  </si>
  <si>
    <t>Results</t>
  </si>
  <si>
    <t>Trading Rules</t>
  </si>
  <si>
    <t>Detailed Results</t>
  </si>
  <si>
    <t>Chart 1 - Units change by habitat group</t>
  </si>
  <si>
    <t>Baseline value</t>
  </si>
  <si>
    <t>Post development value</t>
  </si>
  <si>
    <t>Baseline</t>
  </si>
  <si>
    <t>Provision</t>
  </si>
  <si>
    <t>Net Gain targets</t>
  </si>
  <si>
    <t>Chart 2 - proportion of additional units required by broad habitat type</t>
  </si>
  <si>
    <t>hide</t>
  </si>
  <si>
    <t>broad habitat types</t>
  </si>
  <si>
    <t>Distinctiveness band required</t>
  </si>
  <si>
    <r>
      <t xml:space="preserve">Units required offsite for </t>
    </r>
    <r>
      <rPr>
        <b/>
        <u/>
        <sz val="14"/>
        <color theme="0"/>
        <rFont val="Calibri"/>
        <family val="2"/>
        <scheme val="minor"/>
      </rPr>
      <t>no net loss</t>
    </r>
  </si>
  <si>
    <t>Units required offsite for no net loss</t>
  </si>
  <si>
    <t xml:space="preserve">                                                                 Area</t>
  </si>
  <si>
    <t>All Broad Habitat Types</t>
  </si>
  <si>
    <t>Low or higher</t>
  </si>
  <si>
    <t>Medium or higher</t>
  </si>
  <si>
    <t>Habitat Group</t>
  </si>
  <si>
    <t>units required</t>
  </si>
  <si>
    <t>Hedgerows</t>
  </si>
  <si>
    <t xml:space="preserve">   Hedges</t>
  </si>
  <si>
    <t>Hedge or Line of Trees</t>
  </si>
  <si>
    <t>R&amp;S</t>
  </si>
  <si>
    <t>Habitat Type</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</si>
  <si>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</si>
  <si>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</si>
  <si>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</si>
  <si>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</si>
  <si>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</si>
  <si>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</si>
  <si>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</si>
  <si>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</si>
  <si>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</si>
  <si>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</si>
  <si>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</si>
  <si>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</si>
  <si>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</si>
  <si>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&amp; nectar</t>
  </si>
  <si>
    <t>Arable field margins tussocky</t>
  </si>
  <si>
    <t>Cereal crops</t>
  </si>
  <si>
    <t>Same distinctiveness or better habitat required</t>
  </si>
  <si>
    <t>Cereal crops Other</t>
  </si>
  <si>
    <t>Cereal crops winter stubble</t>
  </si>
  <si>
    <t>Horticulture</t>
  </si>
  <si>
    <t>Intensive orchards</t>
  </si>
  <si>
    <t>Non-cereal crops</t>
  </si>
  <si>
    <t>Temporary grass and clover leys</t>
  </si>
  <si>
    <t>Bracken</t>
  </si>
  <si>
    <t>Other lowland acid grassland</t>
  </si>
  <si>
    <t>Upland acid grassland</t>
  </si>
  <si>
    <t>Blackthorn scrub</t>
  </si>
  <si>
    <t>Bramble scrub</t>
  </si>
  <si>
    <t>Gorse scrub</t>
  </si>
  <si>
    <t>Hawthorn scrub</t>
  </si>
  <si>
    <t>Hazel scrub</t>
  </si>
  <si>
    <t>Rhododendron scrub</t>
  </si>
  <si>
    <t>Sea buckthorn scrub (other)</t>
  </si>
  <si>
    <t>Ornamental lake or pond</t>
  </si>
  <si>
    <t>High</t>
  </si>
  <si>
    <t>Ponds (Non- Priority Habitat)</t>
  </si>
  <si>
    <t>Reservoirs</t>
  </si>
  <si>
    <t>Ruderal/Ephemeral</t>
  </si>
  <si>
    <t>Other inland rock and scree</t>
  </si>
  <si>
    <t>Allotments</t>
  </si>
  <si>
    <t>V.Low</t>
  </si>
  <si>
    <t>Compensation Not Required</t>
  </si>
  <si>
    <t>Bioswale</t>
  </si>
  <si>
    <t>Brown roof</t>
  </si>
  <si>
    <t>Built linear features</t>
  </si>
  <si>
    <t>Cemeteries and churchyards</t>
  </si>
  <si>
    <t>Intensive green roof</t>
  </si>
  <si>
    <t>Facade-bound green wall</t>
  </si>
  <si>
    <t>Ground based green wall</t>
  </si>
  <si>
    <t>Ground level planters</t>
  </si>
  <si>
    <t>Extensive green roof</t>
  </si>
  <si>
    <t>Introduced shrub</t>
  </si>
  <si>
    <t>Rain garden</t>
  </si>
  <si>
    <t>Sand pit quarry or open cast mine</t>
  </si>
  <si>
    <t>Sustainable urban drainage feature</t>
  </si>
  <si>
    <t>Un-vegetated garden</t>
  </si>
  <si>
    <t>Vacant/derelict land/ bareground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</si>
  <si>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</si>
  <si>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</si>
  <si>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</si>
  <si>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</si>
  <si>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</si>
  <si>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</si>
  <si>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</si>
  <si>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</si>
  <si>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</si>
  <si>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</si>
  <si>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</si>
  <si>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</si>
  <si>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</si>
  <si>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</si>
  <si>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</si>
  <si>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</si>
  <si>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</si>
  <si>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Native Hedgerow - Associated with bank or ditch</t>
  </si>
  <si>
    <t>Native Hedgerow with trees</t>
  </si>
  <si>
    <t>Native Hedgerow</t>
  </si>
  <si>
    <t>Hedge Ornamental Non Native</t>
  </si>
  <si>
    <t>Line of Trees</t>
  </si>
  <si>
    <t>Line of Trees (Ecologically Valuable)</t>
  </si>
  <si>
    <t>Line of Trees - Associated with bank or ditch</t>
  </si>
  <si>
    <t>Line of Trees (Ecologically Valuable) - with Bank or Ditch</t>
  </si>
  <si>
    <t>Ditches</t>
  </si>
  <si>
    <t>Rivers</t>
  </si>
  <si>
    <t>Canals</t>
  </si>
  <si>
    <t>Culvert</t>
  </si>
  <si>
    <t>Condition</t>
  </si>
  <si>
    <t>Temporal Multipliers</t>
  </si>
  <si>
    <t>Enhancement Rules</t>
  </si>
  <si>
    <t>Baseline Default Condition</t>
  </si>
  <si>
    <t>Creation Condition Options</t>
  </si>
  <si>
    <t>Enhancment Habitat options</t>
  </si>
  <si>
    <t>EnhancementDefault Condition</t>
  </si>
  <si>
    <t>Years To Target Condition Creation - Moderate</t>
  </si>
  <si>
    <t>Years To Target Condition Creation - Good</t>
  </si>
  <si>
    <t>Years To Target Condition Creation - Other</t>
  </si>
  <si>
    <t>Time To Target Condition Enhancement - Moderate to Good</t>
  </si>
  <si>
    <t>Time To Target Distinctivenss Enhancement - Low to Default Condition</t>
  </si>
  <si>
    <t>Good</t>
  </si>
  <si>
    <t>Other</t>
  </si>
  <si>
    <t>N/A -Agricultural</t>
  </si>
  <si>
    <t>Enhancement not possible</t>
  </si>
  <si>
    <t>Not Possible</t>
  </si>
  <si>
    <t>Arable field margins cultivated annually, Arable field margins game bird mix, Arable field margins pollen &amp; nectar, Arable field margins tussocky, Cereal crops winter stubble</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</si>
  <si>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</si>
  <si>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</si>
  <si>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</si>
  <si>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Condition enhancement only</t>
  </si>
  <si>
    <t>Moderate, Good</t>
  </si>
  <si>
    <t>Modified grassland, Other lowland acid grassland, Other neutral grassland, Upland acid grassland</t>
  </si>
  <si>
    <t>Condition enhancement or enhancement to any medium distinctiveness grassland habitat</t>
  </si>
  <si>
    <t>Enhancement Not Possible</t>
  </si>
  <si>
    <t>Ornamental lake or pond, Ponds (Non- Priority Habitat)</t>
  </si>
  <si>
    <t>Condition enhancement or Enhancement to Non-priority pond only</t>
  </si>
  <si>
    <t>Façade-bound green wall</t>
  </si>
  <si>
    <t>Extensive green roof, brown roof</t>
  </si>
  <si>
    <t>Condition enhancement possible, enhancement to Extensive green roof or brown roof only</t>
  </si>
  <si>
    <t>Condition enhancement not possible, enhancement to Sparsely vegetated land - Other inland rock and scree only</t>
  </si>
  <si>
    <t>30+</t>
  </si>
  <si>
    <t>TBC</t>
  </si>
  <si>
    <t>Other Scot's Pine woodland, Other woodland; broadleaved, Other woodland; mixed</t>
  </si>
  <si>
    <t>Condition enhancement or enhancement to any medium distinctiveness woodland</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</si>
  <si>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</si>
  <si>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</si>
  <si>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</si>
  <si>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</si>
  <si>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</si>
  <si>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</si>
  <si>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</si>
  <si>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Native Hedgerow, Native Species Rich Hedgerow, Native Hedgerow - Associated with bank or ditch, Native Hedgerow with trees</t>
  </si>
  <si>
    <t>Condition enhancement or enhancement to any medium distinctiveness hedgerow</t>
  </si>
  <si>
    <t>Native Species Rich Hedgerow, Native Hedgerow - Associated with bank or ditch, Native Hedgerow with trees, Line of Trees (Ecologically Valuable) - with Bank or Ditch, Line of Trees (Ecologically Valuable)</t>
  </si>
  <si>
    <t>Condition enhancement or enhancement to any medium distinctiveness hedgerow or line of trees with trees - i.e should retain trees</t>
  </si>
  <si>
    <t>Canals, Ditches</t>
  </si>
  <si>
    <t>Enhancement to Canal or Ditch</t>
  </si>
  <si>
    <t>Broadhabitattype</t>
  </si>
  <si>
    <t>Heathlandandshrub</t>
  </si>
  <si>
    <t>Intertidalhardstructures</t>
  </si>
  <si>
    <t>Intertidalsediment</t>
  </si>
  <si>
    <t>Sparselyvegetatedland</t>
  </si>
  <si>
    <t>Woodlandandforest</t>
  </si>
  <si>
    <t>Lineoftrees</t>
  </si>
  <si>
    <t>CoastalSaltmarsh</t>
  </si>
  <si>
    <t>Linear features</t>
  </si>
  <si>
    <t>difficulty</t>
  </si>
  <si>
    <t>connectivity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</si>
  <si>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</si>
  <si>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</si>
  <si>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</si>
  <si>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</si>
  <si>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</si>
  <si>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</si>
  <si>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</si>
  <si>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</si>
  <si>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</si>
  <si>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</si>
  <si>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</si>
  <si>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</si>
  <si>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</si>
  <si>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</si>
  <si>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</si>
  <si>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</si>
  <si>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</si>
  <si>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</si>
  <si>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</si>
  <si>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</si>
  <si>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</si>
  <si>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</si>
  <si>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</si>
  <si>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</si>
  <si>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</si>
  <si>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</si>
  <si>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</si>
  <si>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</si>
  <si>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</si>
  <si>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</si>
  <si>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</si>
  <si>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</si>
  <si>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</si>
  <si>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N/A</t>
  </si>
  <si>
    <t>Assessment not appropriate</t>
  </si>
  <si>
    <t>Amber Valley Borough Council</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</si>
  <si>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</si>
  <si>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</si>
  <si>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</si>
  <si>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</si>
  <si>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</si>
  <si>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</si>
  <si>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</si>
  <si>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</si>
  <si>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</si>
  <si>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</si>
  <si>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Distinctiveness categories</t>
  </si>
  <si>
    <t>Condition categories</t>
  </si>
  <si>
    <t>Temporal multipliers</t>
  </si>
  <si>
    <t>Removal/variation of conditions</t>
  </si>
  <si>
    <t>Distinctiveness Category</t>
  </si>
  <si>
    <t>Distinctiveness Score</t>
  </si>
  <si>
    <t>Suggested Action</t>
  </si>
  <si>
    <t>Condition Multiplier</t>
  </si>
  <si>
    <t>Condition Assessment Score</t>
  </si>
  <si>
    <t>Year</t>
  </si>
  <si>
    <t>% of original unit</t>
  </si>
  <si>
    <t>Time to target Multiplier</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</si>
  <si>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</si>
  <si>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</si>
  <si>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</si>
  <si>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</si>
  <si>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</si>
  <si>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</si>
  <si>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</si>
  <si>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</si>
  <si>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</si>
  <si>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</si>
  <si>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</si>
  <si>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</si>
  <si>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</si>
  <si>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</si>
  <si>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</si>
  <si>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</si>
  <si>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</si>
  <si>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</si>
  <si>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</si>
  <si>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</si>
  <si>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</si>
  <si>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</si>
  <si>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</si>
  <si>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</si>
  <si>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</si>
  <si>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</si>
  <si>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</si>
  <si>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</si>
  <si>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</si>
  <si>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</si>
  <si>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</si>
  <si>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</si>
  <si>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</si>
  <si>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</si>
  <si>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</si>
  <si>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</si>
  <si>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</si>
  <si>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</si>
  <si>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</si>
  <si>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</si>
  <si>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</si>
  <si>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</si>
  <si>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</si>
  <si>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</si>
  <si>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</si>
  <si>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</si>
  <si>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</si>
  <si>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</si>
  <si>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</si>
  <si>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</si>
  <si>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</si>
  <si>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</si>
  <si>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</si>
  <si>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</si>
  <si>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</si>
  <si>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</si>
  <si>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</si>
  <si>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</si>
  <si>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</si>
  <si>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</si>
  <si>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</si>
  <si>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</si>
  <si>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</si>
  <si>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</si>
  <si>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</si>
  <si>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</si>
  <si>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</si>
  <si>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</si>
  <si>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</si>
  <si>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</si>
  <si>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</si>
  <si>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</si>
  <si>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</si>
  <si>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</si>
  <si>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</si>
  <si>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</si>
  <si>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</si>
  <si>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</si>
  <si>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</si>
  <si>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</si>
  <si>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</si>
  <si>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</si>
  <si>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</si>
  <si>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</si>
  <si>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</si>
  <si>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</si>
  <si>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</si>
  <si>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</si>
  <si>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</si>
  <si>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</si>
  <si>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</si>
  <si>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</si>
  <si>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</si>
  <si>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</si>
  <si>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</si>
  <si>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</si>
  <si>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</si>
  <si>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</si>
  <si>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</si>
  <si>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</si>
  <si>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</si>
  <si>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</si>
  <si>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</si>
  <si>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</si>
  <si>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</si>
  <si>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</si>
  <si>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</si>
  <si>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</si>
  <si>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</si>
  <si>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</si>
  <si>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</si>
  <si>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</si>
  <si>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</si>
  <si>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</si>
  <si>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</si>
  <si>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</si>
  <si>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</si>
  <si>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</si>
  <si>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</si>
  <si>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</si>
  <si>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</si>
  <si>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</si>
  <si>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</si>
  <si>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</si>
  <si>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</si>
  <si>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</si>
  <si>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</si>
  <si>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</si>
  <si>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</si>
  <si>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</si>
  <si>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</si>
  <si>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</si>
  <si>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</si>
  <si>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</si>
  <si>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</si>
  <si>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</si>
  <si>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</si>
  <si>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</si>
  <si>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</si>
  <si>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</si>
  <si>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</si>
  <si>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</si>
  <si>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</si>
  <si>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</si>
  <si>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</si>
  <si>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</si>
  <si>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</si>
  <si>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</si>
  <si>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</si>
  <si>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</si>
  <si>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</si>
  <si>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</si>
  <si>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</si>
  <si>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</si>
  <si>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</si>
  <si>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</si>
  <si>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</si>
  <si>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</si>
  <si>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</si>
  <si>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</si>
  <si>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</si>
  <si>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</si>
  <si>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</si>
  <si>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</si>
  <si>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</si>
  <si>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</si>
  <si>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</si>
  <si>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</si>
  <si>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</si>
  <si>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</si>
  <si>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</si>
  <si>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</si>
  <si>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</si>
  <si>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</si>
  <si>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</si>
  <si>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</si>
  <si>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</si>
  <si>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</si>
  <si>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</si>
  <si>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</si>
  <si>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</si>
  <si>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</si>
  <si>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</si>
  <si>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</si>
  <si>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</si>
  <si>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</si>
  <si>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</si>
  <si>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</si>
  <si>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</si>
  <si>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</si>
  <si>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</si>
  <si>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</si>
  <si>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</si>
  <si>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</si>
  <si>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</si>
  <si>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</si>
  <si>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</si>
  <si>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</si>
  <si>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</si>
  <si>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</si>
  <si>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</si>
  <si>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</si>
  <si>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</si>
  <si>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</si>
  <si>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</si>
  <si>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</si>
  <si>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</si>
  <si>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</si>
  <si>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</si>
  <si>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</si>
  <si>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</si>
  <si>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</si>
  <si>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</si>
  <si>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</si>
  <si>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</si>
  <si>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</si>
  <si>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</si>
  <si>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</si>
  <si>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</si>
  <si>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</si>
  <si>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</si>
  <si>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</si>
  <si>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</si>
  <si>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</si>
  <si>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</si>
  <si>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</si>
  <si>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</si>
  <si>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</si>
  <si>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</si>
  <si>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</si>
  <si>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</si>
  <si>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</si>
  <si>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</si>
  <si>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</si>
  <si>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</si>
  <si>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</si>
  <si>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</si>
  <si>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</si>
  <si>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</si>
  <si>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</si>
  <si>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</si>
  <si>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</si>
  <si>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</si>
  <si>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</si>
  <si>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</si>
  <si>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</si>
  <si>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</si>
  <si>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</si>
  <si>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</si>
  <si>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</si>
  <si>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</si>
  <si>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</si>
  <si>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</si>
  <si>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</si>
  <si>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</si>
  <si>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</si>
  <si>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</si>
  <si>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</si>
  <si>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</si>
  <si>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</si>
  <si>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</si>
  <si>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</si>
  <si>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</si>
  <si>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</si>
  <si>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</si>
  <si>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</si>
  <si>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</si>
  <si>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</si>
  <si>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</si>
  <si>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</si>
  <si>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</si>
  <si>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</si>
  <si>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</si>
  <si>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</si>
  <si>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</si>
  <si>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</si>
  <si>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</si>
  <si>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</si>
  <si>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</si>
  <si>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</si>
  <si>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</si>
  <si>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</si>
  <si>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</si>
  <si>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</si>
  <si>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</si>
  <si>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</si>
  <si>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</si>
  <si>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</si>
  <si>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</si>
  <si>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</si>
  <si>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</si>
  <si>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</si>
  <si>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</si>
  <si>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</si>
  <si>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</si>
  <si>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</si>
  <si>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</si>
  <si>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</si>
  <si>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</si>
  <si>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</si>
  <si>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</si>
  <si>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</si>
  <si>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</si>
  <si>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</si>
  <si>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</si>
  <si>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</si>
  <si>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</si>
  <si>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</si>
  <si>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</si>
  <si>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</si>
  <si>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</si>
  <si>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</si>
  <si>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</si>
  <si>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</si>
  <si>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</si>
  <si>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</si>
  <si>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</si>
  <si>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</si>
  <si>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</si>
  <si>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</si>
  <si>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</si>
  <si>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</si>
  <si>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</si>
  <si>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</si>
  <si>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</si>
  <si>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</si>
  <si>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</si>
  <si>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</si>
  <si>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</si>
  <si>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</si>
  <si>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</si>
  <si>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</si>
  <si>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</si>
  <si>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</si>
  <si>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</si>
  <si>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</si>
  <si>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</si>
  <si>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</si>
  <si>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</si>
  <si>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</si>
  <si>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</si>
  <si>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</si>
  <si>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</si>
  <si>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</si>
  <si>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</si>
  <si>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</si>
  <si>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</si>
  <si>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</si>
  <si>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</si>
  <si>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</si>
  <si>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</si>
  <si>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</si>
  <si>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</si>
  <si>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</si>
  <si>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</si>
  <si>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</si>
  <si>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</si>
  <si>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</si>
  <si>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</si>
  <si>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</si>
  <si>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</si>
  <si>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</si>
  <si>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</si>
  <si>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</si>
  <si>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</si>
  <si>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</si>
  <si>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</si>
  <si>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</si>
  <si>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</si>
  <si>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</si>
  <si>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</si>
  <si>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</si>
  <si>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</si>
  <si>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</si>
  <si>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</si>
  <si>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</si>
  <si>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</si>
  <si>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</si>
  <si>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</si>
  <si>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</si>
  <si>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</si>
  <si>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</si>
  <si>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</si>
  <si>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</si>
  <si>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</si>
  <si>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</si>
  <si>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</si>
  <si>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</si>
  <si>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 c1a</t>
  </si>
  <si>
    <t>Arable - c1c5</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</si>
  <si>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</si>
  <si>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</si>
  <si>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</si>
  <si>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</si>
  <si>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</si>
  <si>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</si>
  <si>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</si>
  <si>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</si>
  <si>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</si>
  <si>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</si>
  <si>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</si>
  <si>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</si>
  <si>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</si>
  <si>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</si>
  <si>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</si>
  <si>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</si>
  <si>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</si>
  <si>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</si>
  <si>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</si>
  <si>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</si>
  <si>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</si>
  <si>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Native Hedge</t>
  </si>
  <si>
    <t>Native Hedge - h2NE5</t>
  </si>
  <si>
    <t>Native Hedge - h2NE2</t>
  </si>
  <si>
    <t>Native Hedge - h2NE9</t>
  </si>
  <si>
    <t>Native Hedge with Standard Trees</t>
  </si>
  <si>
    <t>Native Hedge with Standard Trees - h2NE4</t>
  </si>
  <si>
    <t>Native Hedge with Standard Trees - h2NE1</t>
  </si>
  <si>
    <t>Native Species Rich Hedgerow with trees</t>
  </si>
  <si>
    <t>Native Hedge with Standard Trees - h2NE8</t>
  </si>
  <si>
    <t>Native Hedgerow with trees - Associated with bank or ditch</t>
  </si>
  <si>
    <t>Ornamental Hedge</t>
  </si>
  <si>
    <t>Ornamental Hedge - h2NE3</t>
  </si>
  <si>
    <t>Standard Trees</t>
  </si>
  <si>
    <t>Standard Trees - w1g6NE4</t>
  </si>
  <si>
    <t>Standard Trees - w1g6NE2</t>
  </si>
  <si>
    <t>Standard Trees - w1g6NE1</t>
  </si>
  <si>
    <t>Standard Trees - w1g6NE3</t>
  </si>
  <si>
    <t>INTERTIDAL TBC</t>
  </si>
  <si>
    <t>INTERTIDAL TBC - ART_A1.4</t>
  </si>
  <si>
    <t>Artificial features of hard structures</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</si>
  <si>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</si>
  <si>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</si>
  <si>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</si>
  <si>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</si>
  <si>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</si>
  <si>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</si>
  <si>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</si>
  <si>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</si>
  <si>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</si>
  <si>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</si>
  <si>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</si>
  <si>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</si>
  <si>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</si>
  <si>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</si>
  <si>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</si>
  <si>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</si>
  <si>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</si>
  <si>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</si>
  <si>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</si>
  <si>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Rivers &amp; Streams</t>
  </si>
  <si>
    <t>Canal</t>
  </si>
  <si>
    <t>Canal - r1eNE1</t>
  </si>
  <si>
    <t>Culvert - rNE1</t>
  </si>
  <si>
    <t>Ditch</t>
  </si>
  <si>
    <t>Ditch - r1eNE2</t>
  </si>
  <si>
    <t>Ruderals</t>
  </si>
  <si>
    <t>Ruderals - 17</t>
  </si>
  <si>
    <t>Scree</t>
  </si>
  <si>
    <t>Scree - s1d</t>
  </si>
  <si>
    <t>Allotments - 910</t>
  </si>
  <si>
    <t>Bareground</t>
  </si>
  <si>
    <t>Bareground - 350</t>
  </si>
  <si>
    <t>Biodiverse Roof</t>
  </si>
  <si>
    <t>Biodiverse Roof - 1113</t>
  </si>
  <si>
    <t>Bioswale - 1191</t>
  </si>
  <si>
    <t>Cemetery</t>
  </si>
  <si>
    <t>Cemetery - 800</t>
  </si>
  <si>
    <t>Garden</t>
  </si>
  <si>
    <t>Garden - 231</t>
  </si>
  <si>
    <t>Garden - 232</t>
  </si>
  <si>
    <t>Green Roof</t>
  </si>
  <si>
    <t>Green Roof - 1111</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</si>
  <si>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</si>
  <si>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</si>
  <si>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</si>
  <si>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</si>
  <si>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</si>
  <si>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</si>
  <si>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</si>
  <si>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</si>
  <si>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</si>
  <si>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</si>
  <si>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</si>
  <si>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</si>
  <si>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</si>
  <si>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</si>
  <si>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</si>
  <si>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</si>
  <si>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</si>
  <si>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Standard Tree</t>
  </si>
  <si>
    <t>Standard Tree - 1170</t>
  </si>
  <si>
    <t>SUDS</t>
  </si>
  <si>
    <t>SUDS - 1192</t>
  </si>
  <si>
    <t>SUDS - 1119</t>
  </si>
  <si>
    <t>Wall</t>
  </si>
  <si>
    <t>Wall - u1e</t>
  </si>
  <si>
    <t>Conifer Woodland</t>
  </si>
  <si>
    <t>Conifer Woodland - w2c</t>
  </si>
  <si>
    <t>Conifer Woodland - w2b</t>
  </si>
  <si>
    <t>Native Broadleaved Woodland</t>
  </si>
  <si>
    <t>Native Broadleaved Woodland - w1g</t>
  </si>
  <si>
    <t>Native Mixed Woodland</t>
  </si>
  <si>
    <t>Native Mixed Woodland - w1h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</si>
</sst>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0.00000"/>
  </numFmts>
  <fonts count="53">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4"/>
      <color theme="0"/>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u/>
      <sz val="16"/>
      <color theme="1"/>
      <name val="Calibri"/>
      <family val="2"/>
      <scheme val="minor"/>
    </font>
    <font>
      <sz val="11"/>
      <color rgb="FFF2F0D9"/>
      <name val="Calibri"/>
      <family val="2"/>
      <scheme val="minor"/>
    </font>
    <font>
      <b/>
      <u/>
      <sz val="14"/>
      <color theme="1"/>
      <name val="Calibri"/>
      <family val="2"/>
      <scheme val="minor"/>
    </font>
    <font>
      <sz val="14"/>
      <color rgb="FFFF0000"/>
      <name val="Calibri"/>
      <family val="2"/>
      <scheme val="minor"/>
    </font>
    <font>
      <sz val="14"/>
      <color rgb="FFF2F0D9"/>
      <name val="Calibri"/>
      <family val="2"/>
      <scheme val="minor"/>
    </font>
    <font>
      <sz val="12"/>
      <color rgb="FFF2F0D9"/>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b/>
      <u/>
      <sz val="14"/>
      <color theme="0"/>
      <name val="Calibri"/>
      <family val="2"/>
      <scheme val="minor"/>
    </font>
  </fonts>
  <fills count="29">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rgb="FFF49920"/>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92D050"/>
        <bgColor indexed="64"/>
      </patternFill>
    </fill>
    <fill>
      <patternFill patternType="solid">
        <fgColor theme="7" tint="-0.499984740745262"/>
        <bgColor indexed="64"/>
      </patternFill>
    </fill>
    <fill>
      <patternFill patternType="solid">
        <fgColor rgb="FF00B0F0"/>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style="thin">
        <color indexed="64"/>
      </left>
      <right style="thin">
        <color indexed="64"/>
      </right>
      <top style="thick">
        <color indexed="64"/>
      </top>
      <bottom style="thin">
        <color indexed="64"/>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4" fillId="0" borderId="0"/>
    <xf numFmtId="0" fontId="7" fillId="0" borderId="0"/>
    <xf numFmtId="0" fontId="7" fillId="0" borderId="0"/>
    <xf numFmtId="0" fontId="21"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1" fillId="18"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4" fillId="0" borderId="0" applyFont="0" applyFill="0" applyBorder="0" applyAlignment="0" applyProtection="0"/>
  </cellStyleXfs>
  <cellXfs count="973">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6"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0" xfId="0" applyAlignment="1">
      <alignment wrapText="1"/>
    </xf>
    <xf numFmtId="0" fontId="0" fillId="0" borderId="18" xfId="0" applyBorder="1"/>
    <xf numFmtId="0" fontId="0" fillId="0" borderId="18" xfId="0" applyBorder="1" applyAlignment="1">
      <alignment horizontal="center" vertical="top"/>
    </xf>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3" borderId="0" xfId="0" applyFill="1"/>
    <xf numFmtId="0" fontId="1" fillId="13" borderId="0" xfId="0" applyFont="1" applyFill="1"/>
    <xf numFmtId="0" fontId="20" fillId="13" borderId="0" xfId="0" applyFont="1" applyFill="1"/>
    <xf numFmtId="2" fontId="0" fillId="13" borderId="0" xfId="0" applyNumberFormat="1" applyFill="1" applyAlignment="1">
      <alignment vertical="center"/>
    </xf>
    <xf numFmtId="0" fontId="0" fillId="13" borderId="0" xfId="0" applyFill="1" applyAlignment="1">
      <alignment vertical="center"/>
    </xf>
    <xf numFmtId="0" fontId="0" fillId="13" borderId="0" xfId="0" applyFill="1" applyAlignment="1">
      <alignment wrapText="1"/>
    </xf>
    <xf numFmtId="0" fontId="25" fillId="4" borderId="48" xfId="1" applyFont="1" applyFill="1" applyBorder="1" applyAlignment="1" applyProtection="1">
      <alignment horizontal="center" vertical="center"/>
      <protection locked="0"/>
    </xf>
    <xf numFmtId="0" fontId="25" fillId="4" borderId="49" xfId="1" applyFont="1" applyFill="1" applyBorder="1" applyAlignment="1" applyProtection="1">
      <alignment horizontal="center" vertical="center"/>
      <protection locked="0"/>
    </xf>
    <xf numFmtId="2" fontId="25" fillId="4" borderId="26" xfId="1" applyNumberFormat="1" applyFont="1" applyFill="1" applyBorder="1" applyAlignment="1" applyProtection="1">
      <alignment horizontal="center" vertical="center"/>
      <protection locked="0"/>
    </xf>
    <xf numFmtId="2" fontId="25" fillId="4" borderId="29" xfId="1" applyNumberFormat="1" applyFont="1" applyFill="1" applyBorder="1" applyAlignment="1" applyProtection="1">
      <alignment horizontal="center" vertical="center"/>
      <protection locked="0"/>
    </xf>
    <xf numFmtId="2" fontId="25" fillId="4" borderId="14" xfId="1" applyNumberFormat="1" applyFont="1" applyFill="1" applyBorder="1" applyAlignment="1" applyProtection="1">
      <alignment horizontal="center" vertical="center"/>
      <protection locked="0"/>
    </xf>
    <xf numFmtId="0" fontId="23" fillId="5" borderId="11" xfId="0" applyFont="1" applyFill="1" applyBorder="1" applyAlignment="1">
      <alignment horizontal="center" vertical="center" wrapText="1"/>
    </xf>
    <xf numFmtId="0" fontId="23"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3" borderId="0" xfId="0" applyFont="1" applyFill="1" applyAlignment="1">
      <alignment vertical="center"/>
    </xf>
    <xf numFmtId="0" fontId="31" fillId="13" borderId="0" xfId="21" applyFill="1"/>
    <xf numFmtId="0" fontId="23" fillId="5" borderId="28" xfId="0" applyFont="1" applyFill="1" applyBorder="1" applyAlignment="1">
      <alignment horizontal="center" vertical="center" wrapText="1"/>
    </xf>
    <xf numFmtId="0" fontId="34" fillId="13" borderId="0" xfId="21" applyFont="1" applyFill="1" applyAlignment="1">
      <alignment horizontal="center" vertical="center"/>
    </xf>
    <xf numFmtId="0" fontId="34" fillId="13" borderId="0" xfId="21" applyFont="1" applyFill="1" applyBorder="1" applyAlignment="1">
      <alignment horizontal="center" vertical="center" wrapText="1"/>
    </xf>
    <xf numFmtId="0" fontId="34" fillId="7" borderId="26" xfId="21" applyFont="1" applyFill="1" applyBorder="1" applyAlignment="1">
      <alignment horizontal="center" vertical="center" wrapText="1"/>
    </xf>
    <xf numFmtId="0" fontId="34" fillId="7" borderId="29" xfId="21" applyFont="1" applyFill="1" applyBorder="1" applyAlignment="1">
      <alignment horizontal="center" vertical="center" wrapText="1"/>
    </xf>
    <xf numFmtId="0" fontId="5" fillId="13" borderId="0" xfId="0" applyFont="1" applyFill="1" applyAlignment="1">
      <alignment horizontal="left" vertical="center"/>
    </xf>
    <xf numFmtId="0" fontId="0" fillId="13" borderId="0" xfId="0" applyFill="1" applyAlignment="1">
      <alignment horizontal="center" vertical="center"/>
    </xf>
    <xf numFmtId="0" fontId="0" fillId="13" borderId="0" xfId="0" applyFill="1" applyAlignment="1">
      <alignment horizontal="center" vertical="center" wrapText="1"/>
    </xf>
    <xf numFmtId="0" fontId="15" fillId="5" borderId="18" xfId="0" applyFont="1" applyFill="1" applyBorder="1" applyAlignment="1">
      <alignment horizontal="center" vertical="center" wrapText="1"/>
    </xf>
    <xf numFmtId="0" fontId="15" fillId="5" borderId="18" xfId="0" applyFont="1" applyFill="1" applyBorder="1" applyAlignment="1">
      <alignment horizontal="center" vertical="center"/>
    </xf>
    <xf numFmtId="2" fontId="12" fillId="7" borderId="39" xfId="0" applyNumberFormat="1" applyFont="1" applyFill="1" applyBorder="1" applyAlignment="1">
      <alignment vertical="center" wrapText="1"/>
    </xf>
    <xf numFmtId="0" fontId="27" fillId="13" borderId="0" xfId="0" applyFont="1" applyFill="1" applyAlignment="1">
      <alignment vertical="center" wrapText="1"/>
    </xf>
    <xf numFmtId="0" fontId="23" fillId="14" borderId="26" xfId="0" applyFont="1" applyFill="1" applyBorder="1" applyAlignment="1">
      <alignment horizontal="center"/>
    </xf>
    <xf numFmtId="0" fontId="23" fillId="14" borderId="14" xfId="0" applyFont="1" applyFill="1" applyBorder="1" applyAlignment="1">
      <alignment horizontal="center"/>
    </xf>
    <xf numFmtId="0" fontId="27" fillId="13" borderId="0" xfId="0" applyFont="1" applyFill="1" applyAlignment="1">
      <alignment vertical="center"/>
    </xf>
    <xf numFmtId="0" fontId="6" fillId="13" borderId="0" xfId="0" applyFont="1" applyFill="1" applyAlignment="1">
      <alignment vertical="center"/>
    </xf>
    <xf numFmtId="0" fontId="0" fillId="0" borderId="0" xfId="0" applyAlignment="1">
      <alignment vertical="center"/>
    </xf>
    <xf numFmtId="0" fontId="39" fillId="13" borderId="0" xfId="0" applyFont="1" applyFill="1" applyAlignment="1">
      <alignment vertical="center"/>
    </xf>
    <xf numFmtId="0" fontId="39" fillId="13" borderId="0" xfId="0" applyFont="1" applyFill="1"/>
    <xf numFmtId="0" fontId="0" fillId="19" borderId="0" xfId="0" applyFill="1"/>
    <xf numFmtId="0" fontId="40" fillId="13" borderId="0" xfId="0" applyFont="1" applyFill="1"/>
    <xf numFmtId="0" fontId="41" fillId="13" borderId="0" xfId="0" applyFont="1" applyFill="1"/>
    <xf numFmtId="0" fontId="0" fillId="0" borderId="28" xfId="0" applyBorder="1" applyAlignment="1" applyProtection="1">
      <alignment horizontal="center" vertical="center" wrapText="1"/>
      <protection locked="0"/>
    </xf>
    <xf numFmtId="0" fontId="2" fillId="10" borderId="18" xfId="0" applyFont="1" applyFill="1" applyBorder="1" applyAlignment="1">
      <alignment horizontal="center" vertical="center" wrapText="1"/>
    </xf>
    <xf numFmtId="0" fontId="2" fillId="11" borderId="28" xfId="0" applyFont="1" applyFill="1" applyBorder="1" applyAlignment="1">
      <alignment horizontal="center" vertical="center" wrapText="1"/>
    </xf>
    <xf numFmtId="0" fontId="0" fillId="0" borderId="41" xfId="0" applyBorder="1"/>
    <xf numFmtId="0" fontId="15"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3" fillId="5" borderId="5" xfId="0" applyFont="1" applyFill="1" applyBorder="1" applyAlignment="1">
      <alignment horizontal="center"/>
    </xf>
    <xf numFmtId="0" fontId="37" fillId="13" borderId="0" xfId="0" applyFont="1" applyFill="1" applyAlignment="1">
      <alignment vertical="center" wrapText="1"/>
    </xf>
    <xf numFmtId="0" fontId="23" fillId="5" borderId="47" xfId="0" applyFont="1" applyFill="1" applyBorder="1" applyAlignment="1">
      <alignment horizontal="center"/>
    </xf>
    <xf numFmtId="0" fontId="13" fillId="5" borderId="28" xfId="0" applyFont="1" applyFill="1" applyBorder="1" applyAlignment="1">
      <alignment horizontal="center" vertical="center" wrapText="1"/>
    </xf>
    <xf numFmtId="0" fontId="37" fillId="13" borderId="0" xfId="0" applyFont="1" applyFill="1" applyAlignment="1">
      <alignment horizontal="center" vertical="center" wrapText="1"/>
    </xf>
    <xf numFmtId="0" fontId="0" fillId="13" borderId="0" xfId="0" applyFill="1" applyAlignment="1">
      <alignment horizontal="center" wrapText="1"/>
    </xf>
    <xf numFmtId="0" fontId="13" fillId="5" borderId="11" xfId="0" applyFont="1" applyFill="1" applyBorder="1" applyAlignment="1">
      <alignment horizontal="center" vertical="center" wrapText="1"/>
    </xf>
    <xf numFmtId="0" fontId="30" fillId="13" borderId="0" xfId="0" applyFont="1" applyFill="1" applyAlignment="1">
      <alignment horizontal="center" vertical="center" wrapText="1"/>
    </xf>
    <xf numFmtId="0" fontId="2" fillId="13" borderId="0" xfId="0" applyFont="1" applyFill="1"/>
    <xf numFmtId="0" fontId="1" fillId="13" borderId="0" xfId="0" applyFont="1" applyFill="1" applyAlignment="1">
      <alignment wrapText="1"/>
    </xf>
    <xf numFmtId="0" fontId="13" fillId="5" borderId="14" xfId="0" applyFont="1" applyFill="1" applyBorder="1" applyAlignment="1">
      <alignment horizontal="center" vertical="center" wrapText="1"/>
    </xf>
    <xf numFmtId="0" fontId="15" fillId="5" borderId="28"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13" fillId="14" borderId="21" xfId="0" applyFont="1" applyFill="1" applyBorder="1" applyAlignment="1">
      <alignment horizontal="center" vertical="center" wrapText="1"/>
    </xf>
    <xf numFmtId="1" fontId="0" fillId="12" borderId="39" xfId="0" applyNumberForma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8" xfId="0" applyNumberFormat="1" applyFill="1" applyBorder="1" applyAlignment="1">
      <alignment horizontal="center" vertical="center" wrapText="1"/>
    </xf>
    <xf numFmtId="2" fontId="0" fillId="2" borderId="18" xfId="0" applyNumberFormat="1" applyFill="1" applyBorder="1" applyAlignment="1">
      <alignment horizontal="center" vertical="center" wrapText="1"/>
    </xf>
    <xf numFmtId="2" fontId="0" fillId="2" borderId="29" xfId="0" applyNumberFormat="1" applyFill="1" applyBorder="1" applyAlignment="1">
      <alignment horizontal="center" vertical="center" wrapText="1"/>
    </xf>
    <xf numFmtId="0" fontId="13" fillId="14" borderId="45" xfId="0" applyFont="1" applyFill="1" applyBorder="1" applyAlignment="1">
      <alignment horizontal="center" vertical="center" wrapText="1"/>
    </xf>
    <xf numFmtId="1" fontId="0" fillId="12" borderId="18" xfId="0" applyNumberFormat="1" applyFill="1" applyBorder="1" applyAlignment="1">
      <alignment horizontal="center" vertical="center" wrapText="1"/>
    </xf>
    <xf numFmtId="0" fontId="13" fillId="14" borderId="47" xfId="0" applyFont="1" applyFill="1" applyBorder="1" applyAlignment="1">
      <alignment horizontal="center" vertical="center" wrapText="1"/>
    </xf>
    <xf numFmtId="1" fontId="0" fillId="12" borderId="13" xfId="0" applyNumberFormat="1" applyFill="1" applyBorder="1" applyAlignment="1">
      <alignment horizontal="center" vertical="center" wrapText="1"/>
    </xf>
    <xf numFmtId="165" fontId="0" fillId="12" borderId="14" xfId="0" applyNumberFormat="1" applyFill="1" applyBorder="1" applyAlignment="1">
      <alignment horizontal="center" vertical="center" wrapText="1"/>
    </xf>
    <xf numFmtId="0" fontId="0" fillId="7" borderId="8" xfId="0" applyFill="1" applyBorder="1" applyAlignment="1">
      <alignment horizontal="center" vertical="center" wrapText="1"/>
    </xf>
    <xf numFmtId="1" fontId="0" fillId="7" borderId="8" xfId="0" applyNumberFormat="1" applyFill="1" applyBorder="1" applyAlignment="1">
      <alignment horizontal="center" vertical="center" wrapText="1"/>
    </xf>
    <xf numFmtId="1" fontId="0" fillId="7" borderId="53" xfId="0" applyNumberFormat="1" applyFill="1" applyBorder="1" applyAlignment="1">
      <alignment horizontal="center" vertical="center" wrapText="1"/>
    </xf>
    <xf numFmtId="1" fontId="0" fillId="12" borderId="69" xfId="0" applyNumberFormat="1" applyFill="1" applyBorder="1" applyAlignment="1">
      <alignment horizontal="center" vertical="center" wrapText="1"/>
    </xf>
    <xf numFmtId="165" fontId="0" fillId="12" borderId="37" xfId="0" applyNumberFormat="1"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3" borderId="0" xfId="0" applyFont="1" applyFill="1" applyAlignment="1">
      <alignment horizontal="center" wrapText="1"/>
    </xf>
    <xf numFmtId="165" fontId="0" fillId="12" borderId="71" xfId="0" applyNumberFormat="1" applyFill="1" applyBorder="1" applyAlignment="1">
      <alignment horizontal="center" vertical="center" wrapText="1"/>
    </xf>
    <xf numFmtId="0" fontId="15" fillId="14" borderId="25" xfId="0" applyFont="1" applyFill="1" applyBorder="1" applyAlignment="1">
      <alignment horizontal="center" vertical="center" wrapText="1"/>
    </xf>
    <xf numFmtId="0" fontId="11" fillId="3" borderId="0" xfId="0" applyFont="1" applyFill="1" applyAlignment="1">
      <alignment horizontal="center" vertical="center" textRotation="90"/>
    </xf>
    <xf numFmtId="0" fontId="15" fillId="14" borderId="28" xfId="0" applyFont="1" applyFill="1" applyBorder="1" applyAlignment="1">
      <alignment horizontal="center" vertical="center" wrapText="1"/>
    </xf>
    <xf numFmtId="0" fontId="15" fillId="14" borderId="11" xfId="0" applyFont="1" applyFill="1" applyBorder="1" applyAlignment="1">
      <alignment horizontal="center" vertical="center" wrapText="1"/>
    </xf>
    <xf numFmtId="0" fontId="4" fillId="22" borderId="46" xfId="0" applyFont="1" applyFill="1" applyBorder="1" applyAlignment="1">
      <alignment horizontal="center" vertical="center"/>
    </xf>
    <xf numFmtId="1" fontId="0" fillId="13" borderId="0" xfId="0" applyNumberFormat="1" applyFill="1"/>
    <xf numFmtId="164" fontId="0" fillId="2" borderId="29" xfId="0" applyNumberFormat="1" applyFill="1" applyBorder="1" applyAlignment="1">
      <alignment horizontal="center" vertical="center" wrapText="1"/>
    </xf>
    <xf numFmtId="0" fontId="13" fillId="14" borderId="59" xfId="0" applyFont="1" applyFill="1" applyBorder="1" applyAlignment="1">
      <alignment horizontal="center" vertical="center" wrapText="1"/>
    </xf>
    <xf numFmtId="0" fontId="13" fillId="14" borderId="1" xfId="0" applyFont="1" applyFill="1" applyBorder="1" applyAlignment="1">
      <alignment horizontal="center" vertical="center" wrapText="1"/>
    </xf>
    <xf numFmtId="0" fontId="0" fillId="7" borderId="53" xfId="0"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0" fontId="0" fillId="7" borderId="2" xfId="0" applyFill="1" applyBorder="1" applyAlignment="1">
      <alignment horizontal="center" vertical="center" wrapText="1"/>
    </xf>
    <xf numFmtId="164" fontId="0" fillId="2" borderId="14" xfId="0" applyNumberFormat="1" applyFill="1" applyBorder="1" applyAlignment="1">
      <alignment horizontal="center" vertical="center" wrapText="1"/>
    </xf>
    <xf numFmtId="0" fontId="15" fillId="14" borderId="10" xfId="0" applyFont="1" applyFill="1" applyBorder="1" applyAlignment="1">
      <alignment horizontal="center" vertical="center" wrapText="1"/>
    </xf>
    <xf numFmtId="0" fontId="15" fillId="5" borderId="47" xfId="0" applyFont="1" applyFill="1" applyBorder="1" applyAlignment="1">
      <alignment horizontal="center" vertical="center" wrapText="1"/>
    </xf>
    <xf numFmtId="0" fontId="15" fillId="5" borderId="8" xfId="0" applyFont="1" applyFill="1" applyBorder="1" applyAlignment="1">
      <alignment horizontal="center" vertical="center" wrapText="1"/>
    </xf>
    <xf numFmtId="0" fontId="15" fillId="5" borderId="9" xfId="0" applyFont="1" applyFill="1" applyBorder="1" applyAlignment="1">
      <alignment horizontal="center" vertical="center" wrapText="1"/>
    </xf>
    <xf numFmtId="0" fontId="15" fillId="5" borderId="53" xfId="0" applyFont="1" applyFill="1" applyBorder="1" applyAlignment="1">
      <alignment horizontal="center" vertical="center" wrapText="1"/>
    </xf>
    <xf numFmtId="0" fontId="15" fillId="5" borderId="12" xfId="0" applyFont="1" applyFill="1" applyBorder="1" applyAlignment="1">
      <alignment horizontal="center" vertical="center" wrapText="1"/>
    </xf>
    <xf numFmtId="0" fontId="13" fillId="14" borderId="5"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0" fillId="7" borderId="29" xfId="0" applyFill="1" applyBorder="1" applyAlignment="1">
      <alignment horizontal="center" vertical="center" wrapText="1"/>
    </xf>
    <xf numFmtId="0" fontId="0" fillId="23" borderId="0" xfId="0" applyFill="1" applyAlignment="1">
      <alignment vertical="center" wrapText="1"/>
    </xf>
    <xf numFmtId="0" fontId="0" fillId="23" borderId="0" xfId="0" applyFill="1"/>
    <xf numFmtId="0" fontId="23" fillId="5" borderId="26" xfId="0" applyFont="1" applyFill="1" applyBorder="1" applyAlignment="1">
      <alignment horizontal="center" vertical="center" wrapText="1"/>
    </xf>
    <xf numFmtId="0" fontId="26" fillId="7" borderId="18" xfId="0" applyFont="1" applyFill="1" applyBorder="1" applyAlignment="1">
      <alignment horizontal="center" vertical="center" wrapText="1"/>
    </xf>
    <xf numFmtId="165" fontId="26" fillId="7" borderId="18" xfId="0" applyNumberFormat="1" applyFont="1" applyFill="1" applyBorder="1" applyAlignment="1">
      <alignment horizontal="center" vertical="center" wrapText="1"/>
    </xf>
    <xf numFmtId="165" fontId="26" fillId="7" borderId="29" xfId="0" applyNumberFormat="1" applyFont="1" applyFill="1" applyBorder="1" applyAlignment="1">
      <alignment horizontal="center" vertical="center" wrapText="1"/>
    </xf>
    <xf numFmtId="0" fontId="26" fillId="7" borderId="18" xfId="0" applyFont="1" applyFill="1" applyBorder="1" applyAlignment="1">
      <alignment horizontal="center" vertical="center"/>
    </xf>
    <xf numFmtId="165" fontId="26" fillId="7" borderId="29" xfId="0" applyNumberFormat="1" applyFont="1" applyFill="1" applyBorder="1" applyAlignment="1">
      <alignment horizontal="center" wrapText="1"/>
    </xf>
    <xf numFmtId="0" fontId="23" fillId="5" borderId="51" xfId="0" applyFont="1" applyFill="1" applyBorder="1" applyAlignment="1">
      <alignment horizontal="center" vertical="center" wrapText="1"/>
    </xf>
    <xf numFmtId="0" fontId="23" fillId="5" borderId="52" xfId="0" applyFont="1" applyFill="1" applyBorder="1" applyAlignment="1">
      <alignment horizontal="center" vertical="center" wrapText="1"/>
    </xf>
    <xf numFmtId="165" fontId="26" fillId="7" borderId="14" xfId="0" applyNumberFormat="1" applyFont="1" applyFill="1" applyBorder="1" applyAlignment="1">
      <alignment horizontal="center" vertical="center" wrapText="1"/>
    </xf>
    <xf numFmtId="0" fontId="20" fillId="13" borderId="0" xfId="0" applyFont="1" applyFill="1" applyAlignment="1">
      <alignment vertical="center"/>
    </xf>
    <xf numFmtId="0" fontId="43" fillId="13" borderId="0" xfId="0" applyFont="1" applyFill="1" applyAlignment="1">
      <alignment vertical="center"/>
    </xf>
    <xf numFmtId="0" fontId="20" fillId="13" borderId="0" xfId="0" applyFont="1" applyFill="1" applyAlignment="1">
      <alignment vertical="center" wrapText="1"/>
    </xf>
    <xf numFmtId="165" fontId="0" fillId="12" borderId="28" xfId="0" applyNumberFormat="1" applyFill="1" applyBorder="1" applyAlignment="1">
      <alignment horizontal="center" vertical="center" wrapText="1"/>
    </xf>
    <xf numFmtId="165" fontId="0" fillId="12" borderId="25" xfId="0" applyNumberFormat="1" applyFill="1" applyBorder="1" applyAlignment="1">
      <alignment horizontal="center" vertical="center" wrapText="1"/>
    </xf>
    <xf numFmtId="165" fontId="0" fillId="12" borderId="26" xfId="0" applyNumberFormat="1" applyFill="1" applyBorder="1" applyAlignment="1">
      <alignment horizontal="center" vertical="center" wrapText="1"/>
    </xf>
    <xf numFmtId="0" fontId="5" fillId="12" borderId="18" xfId="0" applyFont="1" applyFill="1" applyBorder="1" applyAlignment="1">
      <alignment horizontal="center"/>
    </xf>
    <xf numFmtId="0" fontId="3" fillId="9" borderId="18" xfId="0" applyFont="1" applyFill="1" applyBorder="1" applyAlignment="1">
      <alignment horizontal="center" vertical="center" wrapText="1"/>
    </xf>
    <xf numFmtId="0" fontId="2" fillId="8" borderId="18" xfId="0" applyFont="1" applyFill="1" applyBorder="1" applyAlignment="1">
      <alignment horizontal="center" vertical="center" wrapText="1"/>
    </xf>
    <xf numFmtId="0" fontId="2" fillId="12" borderId="18" xfId="0" applyFont="1" applyFill="1" applyBorder="1" applyAlignment="1">
      <alignment horizontal="center" vertical="center" wrapText="1"/>
    </xf>
    <xf numFmtId="0" fontId="42" fillId="0" borderId="64" xfId="0" applyFont="1" applyBorder="1" applyAlignment="1">
      <alignment wrapText="1"/>
    </xf>
    <xf numFmtId="0" fontId="1" fillId="13" borderId="0" xfId="0" applyFont="1" applyFill="1" applyAlignment="1">
      <alignment vertical="center" wrapText="1"/>
    </xf>
    <xf numFmtId="164" fontId="0" fillId="2" borderId="17" xfId="0" applyNumberFormat="1" applyFill="1" applyBorder="1" applyAlignment="1">
      <alignment horizontal="center" vertical="center" wrapText="1"/>
    </xf>
    <xf numFmtId="0" fontId="0" fillId="4" borderId="11" xfId="0" applyFill="1" applyBorder="1" applyAlignment="1" applyProtection="1">
      <alignment horizontal="center" vertical="center" wrapText="1"/>
      <protection locked="0"/>
    </xf>
    <xf numFmtId="0" fontId="4" fillId="0" borderId="77" xfId="0" applyFont="1" applyBorder="1" applyAlignment="1" applyProtection="1">
      <alignment horizontal="center" vertical="center" wrapText="1"/>
      <protection locked="0"/>
    </xf>
    <xf numFmtId="0" fontId="4" fillId="22"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0" fillId="7" borderId="14" xfId="0" applyFill="1" applyBorder="1" applyAlignment="1">
      <alignment horizontal="center" vertical="center" wrapText="1"/>
    </xf>
    <xf numFmtId="0" fontId="0" fillId="24" borderId="20" xfId="0" applyFill="1" applyBorder="1" applyAlignment="1" applyProtection="1">
      <alignment horizontal="center" vertical="center" wrapText="1"/>
      <protection locked="0"/>
    </xf>
    <xf numFmtId="0" fontId="0" fillId="24" borderId="25" xfId="0" applyFill="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22"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24" borderId="76" xfId="0" applyFill="1" applyBorder="1" applyAlignment="1" applyProtection="1">
      <alignment horizontal="center" vertical="center" wrapText="1"/>
      <protection locked="0"/>
    </xf>
    <xf numFmtId="0" fontId="15" fillId="14" borderId="7" xfId="0" applyFont="1" applyFill="1" applyBorder="1" applyAlignment="1">
      <alignment horizontal="center" vertical="center" wrapText="1"/>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165" fontId="0" fillId="12" borderId="20" xfId="0" applyNumberFormat="1" applyFill="1" applyBorder="1" applyAlignment="1">
      <alignment horizontal="center" vertical="center" wrapText="1"/>
    </xf>
    <xf numFmtId="0" fontId="5" fillId="13" borderId="35" xfId="0" applyFont="1" applyFill="1" applyBorder="1" applyAlignment="1">
      <alignment vertical="center"/>
    </xf>
    <xf numFmtId="0" fontId="8" fillId="13" borderId="0" xfId="0" applyFont="1" applyFill="1" applyAlignment="1">
      <alignment horizontal="left"/>
    </xf>
    <xf numFmtId="0" fontId="0" fillId="13" borderId="0" xfId="0" applyFill="1" applyAlignment="1">
      <alignment horizontal="center"/>
    </xf>
    <xf numFmtId="0" fontId="24" fillId="5" borderId="5" xfId="0" applyFont="1" applyFill="1" applyBorder="1" applyAlignment="1">
      <alignment horizontal="center" vertical="center" wrapText="1"/>
    </xf>
    <xf numFmtId="0" fontId="24" fillId="5" borderId="45" xfId="0" applyFont="1" applyFill="1" applyBorder="1" applyAlignment="1">
      <alignment horizontal="center" vertical="center" wrapText="1"/>
    </xf>
    <xf numFmtId="0" fontId="24" fillId="5" borderId="47" xfId="0" applyFont="1" applyFill="1" applyBorder="1" applyAlignment="1">
      <alignment horizontal="center" vertical="center" wrapText="1"/>
    </xf>
    <xf numFmtId="0" fontId="20" fillId="0" borderId="39" xfId="0" applyFont="1" applyBorder="1" applyAlignment="1" applyProtection="1">
      <alignment horizontal="center" vertical="center"/>
      <protection locked="0"/>
    </xf>
    <xf numFmtId="0" fontId="20" fillId="0" borderId="18" xfId="0" applyFont="1" applyBorder="1" applyAlignment="1" applyProtection="1">
      <alignment horizontal="center" vertical="center"/>
      <protection locked="0"/>
    </xf>
    <xf numFmtId="0" fontId="20" fillId="0" borderId="13" xfId="0" applyFont="1" applyBorder="1" applyAlignment="1" applyProtection="1">
      <alignment horizontal="center" vertical="center"/>
      <protection locked="0"/>
    </xf>
    <xf numFmtId="0" fontId="5" fillId="13" borderId="0" xfId="0" applyFont="1" applyFill="1" applyAlignment="1">
      <alignment horizontal="center" vertical="center"/>
    </xf>
    <xf numFmtId="1" fontId="2" fillId="12" borderId="13" xfId="0" applyNumberFormat="1" applyFont="1" applyFill="1" applyBorder="1" applyAlignment="1">
      <alignment horizontal="center" vertical="center" wrapText="1"/>
    </xf>
    <xf numFmtId="0" fontId="13" fillId="5" borderId="25" xfId="0" applyFont="1" applyFill="1" applyBorder="1" applyAlignment="1">
      <alignment horizontal="center" vertical="center" wrapText="1"/>
    </xf>
    <xf numFmtId="0" fontId="15" fillId="5" borderId="58" xfId="0" applyFont="1" applyFill="1" applyBorder="1" applyAlignment="1">
      <alignment horizontal="center" vertical="center" wrapText="1"/>
    </xf>
    <xf numFmtId="165" fontId="0" fillId="12" borderId="57" xfId="0" applyNumberFormat="1" applyFill="1" applyBorder="1" applyAlignment="1">
      <alignment horizontal="center" vertical="center" wrapText="1"/>
    </xf>
    <xf numFmtId="165" fontId="0" fillId="12" borderId="1" xfId="0" applyNumberFormat="1" applyFill="1" applyBorder="1" applyAlignment="1">
      <alignment horizontal="center" vertical="center" wrapText="1"/>
    </xf>
    <xf numFmtId="1" fontId="0" fillId="12" borderId="73" xfId="0" applyNumberFormat="1" applyFill="1" applyBorder="1" applyAlignment="1">
      <alignment horizontal="center" vertical="center" wrapText="1"/>
    </xf>
    <xf numFmtId="165" fontId="0" fillId="12" borderId="11" xfId="0" applyNumberFormat="1" applyFill="1" applyBorder="1" applyAlignment="1">
      <alignment horizontal="center" vertical="center" wrapText="1"/>
    </xf>
    <xf numFmtId="165" fontId="0" fillId="12" borderId="72" xfId="0" applyNumberFormat="1" applyFill="1" applyBorder="1" applyAlignment="1">
      <alignment horizontal="center" vertical="center" wrapText="1"/>
    </xf>
    <xf numFmtId="1" fontId="0" fillId="0" borderId="24" xfId="0" applyNumberFormat="1" applyBorder="1" applyAlignment="1" applyProtection="1">
      <alignment horizontal="center" vertical="center" wrapText="1"/>
      <protection locked="0"/>
    </xf>
    <xf numFmtId="1" fontId="0" fillId="0" borderId="24" xfId="0" applyNumberFormat="1" applyBorder="1" applyAlignment="1" applyProtection="1">
      <alignment horizontal="center" vertical="center"/>
      <protection locked="0"/>
    </xf>
    <xf numFmtId="1" fontId="0" fillId="0" borderId="18" xfId="0" applyNumberFormat="1" applyBorder="1" applyAlignment="1" applyProtection="1">
      <alignment horizontal="center" vertical="center" wrapText="1"/>
      <protection locked="0"/>
    </xf>
    <xf numFmtId="1" fontId="0" fillId="0" borderId="18" xfId="0" applyNumberFormat="1" applyBorder="1" applyAlignment="1" applyProtection="1">
      <alignment horizontal="center" vertical="center"/>
      <protection locked="0"/>
    </xf>
    <xf numFmtId="165" fontId="0" fillId="12" borderId="1" xfId="0" applyNumberFormat="1" applyFill="1" applyBorder="1" applyAlignment="1">
      <alignment vertical="center" wrapText="1"/>
    </xf>
    <xf numFmtId="1" fontId="0" fillId="0" borderId="25" xfId="0" applyNumberFormat="1" applyBorder="1" applyAlignment="1" applyProtection="1">
      <alignment horizontal="center" vertical="center" wrapText="1"/>
      <protection locked="0"/>
    </xf>
    <xf numFmtId="1" fontId="0" fillId="0" borderId="39"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20" xfId="0" applyNumberFormat="1" applyBorder="1" applyAlignment="1" applyProtection="1">
      <alignment horizontal="center" vertical="center" wrapText="1"/>
      <protection locked="0"/>
    </xf>
    <xf numFmtId="1" fontId="0" fillId="0" borderId="68" xfId="0" applyNumberFormat="1" applyBorder="1" applyAlignment="1" applyProtection="1">
      <alignment horizontal="center" vertical="center" wrapText="1"/>
      <protection locked="0"/>
    </xf>
    <xf numFmtId="1" fontId="0" fillId="0" borderId="76" xfId="0" applyNumberFormat="1" applyBorder="1" applyAlignment="1" applyProtection="1">
      <alignment horizontal="center" vertical="center" wrapText="1"/>
      <protection locked="0"/>
    </xf>
    <xf numFmtId="1" fontId="0" fillId="0" borderId="13" xfId="0" applyNumberFormat="1" applyBorder="1" applyAlignment="1" applyProtection="1">
      <alignment horizontal="center" vertical="center" wrapText="1"/>
      <protection locked="0"/>
    </xf>
    <xf numFmtId="1" fontId="0" fillId="0" borderId="37" xfId="0" applyNumberFormat="1" applyBorder="1" applyAlignment="1" applyProtection="1">
      <alignment horizontal="center" vertical="center" wrapText="1"/>
      <protection locked="0"/>
    </xf>
    <xf numFmtId="1" fontId="0" fillId="12" borderId="72" xfId="0" applyNumberFormat="1" applyFill="1" applyBorder="1" applyAlignment="1">
      <alignment horizontal="center" vertical="center" wrapText="1"/>
    </xf>
    <xf numFmtId="1" fontId="0" fillId="12" borderId="70" xfId="0" applyNumberFormat="1" applyFill="1" applyBorder="1" applyAlignment="1">
      <alignment horizontal="center" vertical="center" wrapText="1"/>
    </xf>
    <xf numFmtId="1" fontId="0" fillId="12" borderId="71" xfId="0" applyNumberFormat="1" applyFill="1" applyBorder="1" applyAlignment="1">
      <alignment horizontal="center" vertical="center" wrapText="1"/>
    </xf>
    <xf numFmtId="1" fontId="4" fillId="7" borderId="49" xfId="0" applyNumberFormat="1" applyFont="1" applyFill="1" applyBorder="1" applyAlignment="1">
      <alignment horizontal="center" vertical="center"/>
    </xf>
    <xf numFmtId="1" fontId="0" fillId="12" borderId="10" xfId="0" applyNumberFormat="1" applyFill="1" applyBorder="1" applyAlignment="1">
      <alignment horizontal="center" vertical="center" wrapText="1"/>
    </xf>
    <xf numFmtId="164" fontId="26" fillId="7" borderId="18" xfId="0" applyNumberFormat="1" applyFont="1" applyFill="1" applyBorder="1" applyAlignment="1">
      <alignment horizontal="center" vertical="center" wrapText="1"/>
    </xf>
    <xf numFmtId="0" fontId="44" fillId="13" borderId="0" xfId="0" applyFont="1" applyFill="1"/>
    <xf numFmtId="166" fontId="44" fillId="13" borderId="0" xfId="0" applyNumberFormat="1" applyFont="1" applyFill="1"/>
    <xf numFmtId="165" fontId="12" fillId="12" borderId="29" xfId="0" applyNumberFormat="1" applyFont="1" applyFill="1" applyBorder="1" applyAlignment="1">
      <alignment horizontal="center" vertical="center" wrapText="1"/>
    </xf>
    <xf numFmtId="165" fontId="12" fillId="12" borderId="14" xfId="0" applyNumberFormat="1" applyFont="1" applyFill="1" applyBorder="1" applyAlignment="1">
      <alignment horizontal="center" vertical="center" wrapText="1"/>
    </xf>
    <xf numFmtId="0" fontId="0" fillId="0" borderId="18" xfId="0" applyBorder="1" applyAlignment="1">
      <alignment horizontal="center"/>
    </xf>
    <xf numFmtId="0" fontId="23" fillId="14" borderId="14" xfId="0" applyFont="1" applyFill="1" applyBorder="1" applyAlignment="1">
      <alignment horizontal="center" vertical="center"/>
    </xf>
    <xf numFmtId="0" fontId="23" fillId="14" borderId="26" xfId="0" applyFont="1" applyFill="1" applyBorder="1" applyAlignment="1">
      <alignment horizontal="center" vertical="center"/>
    </xf>
    <xf numFmtId="0" fontId="1" fillId="13" borderId="0" xfId="0" applyFont="1" applyFill="1" applyAlignment="1">
      <alignment vertical="center"/>
    </xf>
    <xf numFmtId="0" fontId="23" fillId="5" borderId="8" xfId="0" applyFont="1" applyFill="1" applyBorder="1" applyAlignment="1">
      <alignment horizontal="center" vertical="center" wrapText="1"/>
    </xf>
    <xf numFmtId="14" fontId="20"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24" fillId="14" borderId="39" xfId="0" applyFont="1" applyFill="1" applyBorder="1" applyAlignment="1">
      <alignment horizontal="center" vertical="center" wrapText="1"/>
    </xf>
    <xf numFmtId="0" fontId="24" fillId="14" borderId="18" xfId="0" applyFont="1" applyFill="1" applyBorder="1" applyAlignment="1">
      <alignment horizontal="center" vertical="center" wrapText="1"/>
    </xf>
    <xf numFmtId="0" fontId="24" fillId="14" borderId="13" xfId="0" applyFont="1" applyFill="1" applyBorder="1" applyAlignment="1">
      <alignment horizontal="center" vertical="center" wrapText="1"/>
    </xf>
    <xf numFmtId="0" fontId="44" fillId="13" borderId="0" xfId="0" applyFont="1" applyFill="1" applyAlignment="1">
      <alignment horizontal="center"/>
    </xf>
    <xf numFmtId="165" fontId="0" fillId="13" borderId="0" xfId="0" applyNumberFormat="1" applyFill="1"/>
    <xf numFmtId="0" fontId="18" fillId="5" borderId="26" xfId="0" applyFont="1" applyFill="1" applyBorder="1" applyAlignment="1">
      <alignment horizontal="center" vertical="center" wrapText="1"/>
    </xf>
    <xf numFmtId="0" fontId="46" fillId="13" borderId="0" xfId="0" applyFont="1" applyFill="1" applyAlignment="1">
      <alignment vertical="center" wrapText="1"/>
    </xf>
    <xf numFmtId="0" fontId="5" fillId="0" borderId="9" xfId="0" applyFont="1" applyBorder="1" applyAlignment="1">
      <alignment horizontal="center" vertical="center"/>
    </xf>
    <xf numFmtId="0" fontId="5" fillId="0" borderId="7" xfId="0" applyFont="1" applyBorder="1" applyAlignment="1">
      <alignment horizontal="center" vertical="center"/>
    </xf>
    <xf numFmtId="165" fontId="5" fillId="0" borderId="26" xfId="0" applyNumberFormat="1" applyFont="1" applyBorder="1" applyAlignment="1">
      <alignment horizontal="center" vertical="center" wrapText="1"/>
    </xf>
    <xf numFmtId="165" fontId="5" fillId="0" borderId="29" xfId="0" applyNumberFormat="1" applyFont="1" applyBorder="1" applyAlignment="1">
      <alignment horizontal="center" vertical="center" wrapText="1"/>
    </xf>
    <xf numFmtId="165" fontId="5" fillId="0" borderId="14" xfId="0" applyNumberFormat="1" applyFont="1" applyBorder="1" applyAlignment="1">
      <alignment horizontal="center" vertical="center" wrapText="1"/>
    </xf>
    <xf numFmtId="0" fontId="5" fillId="13" borderId="0" xfId="0" applyFont="1" applyFill="1"/>
    <xf numFmtId="10" fontId="5" fillId="0" borderId="26" xfId="32" applyNumberFormat="1" applyFont="1" applyFill="1" applyBorder="1" applyAlignment="1">
      <alignment horizontal="center" vertical="center" wrapText="1"/>
    </xf>
    <xf numFmtId="10" fontId="5" fillId="0" borderId="29" xfId="32" applyNumberFormat="1" applyFont="1" applyFill="1" applyBorder="1" applyAlignment="1">
      <alignment horizontal="center" vertical="center" wrapText="1"/>
    </xf>
    <xf numFmtId="10" fontId="5" fillId="0" borderId="14" xfId="32" applyNumberFormat="1" applyFont="1" applyFill="1" applyBorder="1" applyAlignment="1">
      <alignment horizontal="center" vertical="center" wrapText="1"/>
    </xf>
    <xf numFmtId="0" fontId="0" fillId="22" borderId="28" xfId="0" applyFill="1" applyBorder="1" applyAlignment="1">
      <alignment horizontal="center" vertical="center" wrapText="1"/>
    </xf>
    <xf numFmtId="0" fontId="15" fillId="5" borderId="14" xfId="0" applyFont="1" applyFill="1" applyBorder="1" applyAlignment="1">
      <alignment horizontal="center" vertical="center" wrapText="1"/>
    </xf>
    <xf numFmtId="0" fontId="0" fillId="22" borderId="11" xfId="0" applyFill="1" applyBorder="1" applyAlignment="1">
      <alignment horizontal="center" vertical="center" wrapText="1"/>
    </xf>
    <xf numFmtId="0" fontId="0" fillId="2" borderId="66" xfId="0" applyFill="1" applyBorder="1" applyAlignment="1">
      <alignment horizontal="center" vertical="center" wrapText="1"/>
    </xf>
    <xf numFmtId="0" fontId="0" fillId="2" borderId="70" xfId="0" applyFill="1" applyBorder="1" applyAlignment="1">
      <alignment horizontal="center" vertical="center" wrapText="1"/>
    </xf>
    <xf numFmtId="0" fontId="0" fillId="7" borderId="76" xfId="0" applyFill="1" applyBorder="1" applyAlignment="1">
      <alignment horizontal="center" vertical="center" wrapText="1"/>
    </xf>
    <xf numFmtId="0" fontId="23" fillId="5" borderId="39" xfId="0" applyFont="1" applyFill="1" applyBorder="1" applyAlignment="1">
      <alignment horizontal="center" vertical="center"/>
    </xf>
    <xf numFmtId="0" fontId="13" fillId="5" borderId="18" xfId="0" applyFont="1" applyFill="1" applyBorder="1" applyAlignment="1">
      <alignment horizontal="center" vertical="center" wrapText="1"/>
    </xf>
    <xf numFmtId="0" fontId="0" fillId="7" borderId="37" xfId="0" applyFill="1" applyBorder="1" applyAlignment="1">
      <alignment horizontal="center" vertical="center" wrapText="1"/>
    </xf>
    <xf numFmtId="165" fontId="0" fillId="12" borderId="76" xfId="0" applyNumberFormat="1" applyFill="1" applyBorder="1" applyAlignment="1">
      <alignment horizontal="center" vertical="center" wrapText="1"/>
    </xf>
    <xf numFmtId="0" fontId="0" fillId="7" borderId="10" xfId="0" applyFill="1" applyBorder="1" applyAlignment="1" applyProtection="1">
      <alignment horizontal="center" vertical="center" wrapText="1"/>
      <protection locked="0"/>
    </xf>
    <xf numFmtId="1" fontId="4" fillId="7" borderId="10" xfId="0" applyNumberFormat="1" applyFont="1" applyFill="1" applyBorder="1" applyAlignment="1">
      <alignment horizontal="center" vertical="center"/>
    </xf>
    <xf numFmtId="0" fontId="0" fillId="2" borderId="15"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54" xfId="0" applyFill="1" applyBorder="1" applyAlignment="1">
      <alignment horizontal="center" vertical="center" wrapText="1"/>
    </xf>
    <xf numFmtId="0" fontId="0" fillId="2" borderId="71" xfId="0" applyFill="1" applyBorder="1" applyAlignment="1">
      <alignment horizontal="center" vertical="center" wrapText="1"/>
    </xf>
    <xf numFmtId="0" fontId="0" fillId="2" borderId="72" xfId="0" applyFill="1" applyBorder="1" applyAlignment="1">
      <alignment horizontal="center" vertical="center" wrapText="1"/>
    </xf>
    <xf numFmtId="164" fontId="0" fillId="2" borderId="71" xfId="0" applyNumberFormat="1" applyFill="1" applyBorder="1" applyAlignment="1">
      <alignment horizontal="center" vertical="center" wrapText="1"/>
    </xf>
    <xf numFmtId="164" fontId="0" fillId="2" borderId="0" xfId="0" applyNumberFormat="1" applyFill="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164" fontId="0" fillId="2" borderId="2" xfId="0" applyNumberFormat="1" applyFill="1" applyBorder="1" applyAlignment="1">
      <alignment horizontal="center" vertical="center" wrapText="1"/>
    </xf>
    <xf numFmtId="0" fontId="15"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0" xfId="0" applyFill="1" applyAlignment="1">
      <alignment horizontal="center" vertical="center" wrapText="1"/>
    </xf>
    <xf numFmtId="0" fontId="0" fillId="2" borderId="2" xfId="0" applyFill="1" applyBorder="1" applyAlignment="1">
      <alignment horizontal="center" vertical="center" wrapText="1"/>
    </xf>
    <xf numFmtId="0" fontId="0" fillId="2" borderId="45" xfId="0" applyFill="1" applyBorder="1" applyAlignment="1">
      <alignment horizontal="center" vertical="center" wrapText="1"/>
    </xf>
    <xf numFmtId="0" fontId="0" fillId="2" borderId="59" xfId="0"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13"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165" fontId="5" fillId="0" borderId="14" xfId="0" applyNumberFormat="1" applyFont="1" applyBorder="1" applyAlignment="1">
      <alignment horizontal="center" vertical="center"/>
    </xf>
    <xf numFmtId="165" fontId="5" fillId="0" borderId="26" xfId="0" applyNumberFormat="1" applyFont="1" applyBorder="1" applyAlignment="1">
      <alignment horizontal="center" vertical="center"/>
    </xf>
    <xf numFmtId="165" fontId="5" fillId="0" borderId="29" xfId="0" applyNumberFormat="1" applyFont="1" applyBorder="1" applyAlignment="1">
      <alignment horizontal="center" vertical="center"/>
    </xf>
    <xf numFmtId="0" fontId="0" fillId="7" borderId="13" xfId="0" applyFill="1" applyBorder="1" applyAlignment="1">
      <alignment horizontal="center" vertical="center" wrapText="1"/>
    </xf>
    <xf numFmtId="0" fontId="23" fillId="5" borderId="78" xfId="0" applyFont="1" applyFill="1" applyBorder="1" applyAlignment="1">
      <alignment vertical="center"/>
    </xf>
    <xf numFmtId="0" fontId="23" fillId="5" borderId="51" xfId="0" applyFont="1" applyFill="1" applyBorder="1" applyAlignment="1">
      <alignment horizontal="center" vertical="center"/>
    </xf>
    <xf numFmtId="0" fontId="23" fillId="5" borderId="52" xfId="0" applyFont="1" applyFill="1" applyBorder="1" applyAlignment="1">
      <alignment horizontal="center" vertical="center"/>
    </xf>
    <xf numFmtId="0" fontId="0" fillId="7" borderId="24" xfId="0" applyFill="1" applyBorder="1" applyAlignment="1">
      <alignment horizontal="center" vertical="center" wrapText="1"/>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3" borderId="0" xfId="0" applyFont="1" applyFill="1" applyAlignment="1">
      <alignment horizontal="center" vertical="center" wrapText="1"/>
    </xf>
    <xf numFmtId="0" fontId="13" fillId="5" borderId="12"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13" fillId="5" borderId="61" xfId="0" applyFont="1" applyFill="1" applyBorder="1" applyAlignment="1">
      <alignment horizontal="center" vertical="center" wrapText="1"/>
    </xf>
    <xf numFmtId="0" fontId="23" fillId="5" borderId="11" xfId="0" applyFont="1" applyFill="1" applyBorder="1" applyAlignment="1">
      <alignment horizontal="center" vertical="center"/>
    </xf>
    <xf numFmtId="0" fontId="23" fillId="5" borderId="25" xfId="0" applyFont="1" applyFill="1" applyBorder="1" applyAlignment="1">
      <alignment horizontal="center" vertical="center"/>
    </xf>
    <xf numFmtId="0" fontId="25" fillId="4" borderId="50" xfId="1" applyFont="1" applyFill="1" applyBorder="1" applyAlignment="1" applyProtection="1">
      <alignment horizontal="center" vertical="center"/>
      <protection locked="0"/>
    </xf>
    <xf numFmtId="14" fontId="5" fillId="0" borderId="43" xfId="0" applyNumberFormat="1" applyFont="1" applyBorder="1" applyAlignment="1" applyProtection="1">
      <alignment horizontal="center" vertical="center"/>
      <protection locked="0"/>
    </xf>
    <xf numFmtId="14" fontId="5" fillId="0" borderId="36" xfId="0" applyNumberFormat="1" applyFont="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4" fillId="7" borderId="29" xfId="21" applyFont="1" applyFill="1" applyBorder="1" applyAlignment="1" applyProtection="1">
      <alignment horizontal="center" vertical="center" wrapText="1"/>
    </xf>
    <xf numFmtId="0" fontId="20" fillId="7" borderId="29" xfId="21" applyFont="1" applyFill="1" applyBorder="1" applyAlignment="1" applyProtection="1">
      <alignment horizontal="center" vertical="center" wrapText="1"/>
    </xf>
    <xf numFmtId="0" fontId="20" fillId="7" borderId="14" xfId="21" applyFont="1" applyFill="1" applyBorder="1" applyAlignment="1" applyProtection="1">
      <alignment horizontal="center" vertical="center" wrapText="1"/>
    </xf>
    <xf numFmtId="1" fontId="4" fillId="7" borderId="45" xfId="0" applyNumberFormat="1" applyFont="1" applyFill="1" applyBorder="1" applyAlignment="1">
      <alignment horizontal="center" vertical="center"/>
    </xf>
    <xf numFmtId="0" fontId="0" fillId="13" borderId="0" xfId="0" applyFill="1" applyAlignment="1">
      <alignment horizontal="left"/>
    </xf>
    <xf numFmtId="0" fontId="23" fillId="14" borderId="9" xfId="0" applyFont="1" applyFill="1" applyBorder="1" applyAlignment="1">
      <alignment horizontal="center" vertical="center"/>
    </xf>
    <xf numFmtId="0" fontId="29" fillId="5" borderId="11" xfId="0" applyFont="1" applyFill="1" applyBorder="1" applyAlignment="1">
      <alignment horizontal="center" vertical="center" wrapText="1"/>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22" borderId="20" xfId="0" applyFill="1" applyBorder="1" applyAlignment="1">
      <alignment horizontal="center" vertical="center" wrapText="1"/>
    </xf>
    <xf numFmtId="0" fontId="0" fillId="7" borderId="22" xfId="0" applyFill="1" applyBorder="1" applyAlignment="1">
      <alignment horizontal="center" vertical="center" wrapText="1"/>
    </xf>
    <xf numFmtId="1" fontId="4" fillId="7" borderId="22" xfId="0" applyNumberFormat="1" applyFont="1" applyFill="1" applyBorder="1" applyAlignment="1">
      <alignment horizontal="center" vertical="center"/>
    </xf>
    <xf numFmtId="0" fontId="0" fillId="0" borderId="23" xfId="0" applyBorder="1" applyAlignment="1" applyProtection="1">
      <alignment horizontal="center" vertical="center" wrapText="1"/>
      <protection locked="0"/>
    </xf>
    <xf numFmtId="0" fontId="15" fillId="5" borderId="34" xfId="0" applyFont="1" applyFill="1" applyBorder="1" applyAlignment="1">
      <alignment horizontal="center" vertical="center"/>
    </xf>
    <xf numFmtId="0" fontId="0" fillId="4" borderId="25" xfId="0" applyFill="1" applyBorder="1" applyAlignment="1" applyProtection="1">
      <alignment horizontal="center" vertical="center" wrapText="1"/>
      <protection locked="0"/>
    </xf>
    <xf numFmtId="0" fontId="15" fillId="14" borderId="4" xfId="0" applyFont="1" applyFill="1" applyBorder="1" applyAlignment="1">
      <alignment horizontal="center" vertical="center" wrapText="1"/>
    </xf>
    <xf numFmtId="1" fontId="0" fillId="12" borderId="78" xfId="0" applyNumberFormat="1" applyFill="1" applyBorder="1" applyAlignment="1">
      <alignment horizontal="center" vertical="center" wrapText="1"/>
    </xf>
    <xf numFmtId="1" fontId="0" fillId="12" borderId="51" xfId="0" applyNumberFormat="1" applyFill="1" applyBorder="1" applyAlignment="1">
      <alignment horizontal="center" vertical="center" wrapText="1"/>
    </xf>
    <xf numFmtId="1" fontId="0" fillId="12" borderId="52" xfId="0" applyNumberFormat="1" applyFill="1" applyBorder="1" applyAlignment="1">
      <alignment horizontal="center" vertical="center" wrapText="1"/>
    </xf>
    <xf numFmtId="1" fontId="4" fillId="7" borderId="21" xfId="0" applyNumberFormat="1" applyFont="1" applyFill="1" applyBorder="1" applyAlignment="1">
      <alignment horizontal="center" vertical="center"/>
    </xf>
    <xf numFmtId="165" fontId="26" fillId="6" borderId="29" xfId="0" applyNumberFormat="1" applyFont="1" applyFill="1" applyBorder="1" applyAlignment="1">
      <alignment horizontal="center" vertical="center" wrapText="1"/>
    </xf>
    <xf numFmtId="165" fontId="26" fillId="6" borderId="14" xfId="0" applyNumberFormat="1" applyFont="1" applyFill="1" applyBorder="1" applyAlignment="1">
      <alignment horizontal="center" vertical="center" wrapText="1"/>
    </xf>
    <xf numFmtId="0" fontId="44" fillId="13" borderId="0" xfId="0" applyFont="1" applyFill="1" applyAlignment="1">
      <alignment vertical="center"/>
    </xf>
    <xf numFmtId="0" fontId="47" fillId="13" borderId="0" xfId="0" applyFont="1" applyFill="1" applyAlignment="1">
      <alignment horizontal="center" vertical="center" wrapText="1"/>
    </xf>
    <xf numFmtId="165" fontId="48" fillId="13" borderId="0" xfId="0" applyNumberFormat="1" applyFont="1" applyFill="1" applyAlignment="1">
      <alignment horizontal="center" vertical="center" wrapText="1"/>
    </xf>
    <xf numFmtId="166" fontId="48" fillId="13" borderId="0" xfId="0" applyNumberFormat="1" applyFont="1" applyFill="1" applyAlignment="1">
      <alignment horizontal="left" vertical="center" wrapText="1"/>
    </xf>
    <xf numFmtId="166" fontId="44" fillId="13" borderId="0" xfId="0" applyNumberFormat="1" applyFont="1" applyFill="1" applyAlignment="1">
      <alignment horizontal="left"/>
    </xf>
    <xf numFmtId="0" fontId="23" fillId="5" borderId="39" xfId="0" applyFont="1" applyFill="1" applyBorder="1" applyAlignment="1">
      <alignment horizontal="center" vertical="center" wrapText="1"/>
    </xf>
    <xf numFmtId="165" fontId="0" fillId="12" borderId="29" xfId="0" applyNumberFormat="1" applyFill="1" applyBorder="1" applyAlignment="1">
      <alignment horizontal="center" vertical="center" wrapText="1"/>
    </xf>
    <xf numFmtId="1" fontId="0" fillId="2" borderId="24" xfId="0" applyNumberFormat="1" applyFill="1" applyBorder="1" applyAlignment="1">
      <alignment horizontal="center" vertical="center" wrapText="1"/>
    </xf>
    <xf numFmtId="1" fontId="0" fillId="2" borderId="19" xfId="0" applyNumberFormat="1" applyFill="1" applyBorder="1" applyAlignment="1">
      <alignment horizontal="center" vertical="center" wrapText="1"/>
    </xf>
    <xf numFmtId="1" fontId="0" fillId="2" borderId="18" xfId="0" applyNumberFormat="1" applyFill="1" applyBorder="1" applyAlignment="1">
      <alignment horizontal="center" vertical="center" wrapText="1"/>
    </xf>
    <xf numFmtId="1" fontId="0" fillId="2" borderId="29" xfId="0" applyNumberFormat="1" applyFill="1" applyBorder="1" applyAlignment="1">
      <alignment horizontal="center" vertical="center" wrapText="1"/>
    </xf>
    <xf numFmtId="1" fontId="2" fillId="12" borderId="14" xfId="0" applyNumberFormat="1" applyFont="1" applyFill="1" applyBorder="1" applyAlignment="1">
      <alignment horizontal="center" vertical="center" wrapText="1"/>
    </xf>
    <xf numFmtId="1" fontId="0" fillId="0" borderId="19" xfId="0" applyNumberFormat="1" applyBorder="1" applyAlignment="1" applyProtection="1">
      <alignment horizontal="center" vertical="center"/>
      <protection locked="0"/>
    </xf>
    <xf numFmtId="1" fontId="0" fillId="0" borderId="28" xfId="0" applyNumberFormat="1" applyBorder="1" applyAlignment="1" applyProtection="1">
      <alignment horizontal="center" vertical="center" wrapText="1"/>
      <protection locked="0"/>
    </xf>
    <xf numFmtId="1" fontId="0" fillId="0" borderId="29" xfId="0" applyNumberFormat="1" applyBorder="1" applyAlignment="1" applyProtection="1">
      <alignment horizontal="center" vertical="center"/>
      <protection locked="0"/>
    </xf>
    <xf numFmtId="1" fontId="2" fillId="12" borderId="11" xfId="0" applyNumberFormat="1" applyFont="1" applyFill="1" applyBorder="1" applyAlignment="1">
      <alignment horizontal="center" vertical="center" wrapText="1"/>
    </xf>
    <xf numFmtId="0" fontId="26" fillId="7" borderId="13" xfId="0" applyFont="1" applyFill="1" applyBorder="1" applyAlignment="1">
      <alignment horizontal="center" vertical="center"/>
    </xf>
    <xf numFmtId="165" fontId="26" fillId="7" borderId="13" xfId="0" applyNumberFormat="1" applyFont="1" applyFill="1" applyBorder="1" applyAlignment="1">
      <alignment horizontal="center" vertical="center" wrapText="1"/>
    </xf>
    <xf numFmtId="165" fontId="26" fillId="7" borderId="14" xfId="0" applyNumberFormat="1" applyFont="1" applyFill="1" applyBorder="1" applyAlignment="1">
      <alignment horizontal="center" wrapText="1"/>
    </xf>
    <xf numFmtId="1" fontId="4" fillId="7" borderId="50" xfId="0" applyNumberFormat="1" applyFont="1" applyFill="1" applyBorder="1" applyAlignment="1">
      <alignment horizontal="center" vertical="center"/>
    </xf>
    <xf numFmtId="0" fontId="0" fillId="7" borderId="79" xfId="0" applyFill="1" applyBorder="1" applyAlignment="1">
      <alignment horizontal="center" vertical="center" wrapText="1"/>
    </xf>
    <xf numFmtId="1" fontId="4" fillId="7" borderId="59" xfId="0" applyNumberFormat="1" applyFont="1" applyFill="1" applyBorder="1" applyAlignment="1">
      <alignment horizontal="center" vertical="center"/>
    </xf>
    <xf numFmtId="1" fontId="0" fillId="12" borderId="7" xfId="0" applyNumberFormat="1" applyFill="1" applyBorder="1" applyAlignment="1">
      <alignment horizontal="center" vertical="center" wrapText="1"/>
    </xf>
    <xf numFmtId="0" fontId="0" fillId="23" borderId="1" xfId="0" applyFill="1" applyBorder="1" applyAlignment="1">
      <alignment vertical="center" wrapText="1"/>
    </xf>
    <xf numFmtId="0" fontId="0" fillId="23" borderId="2" xfId="0" applyFill="1" applyBorder="1"/>
    <xf numFmtId="0" fontId="13" fillId="5" borderId="15" xfId="0" applyFont="1" applyFill="1" applyBorder="1" applyAlignment="1">
      <alignment horizontal="center" vertical="center" wrapText="1"/>
    </xf>
    <xf numFmtId="0" fontId="13" fillId="5" borderId="54" xfId="0" applyFont="1" applyFill="1" applyBorder="1" applyAlignment="1">
      <alignment horizontal="center" vertical="center" wrapText="1"/>
    </xf>
    <xf numFmtId="0" fontId="13" fillId="5" borderId="16" xfId="0" applyFont="1" applyFill="1" applyBorder="1" applyAlignment="1">
      <alignment horizontal="center" vertical="center" wrapText="1"/>
    </xf>
    <xf numFmtId="0" fontId="0" fillId="0" borderId="67" xfId="0" applyBorder="1" applyAlignment="1" applyProtection="1">
      <alignment horizontal="center" vertical="center" wrapText="1"/>
      <protection locked="0"/>
    </xf>
    <xf numFmtId="0" fontId="0" fillId="23" borderId="2" xfId="0" applyFill="1" applyBorder="1" applyAlignment="1">
      <alignment vertical="center" wrapText="1"/>
    </xf>
    <xf numFmtId="0" fontId="49" fillId="13" borderId="0" xfId="0" applyFont="1" applyFill="1" applyAlignment="1">
      <alignment horizontal="center" vertical="center"/>
    </xf>
    <xf numFmtId="0" fontId="44" fillId="13" borderId="0" xfId="0" applyFont="1" applyFill="1" applyAlignment="1">
      <alignment wrapText="1"/>
    </xf>
    <xf numFmtId="0" fontId="2" fillId="11" borderId="18" xfId="0" applyFont="1" applyFill="1" applyBorder="1" applyAlignment="1">
      <alignment horizontal="center" vertical="center" wrapText="1"/>
    </xf>
    <xf numFmtId="0" fontId="0" fillId="0" borderId="24" xfId="0" applyBorder="1" applyAlignment="1">
      <alignment horizontal="center" vertical="center"/>
    </xf>
    <xf numFmtId="0" fontId="0" fillId="0" borderId="24" xfId="0" applyBorder="1" applyAlignment="1">
      <alignment horizontal="center" vertical="center" wrapText="1"/>
    </xf>
    <xf numFmtId="0" fontId="2" fillId="11" borderId="13" xfId="0" applyFont="1" applyFill="1" applyBorder="1" applyAlignment="1">
      <alignment horizontal="center" vertical="center" wrapText="1"/>
    </xf>
    <xf numFmtId="0" fontId="2" fillId="11"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22"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50" fillId="5" borderId="18" xfId="0" applyFont="1" applyFill="1" applyBorder="1" applyAlignment="1">
      <alignment horizontal="center" vertical="center" wrapText="1"/>
    </xf>
    <xf numFmtId="0" fontId="32"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21" borderId="26" xfId="0" applyFill="1" applyBorder="1" applyAlignment="1">
      <alignment horizontal="center" vertical="center"/>
    </xf>
    <xf numFmtId="0" fontId="0" fillId="21" borderId="29" xfId="0" applyFill="1" applyBorder="1" applyAlignment="1">
      <alignment horizontal="center" vertical="center"/>
    </xf>
    <xf numFmtId="0" fontId="0" fillId="0" borderId="13" xfId="0" applyBorder="1" applyAlignment="1">
      <alignment horizontal="center" vertical="center" wrapText="1"/>
    </xf>
    <xf numFmtId="0" fontId="0" fillId="21" borderId="14" xfId="0" applyFill="1" applyBorder="1" applyAlignment="1">
      <alignment horizontal="center" vertical="center"/>
    </xf>
    <xf numFmtId="0" fontId="0" fillId="12" borderId="26" xfId="0" applyFill="1" applyBorder="1" applyAlignment="1">
      <alignment horizontal="center" vertical="center"/>
    </xf>
    <xf numFmtId="0" fontId="0" fillId="12" borderId="29" xfId="0" applyFill="1" applyBorder="1" applyAlignment="1">
      <alignment horizontal="center" vertical="center"/>
    </xf>
    <xf numFmtId="0" fontId="0" fillId="12"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2"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14" fontId="5" fillId="0" borderId="39" xfId="0" applyNumberFormat="1" applyFont="1" applyBorder="1" applyAlignment="1" applyProtection="1">
      <alignment horizontal="center" vertical="center"/>
      <protection locked="0"/>
    </xf>
    <xf numFmtId="14" fontId="5" fillId="0" borderId="26" xfId="0" applyNumberFormat="1" applyFont="1" applyBorder="1" applyAlignment="1" applyProtection="1">
      <alignment horizontal="center" vertical="center"/>
      <protection locked="0"/>
    </xf>
    <xf numFmtId="0" fontId="0" fillId="0" borderId="54" xfId="0" applyBorder="1" applyAlignment="1">
      <alignment horizontal="center" vertical="center"/>
    </xf>
    <xf numFmtId="0" fontId="0" fillId="0" borderId="54" xfId="0" applyBorder="1" applyAlignment="1">
      <alignment horizontal="center" vertical="center" wrapText="1"/>
    </xf>
    <xf numFmtId="0" fontId="0" fillId="0" borderId="80" xfId="0" applyBorder="1" applyAlignment="1">
      <alignment horizontal="center" vertical="center"/>
    </xf>
    <xf numFmtId="0" fontId="0" fillId="0" borderId="80" xfId="0" applyBorder="1" applyAlignment="1">
      <alignment horizontal="center" vertical="center" wrapText="1"/>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165" fontId="0" fillId="12" borderId="15" xfId="0" applyNumberFormat="1" applyFill="1" applyBorder="1" applyAlignment="1">
      <alignment horizontal="center" vertical="center" wrapText="1"/>
    </xf>
    <xf numFmtId="1" fontId="0" fillId="12" borderId="54" xfId="0" applyNumberFormat="1" applyFill="1" applyBorder="1" applyAlignment="1">
      <alignment horizontal="center" vertical="center" wrapText="1"/>
    </xf>
    <xf numFmtId="165" fontId="0" fillId="12" borderId="16" xfId="0" applyNumberFormat="1" applyFill="1" applyBorder="1" applyAlignment="1">
      <alignment horizontal="center" vertical="center" wrapText="1"/>
    </xf>
    <xf numFmtId="1" fontId="0" fillId="12" borderId="62" xfId="0" applyNumberFormat="1" applyFill="1" applyBorder="1" applyAlignment="1">
      <alignment horizontal="center" vertical="center" wrapText="1"/>
    </xf>
    <xf numFmtId="167" fontId="26" fillId="7" borderId="18" xfId="0" applyNumberFormat="1" applyFont="1" applyFill="1" applyBorder="1" applyAlignment="1">
      <alignment horizontal="center" vertical="center" wrapText="1"/>
    </xf>
    <xf numFmtId="0" fontId="4" fillId="13" borderId="0" xfId="0" applyFont="1" applyFill="1" applyAlignment="1">
      <alignment wrapText="1"/>
    </xf>
    <xf numFmtId="0" fontId="48" fillId="13" borderId="0" xfId="0" applyFont="1" applyFill="1" applyAlignment="1">
      <alignment horizontal="center" vertical="center" wrapText="1"/>
    </xf>
    <xf numFmtId="0" fontId="48" fillId="13" borderId="0" xfId="0" applyFont="1" applyFill="1" applyAlignment="1">
      <alignment horizontal="center"/>
    </xf>
    <xf numFmtId="0" fontId="23" fillId="5" borderId="37" xfId="0" applyFont="1" applyFill="1" applyBorder="1" applyAlignment="1">
      <alignment horizontal="center" vertical="center" wrapText="1"/>
    </xf>
    <xf numFmtId="0" fontId="0" fillId="7" borderId="70" xfId="0" applyFill="1" applyBorder="1" applyAlignment="1">
      <alignment vertical="center" wrapText="1"/>
    </xf>
    <xf numFmtId="0" fontId="0" fillId="7" borderId="24" xfId="0" applyFill="1" applyBorder="1" applyAlignment="1">
      <alignment vertical="center" wrapText="1"/>
    </xf>
    <xf numFmtId="0" fontId="0" fillId="7" borderId="54" xfId="0" applyFill="1" applyBorder="1" applyAlignment="1">
      <alignment vertical="center" wrapText="1"/>
    </xf>
    <xf numFmtId="0" fontId="0" fillId="7" borderId="69" xfId="0" applyFill="1" applyBorder="1" applyAlignment="1">
      <alignment vertical="center" wrapText="1"/>
    </xf>
    <xf numFmtId="0" fontId="20" fillId="13" borderId="38" xfId="0" applyFont="1" applyFill="1" applyBorder="1" applyAlignment="1">
      <alignment vertical="center" wrapText="1"/>
    </xf>
    <xf numFmtId="165" fontId="20" fillId="13" borderId="18" xfId="0" applyNumberFormat="1" applyFont="1" applyFill="1" applyBorder="1" applyAlignment="1">
      <alignment vertical="center" wrapText="1"/>
    </xf>
    <xf numFmtId="0" fontId="28" fillId="5" borderId="53" xfId="0" applyFont="1" applyFill="1" applyBorder="1" applyAlignment="1">
      <alignment horizontal="center" vertical="center" wrapText="1"/>
    </xf>
    <xf numFmtId="0" fontId="28" fillId="5" borderId="9" xfId="0" applyFont="1" applyFill="1" applyBorder="1" applyAlignment="1">
      <alignment horizontal="center" vertical="center" wrapText="1"/>
    </xf>
    <xf numFmtId="165" fontId="38" fillId="7" borderId="77" xfId="0" applyNumberFormat="1" applyFont="1" applyFill="1" applyBorder="1" applyAlignment="1">
      <alignment horizontal="center" vertical="center" wrapText="1"/>
    </xf>
    <xf numFmtId="49" fontId="4" fillId="13" borderId="0" xfId="0" applyNumberFormat="1" applyFont="1" applyFill="1" applyAlignment="1">
      <alignment horizontal="center"/>
    </xf>
    <xf numFmtId="49" fontId="0" fillId="13" borderId="0" xfId="0" applyNumberFormat="1" applyFill="1" applyAlignment="1">
      <alignment horizontal="center"/>
    </xf>
    <xf numFmtId="0" fontId="4" fillId="13" borderId="0" xfId="0" applyFont="1" applyFill="1" applyAlignment="1">
      <alignment horizontal="center"/>
    </xf>
    <xf numFmtId="0" fontId="0" fillId="13" borderId="0" xfId="0" applyFill="1" applyAlignment="1">
      <alignment horizontal="center" vertical="top"/>
    </xf>
    <xf numFmtId="0" fontId="51" fillId="13" borderId="0" xfId="0" applyFont="1" applyFill="1" applyAlignment="1">
      <alignment horizontal="center" vertical="center"/>
    </xf>
    <xf numFmtId="0" fontId="0" fillId="13" borderId="0" xfId="0" applyFill="1" applyAlignment="1">
      <alignment horizontal="center" vertical="top" wrapText="1"/>
    </xf>
    <xf numFmtId="0" fontId="26" fillId="15" borderId="39" xfId="1" applyFont="1" applyFill="1" applyBorder="1" applyAlignment="1">
      <alignment horizontal="center" vertical="center"/>
    </xf>
    <xf numFmtId="0" fontId="26" fillId="15" borderId="26" xfId="1" applyFont="1" applyFill="1" applyBorder="1" applyAlignment="1">
      <alignment horizontal="center" vertical="center"/>
    </xf>
    <xf numFmtId="0" fontId="26" fillId="15" borderId="18" xfId="1" applyFont="1" applyFill="1" applyBorder="1" applyAlignment="1">
      <alignment horizontal="center" vertical="center"/>
    </xf>
    <xf numFmtId="0" fontId="26" fillId="15" borderId="29" xfId="1" applyFont="1" applyFill="1" applyBorder="1" applyAlignment="1">
      <alignment horizontal="center" vertical="center"/>
    </xf>
    <xf numFmtId="0" fontId="0" fillId="22" borderId="25" xfId="0" applyFill="1" applyBorder="1" applyAlignment="1">
      <alignment horizontal="center" vertical="center"/>
    </xf>
    <xf numFmtId="0" fontId="0" fillId="22" borderId="39" xfId="0" applyFill="1" applyBorder="1" applyAlignment="1">
      <alignment horizontal="center" vertical="center"/>
    </xf>
    <xf numFmtId="0" fontId="0" fillId="22" borderId="28" xfId="0" applyFill="1" applyBorder="1" applyAlignment="1">
      <alignment horizontal="center" vertical="center"/>
    </xf>
    <xf numFmtId="0" fontId="0" fillId="22" borderId="18" xfId="0" applyFill="1" applyBorder="1" applyAlignment="1">
      <alignment horizontal="center" vertical="center"/>
    </xf>
    <xf numFmtId="0" fontId="19" fillId="0" borderId="28" xfId="0" applyFont="1" applyBorder="1" applyAlignment="1" applyProtection="1">
      <alignment horizontal="center" vertical="center" wrapText="1"/>
      <protection locked="0"/>
    </xf>
    <xf numFmtId="0" fontId="19" fillId="0" borderId="18" xfId="0" applyFont="1" applyBorder="1" applyAlignment="1" applyProtection="1">
      <alignment horizontal="center" vertical="center" wrapText="1"/>
      <protection locked="0"/>
    </xf>
    <xf numFmtId="0" fontId="26" fillId="16" borderId="28" xfId="1" applyFont="1" applyFill="1" applyBorder="1" applyAlignment="1">
      <alignment horizontal="center" vertical="center"/>
    </xf>
    <xf numFmtId="0" fontId="26" fillId="16" borderId="18" xfId="1" applyFont="1" applyFill="1" applyBorder="1" applyAlignment="1">
      <alignment horizontal="center" vertical="center"/>
    </xf>
    <xf numFmtId="0" fontId="12" fillId="15" borderId="18" xfId="1" applyFont="1" applyFill="1" applyBorder="1" applyAlignment="1">
      <alignment horizontal="center" vertical="center"/>
    </xf>
    <xf numFmtId="0" fontId="12" fillId="15" borderId="29" xfId="1" applyFont="1" applyFill="1" applyBorder="1" applyAlignment="1">
      <alignment horizontal="center" vertical="center"/>
    </xf>
    <xf numFmtId="0" fontId="12" fillId="15" borderId="13" xfId="1" applyFont="1" applyFill="1" applyBorder="1" applyAlignment="1">
      <alignment horizontal="center" vertical="center"/>
    </xf>
    <xf numFmtId="0" fontId="12" fillId="15" borderId="14" xfId="1" applyFont="1" applyFill="1" applyBorder="1" applyAlignment="1">
      <alignment horizontal="center" vertical="center"/>
    </xf>
    <xf numFmtId="0" fontId="26" fillId="17" borderId="28" xfId="1" applyFont="1" applyFill="1" applyBorder="1" applyAlignment="1">
      <alignment horizontal="center" vertical="center"/>
    </xf>
    <xf numFmtId="0" fontId="26" fillId="17" borderId="18" xfId="1" applyFont="1" applyFill="1" applyBorder="1" applyAlignment="1">
      <alignment horizontal="center" vertical="center"/>
    </xf>
    <xf numFmtId="0" fontId="26" fillId="17" borderId="11" xfId="1" applyFont="1" applyFill="1" applyBorder="1" applyAlignment="1">
      <alignment horizontal="center" vertical="center"/>
    </xf>
    <xf numFmtId="0" fontId="26" fillId="17" borderId="13" xfId="1" applyFont="1" applyFill="1" applyBorder="1" applyAlignment="1">
      <alignment horizontal="center" vertical="center"/>
    </xf>
    <xf numFmtId="0" fontId="6" fillId="13" borderId="0" xfId="0" applyFont="1" applyFill="1" applyAlignment="1">
      <alignment horizontal="center"/>
    </xf>
    <xf numFmtId="0" fontId="8" fillId="13" borderId="0" xfId="0" applyFont="1" applyFill="1" applyAlignment="1">
      <alignment horizontal="center" vertical="center"/>
    </xf>
    <xf numFmtId="0" fontId="30" fillId="13" borderId="0" xfId="0" applyFont="1" applyFill="1" applyAlignment="1">
      <alignment horizontal="center" vertical="center"/>
    </xf>
    <xf numFmtId="0" fontId="2" fillId="13" borderId="0" xfId="0" applyFont="1" applyFill="1" applyAlignment="1">
      <alignment horizontal="center"/>
    </xf>
    <xf numFmtId="0" fontId="0" fillId="13" borderId="0" xfId="0" applyFill="1" applyAlignment="1">
      <alignment horizontal="left" vertical="top" wrapText="1"/>
    </xf>
    <xf numFmtId="0" fontId="5" fillId="13" borderId="0" xfId="0" applyFont="1" applyFill="1" applyAlignment="1">
      <alignment horizontal="center" vertical="center" wrapText="1"/>
    </xf>
    <xf numFmtId="0" fontId="5" fillId="13" borderId="33"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8" fillId="5" borderId="58" xfId="0" applyFont="1" applyFill="1" applyBorder="1" applyAlignment="1">
      <alignment horizontal="center" vertical="center" wrapText="1"/>
    </xf>
    <xf numFmtId="0" fontId="18" fillId="5" borderId="10" xfId="0" applyFont="1" applyFill="1" applyBorder="1" applyAlignment="1">
      <alignment horizontal="center" vertical="center" wrapText="1"/>
    </xf>
    <xf numFmtId="0" fontId="5" fillId="13" borderId="33" xfId="0" applyFont="1" applyFill="1" applyBorder="1" applyAlignment="1">
      <alignment horizontal="center" vertical="center"/>
    </xf>
    <xf numFmtId="0" fontId="5" fillId="13" borderId="0" xfId="0" applyFont="1" applyFill="1" applyAlignment="1">
      <alignment horizontal="center" vertical="center"/>
    </xf>
    <xf numFmtId="0" fontId="23" fillId="5" borderId="45" xfId="1" applyFont="1" applyFill="1" applyBorder="1" applyAlignment="1">
      <alignment horizontal="center" vertical="center"/>
    </xf>
    <xf numFmtId="0" fontId="23" fillId="5" borderId="56" xfId="1" applyFont="1" applyFill="1" applyBorder="1" applyAlignment="1">
      <alignment horizontal="center" vertical="center"/>
    </xf>
    <xf numFmtId="0" fontId="23" fillId="5" borderId="5" xfId="1" applyFont="1" applyFill="1" applyBorder="1" applyAlignment="1">
      <alignment horizontal="center" vertical="center"/>
    </xf>
    <xf numFmtId="0" fontId="23" fillId="5" borderId="6" xfId="1" applyFont="1" applyFill="1" applyBorder="1" applyAlignment="1">
      <alignment horizontal="center" vertical="center"/>
    </xf>
    <xf numFmtId="0" fontId="23" fillId="5" borderId="47" xfId="1" applyFont="1" applyFill="1" applyBorder="1" applyAlignment="1">
      <alignment horizontal="center" vertical="center"/>
    </xf>
    <xf numFmtId="0" fontId="23" fillId="5" borderId="55" xfId="1" applyFont="1" applyFill="1" applyBorder="1" applyAlignment="1">
      <alignment horizontal="center" vertical="center"/>
    </xf>
    <xf numFmtId="0" fontId="45" fillId="13" borderId="0" xfId="0" applyFont="1" applyFill="1" applyAlignment="1">
      <alignment horizontal="center" vertical="center"/>
    </xf>
    <xf numFmtId="0" fontId="23" fillId="5" borderId="1" xfId="0" applyFont="1" applyFill="1" applyBorder="1" applyAlignment="1">
      <alignment horizontal="center" vertical="center"/>
    </xf>
    <xf numFmtId="0" fontId="23" fillId="5" borderId="40" xfId="0" applyFont="1" applyFill="1" applyBorder="1" applyAlignment="1">
      <alignment horizontal="center" vertical="center"/>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23" fillId="14" borderId="13" xfId="0" applyFont="1" applyFill="1" applyBorder="1" applyAlignment="1">
      <alignment horizontal="center" vertical="center"/>
    </xf>
    <xf numFmtId="0" fontId="23" fillId="14" borderId="14" xfId="0" applyFont="1" applyFill="1" applyBorder="1" applyAlignment="1">
      <alignment horizontal="center" vertical="center"/>
    </xf>
    <xf numFmtId="0" fontId="23" fillId="14" borderId="39" xfId="0" applyFont="1" applyFill="1" applyBorder="1" applyAlignment="1">
      <alignment horizontal="center" vertical="center"/>
    </xf>
    <xf numFmtId="0" fontId="23" fillId="14" borderId="26" xfId="0" applyFont="1" applyFill="1" applyBorder="1" applyAlignment="1">
      <alignment horizontal="center" vertical="center"/>
    </xf>
    <xf numFmtId="0" fontId="20" fillId="0" borderId="27" xfId="0" applyFont="1" applyBorder="1" applyAlignment="1" applyProtection="1">
      <alignment horizontal="center" vertical="center" wrapText="1"/>
      <protection locked="0"/>
    </xf>
    <xf numFmtId="0" fontId="20" fillId="0" borderId="56" xfId="0" applyFont="1" applyBorder="1" applyAlignment="1" applyProtection="1">
      <alignment horizontal="center" vertical="center" wrapText="1"/>
      <protection locked="0"/>
    </xf>
    <xf numFmtId="0" fontId="20" fillId="0" borderId="61" xfId="0" applyFont="1" applyBorder="1" applyAlignment="1" applyProtection="1">
      <alignment horizontal="center" vertical="center" wrapText="1"/>
      <protection locked="0"/>
    </xf>
    <xf numFmtId="0" fontId="20" fillId="0" borderId="55" xfId="0" applyFont="1" applyBorder="1" applyAlignment="1" applyProtection="1">
      <alignment horizontal="center" vertical="center" wrapText="1"/>
      <protection locked="0"/>
    </xf>
    <xf numFmtId="0" fontId="13" fillId="14" borderId="25" xfId="0" applyFont="1" applyFill="1" applyBorder="1" applyAlignment="1">
      <alignment horizontal="center" vertical="center"/>
    </xf>
    <xf numFmtId="0" fontId="13" fillId="14" borderId="11" xfId="0" applyFont="1" applyFill="1" applyBorder="1" applyAlignment="1">
      <alignment horizontal="center" vertical="center"/>
    </xf>
    <xf numFmtId="0" fontId="23" fillId="5" borderId="11" xfId="0" applyFont="1" applyFill="1" applyBorder="1" applyAlignment="1">
      <alignment horizontal="center"/>
    </xf>
    <xf numFmtId="0" fontId="23" fillId="5" borderId="13" xfId="0" applyFont="1" applyFill="1" applyBorder="1" applyAlignment="1">
      <alignment horizontal="center"/>
    </xf>
    <xf numFmtId="0" fontId="23" fillId="5" borderId="25" xfId="0" applyFont="1" applyFill="1" applyBorder="1" applyAlignment="1">
      <alignment horizontal="center"/>
    </xf>
    <xf numFmtId="0" fontId="23" fillId="5" borderId="39" xfId="0" applyFont="1" applyFill="1" applyBorder="1" applyAlignment="1">
      <alignment horizontal="center"/>
    </xf>
    <xf numFmtId="0" fontId="38" fillId="0" borderId="0" xfId="0" applyFont="1" applyAlignment="1">
      <alignment horizontal="center" vertical="center" wrapText="1"/>
    </xf>
    <xf numFmtId="0" fontId="30" fillId="13" borderId="33" xfId="0" applyFont="1" applyFill="1" applyBorder="1" applyAlignment="1">
      <alignment horizontal="center" vertical="center"/>
    </xf>
    <xf numFmtId="0" fontId="13" fillId="14" borderId="20" xfId="0" applyFont="1" applyFill="1" applyBorder="1" applyAlignment="1">
      <alignment horizontal="center" vertical="center"/>
    </xf>
    <xf numFmtId="0" fontId="13" fillId="14" borderId="15" xfId="0" applyFont="1" applyFill="1" applyBorder="1" applyAlignment="1">
      <alignment horizontal="center" vertical="center"/>
    </xf>
    <xf numFmtId="0" fontId="13" fillId="5" borderId="4" xfId="0" applyFont="1" applyFill="1" applyBorder="1" applyAlignment="1">
      <alignment horizontal="center" vertical="center" wrapText="1"/>
    </xf>
    <xf numFmtId="0" fontId="13" fillId="5" borderId="10" xfId="0" applyFont="1" applyFill="1" applyBorder="1" applyAlignment="1">
      <alignment horizontal="center" vertical="center" wrapText="1"/>
    </xf>
    <xf numFmtId="165" fontId="0" fillId="12" borderId="18" xfId="0" applyNumberFormat="1" applyFill="1" applyBorder="1" applyAlignment="1">
      <alignment horizontal="center" vertical="center" wrapText="1"/>
    </xf>
    <xf numFmtId="165" fontId="0" fillId="12" borderId="29"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18" xfId="0" applyNumberFormat="1" applyFill="1" applyBorder="1" applyAlignment="1">
      <alignment horizontal="center" vertical="center" wrapText="1"/>
    </xf>
    <xf numFmtId="1" fontId="0" fillId="2" borderId="23" xfId="0" applyNumberFormat="1" applyFill="1" applyBorder="1" applyAlignment="1">
      <alignment horizontal="center" vertical="center" wrapText="1"/>
    </xf>
    <xf numFmtId="1" fontId="0" fillId="2" borderId="24" xfId="0" applyNumberFormat="1" applyFill="1" applyBorder="1" applyAlignment="1">
      <alignment horizontal="center" vertical="center" wrapText="1"/>
    </xf>
    <xf numFmtId="0" fontId="13" fillId="5" borderId="12"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3" fillId="5" borderId="61" xfId="0" applyFont="1" applyFill="1" applyBorder="1" applyAlignment="1">
      <alignment horizontal="center" vertical="center" wrapText="1"/>
    </xf>
    <xf numFmtId="0" fontId="13" fillId="5" borderId="42" xfId="0" applyFont="1" applyFill="1" applyBorder="1" applyAlignment="1">
      <alignment horizontal="center" vertical="center" wrapText="1"/>
    </xf>
    <xf numFmtId="165" fontId="0" fillId="12" borderId="37" xfId="0" applyNumberFormat="1" applyFill="1" applyBorder="1" applyAlignment="1">
      <alignment horizontal="center" vertical="center" wrapText="1"/>
    </xf>
    <xf numFmtId="165" fontId="0" fillId="12" borderId="36" xfId="0" applyNumberFormat="1" applyFill="1" applyBorder="1" applyAlignment="1">
      <alignment horizontal="center" vertical="center" wrapText="1"/>
    </xf>
    <xf numFmtId="165" fontId="0" fillId="12" borderId="1" xfId="0" applyNumberFormat="1" applyFill="1" applyBorder="1" applyAlignment="1">
      <alignment horizontal="center" vertical="center" wrapText="1"/>
    </xf>
    <xf numFmtId="165" fontId="0" fillId="12" borderId="3" xfId="0" applyNumberFormat="1" applyFill="1" applyBorder="1" applyAlignment="1">
      <alignment horizontal="center" vertical="center" wrapText="1"/>
    </xf>
    <xf numFmtId="1" fontId="0" fillId="0" borderId="18" xfId="0" applyNumberFormat="1" applyBorder="1" applyAlignment="1" applyProtection="1">
      <alignment horizontal="center" vertical="center" wrapText="1"/>
      <protection locked="0"/>
    </xf>
    <xf numFmtId="1" fontId="0" fillId="0" borderId="24" xfId="0" applyNumberFormat="1" applyBorder="1" applyAlignment="1" applyProtection="1">
      <alignment horizontal="center" vertical="center" wrapText="1"/>
      <protection locked="0"/>
    </xf>
    <xf numFmtId="0" fontId="13" fillId="5" borderId="74" xfId="0" applyFont="1" applyFill="1" applyBorder="1" applyAlignment="1">
      <alignment horizontal="center" vertical="center" wrapText="1"/>
    </xf>
    <xf numFmtId="0" fontId="13" fillId="5" borderId="75" xfId="0" applyFont="1" applyFill="1" applyBorder="1" applyAlignment="1">
      <alignment horizontal="center" vertical="center" wrapText="1"/>
    </xf>
    <xf numFmtId="0" fontId="13" fillId="5" borderId="37" xfId="0" applyFont="1" applyFill="1" applyBorder="1" applyAlignment="1">
      <alignment horizontal="center" vertical="center" wrapText="1"/>
    </xf>
    <xf numFmtId="0" fontId="13"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20" borderId="45" xfId="0" applyFont="1" applyFill="1" applyBorder="1" applyAlignment="1" applyProtection="1">
      <alignment horizontal="center" vertical="center"/>
      <protection locked="0"/>
    </xf>
    <xf numFmtId="0" fontId="4" fillId="20" borderId="56" xfId="0" applyFont="1" applyFill="1" applyBorder="1" applyAlignment="1" applyProtection="1">
      <alignment horizontal="center" vertical="center"/>
      <protection locked="0"/>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3" fillId="5" borderId="55" xfId="0" applyFont="1" applyFill="1" applyBorder="1" applyAlignment="1">
      <alignment horizontal="center" vertical="center" wrapText="1"/>
    </xf>
    <xf numFmtId="1" fontId="2" fillId="12" borderId="61" xfId="0" applyNumberFormat="1" applyFont="1" applyFill="1" applyBorder="1" applyAlignment="1">
      <alignment horizontal="center" vertical="center" wrapText="1"/>
    </xf>
    <xf numFmtId="1" fontId="2" fillId="12"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165" fontId="0" fillId="12" borderId="23" xfId="0" applyNumberFormat="1" applyFill="1" applyBorder="1" applyAlignment="1">
      <alignment horizontal="center" vertical="center" wrapText="1"/>
    </xf>
    <xf numFmtId="165" fontId="0" fillId="12" borderId="24" xfId="0" applyNumberFormat="1" applyFill="1" applyBorder="1" applyAlignment="1">
      <alignment horizontal="center" vertical="center" wrapText="1"/>
    </xf>
    <xf numFmtId="165" fontId="0" fillId="12" borderId="68" xfId="0" applyNumberFormat="1" applyFill="1" applyBorder="1" applyAlignment="1">
      <alignment horizontal="center" vertical="center" wrapText="1"/>
    </xf>
    <xf numFmtId="165" fontId="0" fillId="12" borderId="40" xfId="0" applyNumberFormat="1" applyFill="1" applyBorder="1" applyAlignment="1">
      <alignment horizontal="center" vertical="center" wrapText="1"/>
    </xf>
    <xf numFmtId="165" fontId="0" fillId="12" borderId="53" xfId="0" applyNumberFormat="1" applyFill="1" applyBorder="1" applyAlignment="1">
      <alignment horizontal="center" vertical="center" wrapText="1"/>
    </xf>
    <xf numFmtId="165" fontId="0" fillId="12"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1" fontId="2" fillId="12" borderId="13" xfId="0" applyNumberFormat="1" applyFont="1" applyFill="1" applyBorder="1" applyAlignment="1">
      <alignment horizontal="center" vertical="center" wrapText="1"/>
    </xf>
    <xf numFmtId="1" fontId="0" fillId="0" borderId="21" xfId="0" applyNumberFormat="1" applyBorder="1" applyAlignment="1" applyProtection="1">
      <alignment horizontal="center" vertical="center" wrapText="1"/>
      <protection locked="0"/>
    </xf>
    <xf numFmtId="1" fontId="0" fillId="0" borderId="17" xfId="0" applyNumberFormat="1" applyBorder="1" applyAlignment="1" applyProtection="1">
      <alignment horizontal="center" vertical="center" wrapText="1"/>
      <protection locked="0"/>
    </xf>
    <xf numFmtId="1" fontId="0" fillId="0" borderId="46" xfId="0" applyNumberFormat="1" applyBorder="1" applyAlignment="1" applyProtection="1">
      <alignment horizontal="center" vertical="center" wrapText="1"/>
      <protection locked="0"/>
    </xf>
    <xf numFmtId="0" fontId="20" fillId="0" borderId="42" xfId="0" applyFont="1" applyBorder="1" applyAlignment="1">
      <alignment horizontal="center" vertical="center"/>
    </xf>
    <xf numFmtId="0" fontId="20" fillId="0" borderId="55" xfId="0" applyFont="1" applyBorder="1" applyAlignment="1">
      <alignment horizontal="center" vertical="center"/>
    </xf>
    <xf numFmtId="0" fontId="20" fillId="0" borderId="63" xfId="0" applyFont="1" applyBorder="1" applyAlignment="1">
      <alignment horizontal="center" vertical="center"/>
    </xf>
    <xf numFmtId="0" fontId="20" fillId="0" borderId="6" xfId="0" applyFont="1" applyBorder="1" applyAlignment="1">
      <alignment horizontal="center" vertical="center"/>
    </xf>
    <xf numFmtId="0" fontId="11" fillId="3" borderId="0" xfId="0" applyFont="1" applyFill="1" applyAlignment="1">
      <alignment horizontal="center" vertical="center" textRotation="90"/>
    </xf>
    <xf numFmtId="0" fontId="13" fillId="5" borderId="67" xfId="0" applyFont="1" applyFill="1" applyBorder="1" applyAlignment="1">
      <alignment horizontal="center" vertical="center"/>
    </xf>
    <xf numFmtId="0" fontId="13" fillId="5" borderId="39" xfId="0" applyFont="1" applyFill="1" applyBorder="1" applyAlignment="1">
      <alignment horizontal="center" vertical="center"/>
    </xf>
    <xf numFmtId="0" fontId="13" fillId="5" borderId="26" xfId="0" applyFont="1" applyFill="1" applyBorder="1" applyAlignment="1">
      <alignment horizontal="center" vertical="center"/>
    </xf>
    <xf numFmtId="0" fontId="11" fillId="3" borderId="0" xfId="0" applyFont="1" applyFill="1" applyAlignment="1">
      <alignment horizontal="center" vertical="center"/>
    </xf>
    <xf numFmtId="0" fontId="23" fillId="5" borderId="47" xfId="0" applyFont="1" applyFill="1" applyBorder="1" applyAlignment="1">
      <alignment horizontal="center" vertical="center" wrapText="1"/>
    </xf>
    <xf numFmtId="0" fontId="23" fillId="5" borderId="42" xfId="0" applyFont="1" applyFill="1" applyBorder="1" applyAlignment="1">
      <alignment horizontal="center" vertical="center" wrapText="1"/>
    </xf>
    <xf numFmtId="0" fontId="23" fillId="5" borderId="12" xfId="0" applyFont="1" applyFill="1" applyBorder="1" applyAlignment="1">
      <alignment horizontal="center" vertical="center" wrapText="1"/>
    </xf>
    <xf numFmtId="0" fontId="13" fillId="5" borderId="5" xfId="0" applyFont="1" applyFill="1" applyBorder="1" applyAlignment="1">
      <alignment horizontal="center" vertical="center" wrapText="1"/>
    </xf>
    <xf numFmtId="0" fontId="13" fillId="5" borderId="47" xfId="0" applyFont="1" applyFill="1" applyBorder="1" applyAlignment="1">
      <alignment horizontal="center" vertical="center" wrapText="1"/>
    </xf>
    <xf numFmtId="0" fontId="13" fillId="5" borderId="25" xfId="0" applyFont="1" applyFill="1" applyBorder="1" applyAlignment="1">
      <alignment horizontal="center" vertical="center" wrapText="1"/>
    </xf>
    <xf numFmtId="0" fontId="13" fillId="5" borderId="62" xfId="0" applyFont="1" applyFill="1" applyBorder="1" applyAlignment="1">
      <alignment horizontal="center" vertical="center"/>
    </xf>
    <xf numFmtId="0" fontId="13" fillId="5" borderId="11" xfId="0" applyFont="1" applyFill="1" applyBorder="1" applyAlignment="1">
      <alignment horizontal="center" vertical="center"/>
    </xf>
    <xf numFmtId="0" fontId="13" fillId="5" borderId="61" xfId="0" applyFont="1" applyFill="1" applyBorder="1" applyAlignment="1">
      <alignment horizontal="center" vertical="center"/>
    </xf>
    <xf numFmtId="0" fontId="13" fillId="14" borderId="61" xfId="0" applyFont="1" applyFill="1" applyBorder="1" applyAlignment="1">
      <alignment horizontal="center" vertical="center"/>
    </xf>
    <xf numFmtId="0" fontId="13" fillId="5" borderId="39" xfId="0" applyFont="1" applyFill="1" applyBorder="1" applyAlignment="1">
      <alignment horizontal="center" vertical="center" wrapText="1"/>
    </xf>
    <xf numFmtId="0" fontId="13" fillId="5" borderId="62" xfId="0" applyFont="1" applyFill="1" applyBorder="1" applyAlignment="1">
      <alignment horizontal="center" vertical="center" wrapText="1"/>
    </xf>
    <xf numFmtId="0" fontId="23" fillId="5" borderId="5" xfId="0" applyFont="1" applyFill="1" applyBorder="1" applyAlignment="1">
      <alignment horizontal="center" vertical="center" wrapText="1"/>
    </xf>
    <xf numFmtId="0" fontId="23" fillId="5" borderId="63" xfId="0" applyFont="1" applyFill="1" applyBorder="1" applyAlignment="1">
      <alignment horizontal="center" vertical="center" wrapText="1"/>
    </xf>
    <xf numFmtId="0" fontId="23" fillId="5" borderId="67" xfId="0" applyFont="1" applyFill="1" applyBorder="1" applyAlignment="1">
      <alignment horizontal="center" vertical="center" wrapText="1"/>
    </xf>
    <xf numFmtId="0" fontId="13" fillId="14" borderId="28" xfId="0" applyFont="1" applyFill="1" applyBorder="1" applyAlignment="1">
      <alignment horizontal="center" vertical="center"/>
    </xf>
    <xf numFmtId="0" fontId="13" fillId="14" borderId="27" xfId="0" applyFont="1" applyFill="1" applyBorder="1" applyAlignment="1">
      <alignment horizontal="center" vertical="center"/>
    </xf>
    <xf numFmtId="0" fontId="13" fillId="14" borderId="68" xfId="0" applyFont="1" applyFill="1" applyBorder="1" applyAlignment="1">
      <alignment horizontal="center" vertical="center"/>
    </xf>
    <xf numFmtId="0" fontId="15" fillId="5" borderId="25" xfId="0" applyFont="1" applyFill="1" applyBorder="1" applyAlignment="1">
      <alignment horizontal="center" vertical="center" wrapText="1"/>
    </xf>
    <xf numFmtId="0" fontId="15" fillId="5" borderId="26" xfId="0" applyFont="1" applyFill="1" applyBorder="1" applyAlignment="1">
      <alignment horizontal="center" vertical="center" wrapText="1"/>
    </xf>
    <xf numFmtId="0" fontId="13" fillId="5" borderId="26" xfId="0" applyFont="1" applyFill="1" applyBorder="1" applyAlignment="1">
      <alignment horizontal="center" vertical="center" wrapText="1"/>
    </xf>
    <xf numFmtId="1" fontId="0" fillId="7" borderId="1" xfId="0" applyNumberFormat="1" applyFill="1" applyBorder="1" applyAlignment="1">
      <alignment horizontal="center" vertical="center" wrapText="1"/>
    </xf>
    <xf numFmtId="1" fontId="0" fillId="7" borderId="2" xfId="0" applyNumberFormat="1" applyFill="1" applyBorder="1" applyAlignment="1">
      <alignment horizontal="center" vertical="center" wrapText="1"/>
    </xf>
    <xf numFmtId="1" fontId="0" fillId="7" borderId="3" xfId="0" applyNumberFormat="1" applyFill="1" applyBorder="1" applyAlignment="1">
      <alignment horizontal="center" vertical="center" wrapText="1"/>
    </xf>
    <xf numFmtId="0" fontId="13" fillId="5" borderId="25" xfId="0" applyFont="1" applyFill="1" applyBorder="1" applyAlignment="1">
      <alignment horizontal="center" vertical="center"/>
    </xf>
    <xf numFmtId="0" fontId="13" fillId="5" borderId="30" xfId="0" applyFont="1" applyFill="1" applyBorder="1" applyAlignment="1">
      <alignment horizontal="center" vertical="center" wrapText="1"/>
    </xf>
    <xf numFmtId="0" fontId="13" fillId="5" borderId="31" xfId="0" applyFont="1" applyFill="1" applyBorder="1" applyAlignment="1">
      <alignment horizontal="center" vertical="center" wrapText="1"/>
    </xf>
    <xf numFmtId="0" fontId="13" fillId="5" borderId="32" xfId="0" applyFont="1" applyFill="1" applyBorder="1" applyAlignment="1">
      <alignment horizontal="center" vertical="center" wrapText="1"/>
    </xf>
    <xf numFmtId="0" fontId="13" fillId="5" borderId="34" xfId="0" applyFont="1" applyFill="1" applyBorder="1" applyAlignment="1">
      <alignment horizontal="center" vertical="center" wrapText="1"/>
    </xf>
    <xf numFmtId="0" fontId="13" fillId="5" borderId="35" xfId="0" applyFont="1" applyFill="1" applyBorder="1" applyAlignment="1">
      <alignment horizontal="center" vertical="center" wrapText="1"/>
    </xf>
    <xf numFmtId="0" fontId="13" fillId="5" borderId="36" xfId="0" applyFont="1" applyFill="1" applyBorder="1" applyAlignment="1">
      <alignment horizontal="center" vertical="center" wrapText="1"/>
    </xf>
    <xf numFmtId="0" fontId="15" fillId="5" borderId="39" xfId="0" applyFont="1" applyFill="1" applyBorder="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3" fillId="5" borderId="67"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lignment horizontal="center" vertical="center" wrapText="1"/>
    </xf>
    <xf numFmtId="0" fontId="0" fillId="7" borderId="2" xfId="0" applyFill="1" applyBorder="1" applyAlignment="1">
      <alignment horizontal="center" vertical="center" wrapText="1"/>
    </xf>
    <xf numFmtId="0" fontId="0" fillId="7" borderId="3" xfId="0" applyFill="1" applyBorder="1" applyAlignment="1">
      <alignment horizontal="center" vertical="center" wrapText="1"/>
    </xf>
    <xf numFmtId="0" fontId="13" fillId="5" borderId="63" xfId="0" applyFont="1" applyFill="1" applyBorder="1" applyAlignment="1">
      <alignment horizontal="center" vertical="center" wrapText="1"/>
    </xf>
    <xf numFmtId="0" fontId="30" fillId="21" borderId="0" xfId="0" applyFont="1" applyFill="1" applyAlignment="1">
      <alignment horizontal="center" vertical="center" wrapText="1"/>
    </xf>
    <xf numFmtId="0" fontId="18" fillId="5" borderId="25" xfId="0" applyFont="1" applyFill="1" applyBorder="1" applyAlignment="1">
      <alignment horizontal="center" vertical="center" wrapText="1"/>
    </xf>
    <xf numFmtId="0" fontId="18" fillId="5" borderId="39" xfId="0" applyFont="1" applyFill="1" applyBorder="1" applyAlignment="1">
      <alignment horizontal="center" vertical="center" wrapText="1"/>
    </xf>
    <xf numFmtId="0" fontId="18" fillId="14" borderId="59" xfId="0" applyFont="1" applyFill="1" applyBorder="1" applyAlignment="1">
      <alignment horizontal="center" vertical="center" wrapText="1"/>
    </xf>
    <xf numFmtId="0" fontId="18" fillId="14" borderId="64" xfId="0" applyFont="1" applyFill="1" applyBorder="1" applyAlignment="1">
      <alignment horizontal="center" vertical="center" wrapText="1"/>
    </xf>
    <xf numFmtId="0" fontId="18" fillId="14" borderId="60" xfId="0" applyFont="1" applyFill="1" applyBorder="1" applyAlignment="1">
      <alignment horizontal="center" vertical="center" wrapText="1"/>
    </xf>
    <xf numFmtId="0" fontId="18" fillId="14" borderId="21" xfId="0" applyFont="1" applyFill="1" applyBorder="1" applyAlignment="1">
      <alignment horizontal="center" vertical="center" wrapText="1"/>
    </xf>
    <xf numFmtId="0" fontId="18" fillId="14" borderId="17" xfId="0" applyFont="1" applyFill="1" applyBorder="1" applyAlignment="1">
      <alignment horizontal="center" vertical="center" wrapText="1"/>
    </xf>
    <xf numFmtId="0" fontId="18" fillId="14" borderId="23" xfId="0" applyFont="1" applyFill="1" applyBorder="1" applyAlignment="1">
      <alignment horizontal="center" vertical="center" wrapText="1"/>
    </xf>
    <xf numFmtId="165" fontId="26" fillId="7" borderId="61" xfId="0" applyNumberFormat="1" applyFont="1" applyFill="1" applyBorder="1" applyAlignment="1">
      <alignment horizontal="center" vertical="center" wrapText="1"/>
    </xf>
    <xf numFmtId="165" fontId="26" fillId="7" borderId="42" xfId="0" applyNumberFormat="1" applyFont="1" applyFill="1" applyBorder="1" applyAlignment="1">
      <alignment horizontal="center" vertical="center" wrapText="1"/>
    </xf>
    <xf numFmtId="165" fontId="26" fillId="7" borderId="12" xfId="0" applyNumberFormat="1" applyFont="1" applyFill="1" applyBorder="1" applyAlignment="1">
      <alignment horizontal="center" vertical="center" wrapText="1"/>
    </xf>
    <xf numFmtId="0" fontId="18" fillId="14" borderId="45" xfId="0" applyFont="1" applyFill="1" applyBorder="1" applyAlignment="1">
      <alignment horizontal="center" vertical="center" wrapText="1"/>
    </xf>
    <xf numFmtId="0" fontId="18" fillId="14" borderId="41" xfId="0" applyFont="1" applyFill="1" applyBorder="1" applyAlignment="1">
      <alignment horizontal="center" vertical="center" wrapText="1"/>
    </xf>
    <xf numFmtId="0" fontId="18" fillId="14" borderId="38" xfId="0" applyFont="1" applyFill="1" applyBorder="1" applyAlignment="1">
      <alignment horizontal="center" vertical="center" wrapText="1"/>
    </xf>
    <xf numFmtId="0" fontId="18" fillId="14" borderId="47" xfId="0" applyFont="1" applyFill="1" applyBorder="1" applyAlignment="1">
      <alignment horizontal="center" vertical="center" wrapText="1"/>
    </xf>
    <xf numFmtId="0" fontId="18" fillId="14" borderId="42" xfId="0" applyFont="1" applyFill="1" applyBorder="1" applyAlignment="1">
      <alignment horizontal="center" vertical="center" wrapText="1"/>
    </xf>
    <xf numFmtId="0" fontId="18" fillId="14" borderId="12" xfId="0" applyFont="1" applyFill="1" applyBorder="1" applyAlignment="1">
      <alignment horizontal="center" vertical="center" wrapText="1"/>
    </xf>
    <xf numFmtId="0" fontId="18" fillId="14" borderId="34" xfId="0" applyFont="1" applyFill="1" applyBorder="1" applyAlignment="1">
      <alignment horizontal="center" vertical="center" wrapText="1"/>
    </xf>
    <xf numFmtId="0" fontId="18" fillId="14" borderId="35" xfId="0" applyFont="1" applyFill="1" applyBorder="1" applyAlignment="1">
      <alignment horizontal="center" vertical="center" wrapText="1"/>
    </xf>
    <xf numFmtId="0" fontId="29" fillId="5" borderId="5" xfId="0" applyFont="1" applyFill="1" applyBorder="1" applyAlignment="1">
      <alignment horizontal="center" vertical="center" wrapText="1"/>
    </xf>
    <xf numFmtId="0" fontId="29" fillId="5" borderId="47" xfId="0" applyFont="1" applyFill="1" applyBorder="1" applyAlignment="1">
      <alignment horizontal="center" vertical="center" wrapText="1"/>
    </xf>
    <xf numFmtId="0" fontId="15" fillId="5" borderId="63" xfId="0" applyFont="1" applyFill="1" applyBorder="1" applyAlignment="1">
      <alignment horizontal="center" vertical="center" wrapText="1"/>
    </xf>
    <xf numFmtId="0" fontId="15" fillId="5" borderId="6"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15" fillId="5" borderId="10" xfId="0" applyFont="1" applyFill="1" applyBorder="1" applyAlignment="1">
      <alignment horizontal="center" vertical="center" wrapText="1"/>
    </xf>
    <xf numFmtId="0" fontId="15" fillId="5" borderId="30" xfId="0" applyFont="1" applyFill="1" applyBorder="1" applyAlignment="1">
      <alignment horizontal="center" vertical="center" wrapText="1"/>
    </xf>
    <xf numFmtId="0" fontId="15" fillId="5" borderId="32" xfId="0" applyFont="1" applyFill="1" applyBorder="1" applyAlignment="1">
      <alignment horizontal="center" vertical="center" wrapText="1"/>
    </xf>
    <xf numFmtId="0" fontId="15" fillId="5" borderId="34" xfId="0" applyFont="1" applyFill="1" applyBorder="1" applyAlignment="1">
      <alignment horizontal="center" vertical="center" wrapText="1"/>
    </xf>
    <xf numFmtId="0" fontId="15" fillId="5" borderId="36" xfId="0" applyFont="1" applyFill="1" applyBorder="1" applyAlignment="1">
      <alignment horizontal="center" vertical="center" wrapText="1"/>
    </xf>
    <xf numFmtId="1" fontId="0" fillId="12" borderId="1" xfId="0" applyNumberFormat="1" applyFill="1" applyBorder="1" applyAlignment="1">
      <alignment horizontal="center" vertical="center" wrapText="1"/>
    </xf>
    <xf numFmtId="1" fontId="0" fillId="12" borderId="2" xfId="0" applyNumberFormat="1" applyFill="1" applyBorder="1" applyAlignment="1">
      <alignment horizontal="center" vertical="center" wrapText="1"/>
    </xf>
    <xf numFmtId="1" fontId="0" fillId="12" borderId="3" xfId="0" applyNumberFormat="1" applyFill="1" applyBorder="1" applyAlignment="1">
      <alignment horizontal="center" vertical="center" wrapText="1"/>
    </xf>
    <xf numFmtId="165" fontId="0" fillId="12" borderId="2" xfId="0" applyNumberForma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20" borderId="5" xfId="0" applyFont="1" applyFill="1" applyBorder="1" applyAlignment="1" applyProtection="1">
      <alignment horizontal="center" vertical="center"/>
      <protection locked="0"/>
    </xf>
    <xf numFmtId="0" fontId="4" fillId="20" borderId="6" xfId="0" applyFont="1" applyFill="1" applyBorder="1" applyAlignment="1" applyProtection="1">
      <alignment horizontal="center" vertical="center"/>
      <protection locked="0"/>
    </xf>
    <xf numFmtId="0" fontId="23" fillId="14" borderId="25" xfId="0" applyFont="1" applyFill="1" applyBorder="1" applyAlignment="1">
      <alignment horizontal="center"/>
    </xf>
    <xf numFmtId="0" fontId="23" fillId="14" borderId="26" xfId="0" applyFont="1" applyFill="1" applyBorder="1" applyAlignment="1">
      <alignment horizontal="center"/>
    </xf>
    <xf numFmtId="0" fontId="23" fillId="14" borderId="11" xfId="0" applyFont="1" applyFill="1" applyBorder="1" applyAlignment="1">
      <alignment horizontal="center"/>
    </xf>
    <xf numFmtId="0" fontId="23" fillId="14"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29" fillId="5" borderId="13" xfId="0" applyFont="1" applyFill="1" applyBorder="1" applyAlignment="1">
      <alignment horizontal="center" vertical="center" wrapText="1"/>
    </xf>
    <xf numFmtId="0" fontId="29" fillId="5" borderId="14" xfId="0" applyFont="1" applyFill="1" applyBorder="1" applyAlignment="1">
      <alignment horizontal="center" vertical="center" wrapText="1"/>
    </xf>
    <xf numFmtId="0" fontId="15" fillId="5" borderId="13" xfId="0" applyFont="1" applyFill="1" applyBorder="1" applyAlignment="1">
      <alignment horizontal="center" vertical="center" wrapText="1"/>
    </xf>
    <xf numFmtId="0" fontId="15" fillId="5" borderId="14" xfId="0" applyFont="1" applyFill="1" applyBorder="1" applyAlignment="1">
      <alignment horizontal="center" vertical="center" wrapText="1"/>
    </xf>
    <xf numFmtId="0" fontId="15" fillId="5" borderId="78" xfId="0" applyFont="1" applyFill="1" applyBorder="1" applyAlignment="1">
      <alignment horizontal="center" vertical="center"/>
    </xf>
    <xf numFmtId="0" fontId="15" fillId="5" borderId="51" xfId="0" applyFont="1" applyFill="1" applyBorder="1" applyAlignment="1">
      <alignment horizontal="center" vertical="center"/>
    </xf>
    <xf numFmtId="0" fontId="15" fillId="5" borderId="52" xfId="0" applyFont="1" applyFill="1" applyBorder="1" applyAlignment="1">
      <alignment horizontal="center" vertical="center"/>
    </xf>
    <xf numFmtId="0" fontId="15" fillId="5" borderId="58" xfId="0" applyFont="1" applyFill="1" applyBorder="1" applyAlignment="1">
      <alignment horizontal="center" vertical="center" wrapText="1"/>
    </xf>
    <xf numFmtId="0" fontId="15" fillId="5" borderId="22" xfId="0" applyFont="1" applyFill="1" applyBorder="1" applyAlignment="1">
      <alignment horizontal="center" vertical="center" wrapText="1"/>
    </xf>
    <xf numFmtId="0" fontId="15" fillId="5" borderId="25" xfId="0" applyFont="1" applyFill="1" applyBorder="1" applyAlignment="1">
      <alignment horizontal="center" vertical="center"/>
    </xf>
    <xf numFmtId="0" fontId="15" fillId="5" borderId="39" xfId="0" applyFont="1" applyFill="1" applyBorder="1" applyAlignment="1">
      <alignment horizontal="center" vertical="center"/>
    </xf>
    <xf numFmtId="0" fontId="15" fillId="5" borderId="26" xfId="0" applyFont="1" applyFill="1" applyBorder="1" applyAlignment="1">
      <alignment horizontal="center" vertical="center"/>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3" fillId="5" borderId="78" xfId="0" applyFont="1" applyFill="1" applyBorder="1" applyAlignment="1">
      <alignment horizontal="center" vertical="center" wrapText="1"/>
    </xf>
    <xf numFmtId="0" fontId="13" fillId="5" borderId="76"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15" fillId="5" borderId="28" xfId="0" applyFont="1" applyFill="1" applyBorder="1" applyAlignment="1">
      <alignment horizontal="center" vertical="center" wrapText="1"/>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3" fillId="5" borderId="52" xfId="0" applyFont="1" applyFill="1" applyBorder="1" applyAlignment="1">
      <alignment horizontal="center" vertical="center" wrapText="1"/>
    </xf>
    <xf numFmtId="0" fontId="13" fillId="5" borderId="77" xfId="0" applyFont="1" applyFill="1" applyBorder="1" applyAlignment="1">
      <alignment horizontal="center" vertical="center" wrapText="1"/>
    </xf>
    <xf numFmtId="0" fontId="13" fillId="5" borderId="51" xfId="0" applyFont="1" applyFill="1" applyBorder="1" applyAlignment="1">
      <alignment horizontal="center" vertical="center" wrapText="1"/>
    </xf>
    <xf numFmtId="0" fontId="13" fillId="5" borderId="69" xfId="0" applyFont="1" applyFill="1" applyBorder="1" applyAlignment="1">
      <alignment horizontal="center" vertical="center" wrapText="1"/>
    </xf>
    <xf numFmtId="165" fontId="0" fillId="12" borderId="19" xfId="0" applyNumberFormat="1" applyFill="1" applyBorder="1" applyAlignment="1">
      <alignment horizontal="center" vertical="center" wrapText="1"/>
    </xf>
    <xf numFmtId="0" fontId="15" fillId="5" borderId="11" xfId="0" applyFont="1" applyFill="1" applyBorder="1" applyAlignment="1">
      <alignment horizontal="center" vertical="center" wrapText="1"/>
    </xf>
    <xf numFmtId="0" fontId="15" fillId="5" borderId="67" xfId="0" applyFont="1" applyFill="1" applyBorder="1" applyAlignment="1">
      <alignment horizontal="center" vertical="center" wrapText="1"/>
    </xf>
    <xf numFmtId="0" fontId="15" fillId="5" borderId="12" xfId="0" applyFont="1" applyFill="1" applyBorder="1" applyAlignment="1">
      <alignment horizontal="center" vertical="center" wrapText="1"/>
    </xf>
    <xf numFmtId="165" fontId="0" fillId="12" borderId="46" xfId="0" applyNumberFormat="1" applyFill="1" applyBorder="1" applyAlignment="1">
      <alignment horizontal="center" vertical="center" wrapText="1"/>
    </xf>
    <xf numFmtId="0" fontId="18" fillId="14" borderId="57" xfId="0" applyFont="1" applyFill="1" applyBorder="1" applyAlignment="1">
      <alignment horizontal="center" vertical="center" wrapText="1"/>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65" fontId="0" fillId="12" borderId="34" xfId="0" applyNumberFormat="1" applyFill="1" applyBorder="1" applyAlignment="1">
      <alignment horizontal="center" vertical="center" wrapText="1"/>
    </xf>
    <xf numFmtId="165" fontId="0" fillId="12" borderId="35" xfId="0" applyNumberFormat="1" applyFill="1" applyBorder="1" applyAlignment="1">
      <alignment horizontal="center" vertical="center" wrapText="1"/>
    </xf>
    <xf numFmtId="0" fontId="1" fillId="13" borderId="0" xfId="0" applyFont="1" applyFill="1" applyAlignment="1">
      <alignment horizontal="center" wrapText="1"/>
    </xf>
    <xf numFmtId="0" fontId="4" fillId="20" borderId="47" xfId="0" applyFont="1" applyFill="1" applyBorder="1" applyAlignment="1" applyProtection="1">
      <alignment horizontal="center" vertical="center" wrapText="1"/>
      <protection locked="0"/>
    </xf>
    <xf numFmtId="0" fontId="4" fillId="20" borderId="55" xfId="0" applyFont="1" applyFill="1" applyBorder="1" applyAlignment="1" applyProtection="1">
      <alignment horizontal="center" vertical="center" wrapText="1"/>
      <protection locked="0"/>
    </xf>
    <xf numFmtId="1" fontId="0" fillId="0" borderId="33" xfId="0" applyNumberFormat="1" applyBorder="1" applyAlignment="1" applyProtection="1">
      <alignment horizontal="center" vertical="center" wrapText="1"/>
      <protection locked="0"/>
    </xf>
    <xf numFmtId="1" fontId="0" fillId="0" borderId="0" xfId="0" applyNumberFormat="1" applyAlignment="1" applyProtection="1">
      <alignment horizontal="center" vertical="center" wrapText="1"/>
      <protection locked="0"/>
    </xf>
    <xf numFmtId="165" fontId="0" fillId="12" borderId="11" xfId="0" applyNumberFormat="1" applyFill="1" applyBorder="1" applyAlignment="1">
      <alignment horizontal="center" vertical="center" wrapText="1"/>
    </xf>
    <xf numFmtId="165" fontId="0" fillId="12" borderId="13" xfId="0" applyNumberFormat="1" applyFill="1" applyBorder="1" applyAlignment="1">
      <alignment horizontal="center" vertical="center" wrapText="1"/>
    </xf>
    <xf numFmtId="165" fontId="0" fillId="12" borderId="14" xfId="0" applyNumberFormat="1" applyFill="1" applyBorder="1" applyAlignment="1">
      <alignment horizontal="center" vertical="center" wrapText="1"/>
    </xf>
    <xf numFmtId="0" fontId="4" fillId="20" borderId="45" xfId="0" applyFont="1" applyFill="1" applyBorder="1" applyAlignment="1" applyProtection="1">
      <alignment horizontal="center" vertical="center" wrapText="1"/>
      <protection locked="0"/>
    </xf>
    <xf numFmtId="0" fontId="4" fillId="20" borderId="56" xfId="0" applyFont="1" applyFill="1" applyBorder="1" applyAlignment="1" applyProtection="1">
      <alignment horizontal="center" vertical="center" wrapText="1"/>
      <protection locked="0"/>
    </xf>
    <xf numFmtId="165" fontId="0" fillId="12" borderId="28" xfId="0" applyNumberFormat="1" applyFill="1" applyBorder="1" applyAlignment="1">
      <alignment horizontal="center" vertical="center" wrapText="1"/>
    </xf>
    <xf numFmtId="0" fontId="13" fillId="5" borderId="15" xfId="0" applyFont="1" applyFill="1" applyBorder="1" applyAlignment="1">
      <alignment horizontal="center" vertical="center" wrapText="1"/>
    </xf>
    <xf numFmtId="0" fontId="13" fillId="5" borderId="54" xfId="0" applyFont="1" applyFill="1" applyBorder="1" applyAlignment="1">
      <alignment horizontal="center" vertical="center" wrapText="1"/>
    </xf>
    <xf numFmtId="0" fontId="13" fillId="5" borderId="16" xfId="0" applyFont="1" applyFill="1" applyBorder="1" applyAlignment="1">
      <alignment horizontal="center" vertical="center" wrapText="1"/>
    </xf>
    <xf numFmtId="0" fontId="4" fillId="20" borderId="5" xfId="0" applyFont="1" applyFill="1" applyBorder="1" applyAlignment="1" applyProtection="1">
      <alignment horizontal="center" vertical="center" wrapText="1"/>
      <protection locked="0"/>
    </xf>
    <xf numFmtId="0" fontId="4" fillId="20" borderId="6" xfId="0" applyFont="1" applyFill="1" applyBorder="1" applyAlignment="1" applyProtection="1">
      <alignment horizontal="center" vertical="center" wrapText="1"/>
      <protection locked="0"/>
    </xf>
    <xf numFmtId="165" fontId="0" fillId="12" borderId="25" xfId="0" applyNumberFormat="1" applyFill="1" applyBorder="1" applyAlignment="1">
      <alignment horizontal="center" vertical="center" wrapText="1"/>
    </xf>
    <xf numFmtId="165" fontId="0" fillId="12" borderId="39" xfId="0" applyNumberFormat="1" applyFill="1" applyBorder="1" applyAlignment="1">
      <alignment horizontal="center" vertical="center" wrapText="1"/>
    </xf>
    <xf numFmtId="165" fontId="0" fillId="12"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4" fillId="7" borderId="18" xfId="0" applyFont="1" applyFill="1" applyBorder="1" applyAlignment="1">
      <alignment horizontal="center" vertical="center"/>
    </xf>
    <xf numFmtId="0" fontId="4" fillId="7" borderId="54" xfId="0" applyFont="1" applyFill="1" applyBorder="1" applyAlignment="1">
      <alignment horizontal="center" vertical="center"/>
    </xf>
    <xf numFmtId="165" fontId="0" fillId="12" borderId="73" xfId="0" applyNumberFormat="1" applyFill="1" applyBorder="1" applyAlignment="1">
      <alignment horizontal="center" vertical="center" wrapText="1"/>
    </xf>
    <xf numFmtId="165" fontId="0" fillId="12" borderId="43" xfId="0" applyNumberFormat="1" applyFill="1" applyBorder="1" applyAlignment="1">
      <alignment horizontal="center" vertical="center" wrapText="1"/>
    </xf>
    <xf numFmtId="0" fontId="15" fillId="5" borderId="31" xfId="0" applyFont="1" applyFill="1" applyBorder="1" applyAlignment="1">
      <alignment horizontal="center" vertical="center" wrapText="1"/>
    </xf>
    <xf numFmtId="0" fontId="15" fillId="5" borderId="35" xfId="0" applyFont="1" applyFill="1" applyBorder="1" applyAlignment="1">
      <alignment horizontal="center" vertical="center" wrapText="1"/>
    </xf>
    <xf numFmtId="0" fontId="4" fillId="7" borderId="24" xfId="0" applyFont="1" applyFill="1" applyBorder="1" applyAlignment="1">
      <alignment horizontal="center" vertical="center"/>
    </xf>
    <xf numFmtId="0" fontId="4" fillId="20" borderId="47" xfId="0" applyFont="1" applyFill="1" applyBorder="1" applyAlignment="1" applyProtection="1">
      <alignment horizontal="center" vertical="center"/>
      <protection locked="0"/>
    </xf>
    <xf numFmtId="0" fontId="4" fillId="20" borderId="55" xfId="0" applyFont="1" applyFill="1" applyBorder="1" applyAlignment="1" applyProtection="1">
      <alignment horizontal="center" vertical="center"/>
      <protection locked="0"/>
    </xf>
    <xf numFmtId="1" fontId="0" fillId="0" borderId="34" xfId="0" applyNumberFormat="1" applyBorder="1" applyAlignment="1" applyProtection="1">
      <alignment horizontal="center" vertical="center" wrapText="1"/>
      <protection locked="0"/>
    </xf>
    <xf numFmtId="1" fontId="0" fillId="0" borderId="35" xfId="0" applyNumberFormat="1" applyBorder="1" applyAlignment="1" applyProtection="1">
      <alignment horizontal="center" vertical="center" wrapText="1"/>
      <protection locked="0"/>
    </xf>
    <xf numFmtId="165" fontId="0" fillId="12" borderId="15" xfId="0" applyNumberFormat="1" applyFill="1" applyBorder="1" applyAlignment="1">
      <alignment horizontal="center" vertical="center" wrapText="1"/>
    </xf>
    <xf numFmtId="165" fontId="0" fillId="12" borderId="54" xfId="0" applyNumberFormat="1" applyFill="1" applyBorder="1" applyAlignment="1">
      <alignment horizontal="center" vertical="center" wrapText="1"/>
    </xf>
    <xf numFmtId="165" fontId="0" fillId="12" borderId="16" xfId="0" applyNumberFormat="1" applyFill="1" applyBorder="1" applyAlignment="1">
      <alignment horizontal="center" vertical="center" wrapText="1"/>
    </xf>
    <xf numFmtId="0" fontId="13" fillId="5" borderId="60" xfId="0" applyFont="1" applyFill="1" applyBorder="1" applyAlignment="1">
      <alignment horizontal="center" vertical="center" wrapText="1"/>
    </xf>
    <xf numFmtId="0" fontId="13" fillId="5" borderId="65" xfId="0" applyFont="1" applyFill="1" applyBorder="1" applyAlignment="1">
      <alignment horizontal="center" vertical="center" wrapText="1"/>
    </xf>
    <xf numFmtId="1" fontId="0" fillId="0" borderId="5" xfId="0" applyNumberFormat="1" applyBorder="1" applyAlignment="1" applyProtection="1">
      <alignment horizontal="center" vertical="center" wrapText="1"/>
      <protection locked="0"/>
    </xf>
    <xf numFmtId="1" fontId="0" fillId="0" borderId="63" xfId="0" applyNumberFormat="1" applyBorder="1" applyAlignment="1" applyProtection="1">
      <alignment horizontal="center" vertical="center" wrapText="1"/>
      <protection locked="0"/>
    </xf>
    <xf numFmtId="0" fontId="0" fillId="0" borderId="47" xfId="0" applyBorder="1" applyAlignment="1" applyProtection="1">
      <alignment horizontal="center" vertical="center" wrapText="1"/>
      <protection locked="0"/>
    </xf>
    <xf numFmtId="0" fontId="0" fillId="0" borderId="42" xfId="0" applyBorder="1" applyAlignment="1" applyProtection="1">
      <alignment horizontal="center" vertical="center" wrapText="1"/>
      <protection locked="0"/>
    </xf>
    <xf numFmtId="0" fontId="0" fillId="0" borderId="55" xfId="0" applyBorder="1" applyAlignment="1" applyProtection="1">
      <alignment horizontal="center" vertical="center" wrapText="1"/>
      <protection locked="0"/>
    </xf>
    <xf numFmtId="0" fontId="5" fillId="0" borderId="28" xfId="0" applyFont="1" applyBorder="1" applyAlignment="1">
      <alignment horizontal="center" vertical="center" wrapText="1"/>
    </xf>
    <xf numFmtId="0" fontId="5" fillId="0" borderId="18" xfId="0" applyFont="1" applyBorder="1" applyAlignment="1">
      <alignment horizontal="center" vertical="center" wrapText="1"/>
    </xf>
    <xf numFmtId="0" fontId="23" fillId="5" borderId="5" xfId="0" applyFont="1" applyFill="1" applyBorder="1" applyAlignment="1">
      <alignment horizontal="center"/>
    </xf>
    <xf numFmtId="0" fontId="23" fillId="5" borderId="67" xfId="0" applyFont="1" applyFill="1" applyBorder="1" applyAlignment="1">
      <alignment horizontal="center"/>
    </xf>
    <xf numFmtId="0" fontId="18" fillId="5" borderId="28" xfId="0" applyFont="1" applyFill="1" applyBorder="1" applyAlignment="1">
      <alignment horizontal="center" vertical="center" wrapText="1"/>
    </xf>
    <xf numFmtId="0" fontId="18" fillId="5" borderId="11" xfId="0" applyFont="1" applyFill="1" applyBorder="1" applyAlignment="1">
      <alignment horizontal="center" vertical="center" wrapText="1"/>
    </xf>
    <xf numFmtId="0" fontId="18" fillId="5" borderId="78" xfId="0" applyFont="1" applyFill="1" applyBorder="1" applyAlignment="1">
      <alignment horizontal="center" vertical="center" wrapText="1"/>
    </xf>
    <xf numFmtId="0" fontId="18" fillId="5" borderId="72" xfId="0" applyFont="1" applyFill="1" applyBorder="1" applyAlignment="1">
      <alignment horizontal="center" vertical="center" wrapText="1"/>
    </xf>
    <xf numFmtId="0" fontId="18" fillId="5" borderId="76" xfId="0" applyFont="1" applyFill="1" applyBorder="1" applyAlignment="1">
      <alignment horizontal="center" vertical="center" wrapText="1"/>
    </xf>
    <xf numFmtId="0" fontId="23" fillId="5" borderId="11" xfId="0" applyFont="1" applyFill="1" applyBorder="1" applyAlignment="1">
      <alignment horizontal="center" vertical="center"/>
    </xf>
    <xf numFmtId="0" fontId="23" fillId="5" borderId="13" xfId="0" applyFont="1" applyFill="1" applyBorder="1" applyAlignment="1">
      <alignment horizontal="center" vertical="center"/>
    </xf>
    <xf numFmtId="0" fontId="23" fillId="5" borderId="28" xfId="0" applyFont="1" applyFill="1" applyBorder="1" applyAlignment="1">
      <alignment horizontal="center" vertical="center"/>
    </xf>
    <xf numFmtId="0" fontId="23" fillId="5" borderId="18" xfId="0" applyFont="1" applyFill="1" applyBorder="1" applyAlignment="1">
      <alignment horizontal="center" vertical="center"/>
    </xf>
    <xf numFmtId="0" fontId="23" fillId="5" borderId="25" xfId="0" applyFont="1" applyFill="1" applyBorder="1" applyAlignment="1">
      <alignment horizontal="center" vertical="center"/>
    </xf>
    <xf numFmtId="0" fontId="23" fillId="5" borderId="39" xfId="0" applyFont="1" applyFill="1" applyBorder="1" applyAlignment="1">
      <alignment horizontal="center" vertical="center"/>
    </xf>
    <xf numFmtId="0" fontId="23" fillId="5" borderId="2" xfId="0" applyFont="1" applyFill="1" applyBorder="1" applyAlignment="1">
      <alignment horizontal="center" vertical="center"/>
    </xf>
    <xf numFmtId="0" fontId="44" fillId="13" borderId="0" xfId="0" applyFont="1" applyFill="1" applyAlignment="1">
      <alignment horizontal="center" wrapText="1"/>
    </xf>
    <xf numFmtId="0" fontId="0" fillId="13" borderId="0" xfId="0" applyFill="1" applyAlignment="1">
      <alignment horizontal="center" wrapText="1"/>
    </xf>
    <xf numFmtId="0" fontId="1" fillId="13" borderId="0" xfId="0" applyFont="1" applyFill="1" applyAlignment="1">
      <alignment horizontal="center"/>
    </xf>
    <xf numFmtId="0" fontId="23" fillId="5" borderId="47" xfId="0" applyFont="1" applyFill="1" applyBorder="1" applyAlignment="1">
      <alignment horizontal="center"/>
    </xf>
    <xf numFmtId="0" fontId="23" fillId="5" borderId="12" xfId="0" applyFont="1" applyFill="1" applyBorder="1" applyAlignment="1">
      <alignment horizontal="center"/>
    </xf>
    <xf numFmtId="0" fontId="23" fillId="5" borderId="11" xfId="0" applyFont="1" applyFill="1" applyBorder="1" applyAlignment="1">
      <alignment horizontal="center" vertical="center" wrapText="1"/>
    </xf>
    <xf numFmtId="0" fontId="23" fillId="5" borderId="13" xfId="0" applyFont="1" applyFill="1" applyBorder="1" applyAlignment="1">
      <alignment horizontal="center" vertical="center" wrapText="1"/>
    </xf>
    <xf numFmtId="165" fontId="19" fillId="7" borderId="29" xfId="0" applyNumberFormat="1" applyFont="1" applyFill="1" applyBorder="1" applyAlignment="1">
      <alignment horizontal="center" vertical="center"/>
    </xf>
    <xf numFmtId="0" fontId="19" fillId="7" borderId="29" xfId="0" applyFont="1" applyFill="1" applyBorder="1" applyAlignment="1">
      <alignment horizontal="center" vertical="center"/>
    </xf>
    <xf numFmtId="165" fontId="19" fillId="7" borderId="71" xfId="0" applyNumberFormat="1" applyFont="1" applyFill="1" applyBorder="1" applyAlignment="1">
      <alignment horizontal="center" vertical="center" wrapText="1"/>
    </xf>
    <xf numFmtId="165" fontId="19" fillId="7" borderId="19" xfId="0" applyNumberFormat="1" applyFont="1" applyFill="1" applyBorder="1" applyAlignment="1">
      <alignment horizontal="center" vertical="center" wrapText="1"/>
    </xf>
    <xf numFmtId="165" fontId="19" fillId="7" borderId="16" xfId="0" applyNumberFormat="1" applyFont="1" applyFill="1" applyBorder="1" applyAlignment="1">
      <alignment horizontal="center" vertical="center"/>
    </xf>
    <xf numFmtId="165" fontId="19" fillId="7" borderId="77" xfId="0" applyNumberFormat="1" applyFont="1" applyFill="1" applyBorder="1" applyAlignment="1">
      <alignment horizontal="center" vertical="center"/>
    </xf>
    <xf numFmtId="0" fontId="0" fillId="7" borderId="54" xfId="0" applyFill="1" applyBorder="1" applyAlignment="1">
      <alignment horizontal="center" vertical="center" wrapText="1"/>
    </xf>
    <xf numFmtId="0" fontId="0" fillId="7" borderId="69" xfId="0" applyFill="1" applyBorder="1" applyAlignment="1">
      <alignment horizontal="center" vertical="center" wrapText="1"/>
    </xf>
    <xf numFmtId="0" fontId="0" fillId="7" borderId="51" xfId="0" applyFill="1" applyBorder="1" applyAlignment="1">
      <alignment horizontal="center" vertical="center" wrapText="1"/>
    </xf>
    <xf numFmtId="0" fontId="0" fillId="7" borderId="24" xfId="0" applyFill="1" applyBorder="1" applyAlignment="1">
      <alignment horizontal="center" vertical="center" wrapText="1"/>
    </xf>
    <xf numFmtId="0" fontId="19" fillId="7" borderId="14" xfId="0" applyFont="1" applyFill="1" applyBorder="1" applyAlignment="1">
      <alignment horizontal="center" vertical="center"/>
    </xf>
    <xf numFmtId="165" fontId="19" fillId="7" borderId="52" xfId="0" applyNumberFormat="1" applyFont="1" applyFill="1" applyBorder="1" applyAlignment="1">
      <alignment horizontal="center" vertical="center"/>
    </xf>
    <xf numFmtId="0" fontId="19" fillId="7" borderId="19" xfId="0" applyFont="1" applyFill="1" applyBorder="1" applyAlignment="1">
      <alignment horizontal="center" vertical="center"/>
    </xf>
    <xf numFmtId="0" fontId="20" fillId="7" borderId="28" xfId="0" applyFont="1" applyFill="1" applyBorder="1" applyAlignment="1">
      <alignment horizontal="center" vertical="center" wrapText="1"/>
    </xf>
    <xf numFmtId="0" fontId="20" fillId="7" borderId="18" xfId="0" applyFont="1" applyFill="1" applyBorder="1" applyAlignment="1">
      <alignment horizontal="center" vertical="center" wrapText="1"/>
    </xf>
    <xf numFmtId="0" fontId="20" fillId="7" borderId="11" xfId="0" applyFont="1" applyFill="1" applyBorder="1" applyAlignment="1">
      <alignment horizontal="center" vertical="center" wrapText="1"/>
    </xf>
    <xf numFmtId="0" fontId="20" fillId="7" borderId="13" xfId="0" applyFont="1" applyFill="1" applyBorder="1" applyAlignment="1">
      <alignment horizontal="center" vertical="center" wrapText="1"/>
    </xf>
    <xf numFmtId="0" fontId="20" fillId="7" borderId="20" xfId="0" applyFont="1" applyFill="1" applyBorder="1" applyAlignment="1">
      <alignment horizontal="center" vertical="center" wrapText="1"/>
    </xf>
    <xf numFmtId="0" fontId="20" fillId="7" borderId="24"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10" fillId="5" borderId="53" xfId="0" applyFont="1" applyFill="1" applyBorder="1" applyAlignment="1">
      <alignment horizontal="center" vertical="center" wrapText="1"/>
    </xf>
    <xf numFmtId="165" fontId="20" fillId="0" borderId="11" xfId="0" applyNumberFormat="1" applyFont="1" applyBorder="1" applyAlignment="1">
      <alignment horizontal="center" vertical="center"/>
    </xf>
    <xf numFmtId="165" fontId="20" fillId="0" borderId="13" xfId="0" applyNumberFormat="1" applyFont="1" applyBorder="1" applyAlignment="1">
      <alignment horizontal="center" vertical="center"/>
    </xf>
    <xf numFmtId="165" fontId="20" fillId="0" borderId="14" xfId="0" applyNumberFormat="1" applyFont="1" applyBorder="1" applyAlignment="1">
      <alignment horizontal="center" vertical="center"/>
    </xf>
    <xf numFmtId="0" fontId="10" fillId="5" borderId="30"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0" fillId="5" borderId="32" xfId="0" applyFont="1" applyFill="1" applyBorder="1" applyAlignment="1">
      <alignment horizontal="center" vertical="center" wrapText="1"/>
    </xf>
    <xf numFmtId="0" fontId="10" fillId="5" borderId="33" xfId="0" applyFont="1" applyFill="1" applyBorder="1" applyAlignment="1">
      <alignment horizontal="center" vertical="center" wrapText="1"/>
    </xf>
    <xf numFmtId="0" fontId="10" fillId="5" borderId="0" xfId="0" applyFont="1" applyFill="1" applyAlignment="1">
      <alignment horizontal="center" vertical="center" wrapText="1"/>
    </xf>
    <xf numFmtId="0" fontId="10" fillId="5" borderId="43" xfId="0" applyFont="1" applyFill="1" applyBorder="1" applyAlignment="1">
      <alignment horizontal="center" vertical="center" wrapText="1"/>
    </xf>
    <xf numFmtId="0" fontId="10" fillId="5" borderId="34" xfId="0" applyFont="1" applyFill="1" applyBorder="1" applyAlignment="1">
      <alignment horizontal="center" vertical="center" wrapText="1"/>
    </xf>
    <xf numFmtId="0" fontId="10" fillId="5" borderId="35" xfId="0" applyFont="1" applyFill="1" applyBorder="1" applyAlignment="1">
      <alignment horizontal="center" vertical="center" wrapText="1"/>
    </xf>
    <xf numFmtId="0" fontId="10" fillId="5" borderId="36" xfId="0" applyFont="1" applyFill="1" applyBorder="1" applyAlignment="1">
      <alignment horizontal="center" vertical="center" wrapText="1"/>
    </xf>
    <xf numFmtId="0" fontId="9" fillId="14" borderId="5" xfId="0" applyFont="1" applyFill="1" applyBorder="1" applyAlignment="1">
      <alignment horizontal="center" vertical="center" wrapText="1"/>
    </xf>
    <xf numFmtId="0" fontId="9" fillId="14" borderId="63" xfId="0" applyFont="1" applyFill="1" applyBorder="1" applyAlignment="1">
      <alignment horizontal="center" vertical="center" wrapText="1"/>
    </xf>
    <xf numFmtId="165" fontId="20" fillId="0" borderId="39" xfId="0" applyNumberFormat="1" applyFont="1" applyBorder="1" applyAlignment="1">
      <alignment horizontal="center" vertical="center" wrapText="1"/>
    </xf>
    <xf numFmtId="165" fontId="20" fillId="0" borderId="26" xfId="0" applyNumberFormat="1" applyFont="1" applyBorder="1" applyAlignment="1">
      <alignment horizontal="center" vertical="center" wrapText="1"/>
    </xf>
    <xf numFmtId="0" fontId="9" fillId="14" borderId="45" xfId="0" applyFont="1" applyFill="1" applyBorder="1" applyAlignment="1">
      <alignment horizontal="center" vertical="center" wrapText="1"/>
    </xf>
    <xf numFmtId="0" fontId="9" fillId="14" borderId="41" xfId="0" applyFont="1" applyFill="1" applyBorder="1" applyAlignment="1">
      <alignment horizontal="center" vertical="center" wrapText="1"/>
    </xf>
    <xf numFmtId="165" fontId="20" fillId="0" borderId="18" xfId="0" applyNumberFormat="1" applyFont="1" applyBorder="1" applyAlignment="1">
      <alignment horizontal="center" vertical="center" wrapText="1"/>
    </xf>
    <xf numFmtId="165" fontId="20" fillId="0" borderId="29" xfId="0" applyNumberFormat="1" applyFont="1" applyBorder="1" applyAlignment="1">
      <alignment horizontal="center" vertical="center" wrapText="1"/>
    </xf>
    <xf numFmtId="0" fontId="9" fillId="14" borderId="47" xfId="0" applyFont="1" applyFill="1" applyBorder="1" applyAlignment="1">
      <alignment horizontal="center" vertical="center" wrapText="1"/>
    </xf>
    <xf numFmtId="0" fontId="9" fillId="14" borderId="42" xfId="0" applyFont="1" applyFill="1" applyBorder="1" applyAlignment="1">
      <alignment horizontal="center" vertical="center" wrapText="1"/>
    </xf>
    <xf numFmtId="165" fontId="20" fillId="0" borderId="13" xfId="0" applyNumberFormat="1" applyFont="1" applyBorder="1" applyAlignment="1">
      <alignment horizontal="center" vertical="center" wrapText="1"/>
    </xf>
    <xf numFmtId="165" fontId="20" fillId="0" borderId="14" xfId="0" applyNumberFormat="1" applyFont="1" applyBorder="1" applyAlignment="1">
      <alignment horizontal="center" vertical="center" wrapText="1"/>
    </xf>
    <xf numFmtId="0" fontId="10" fillId="5" borderId="25" xfId="0" applyFont="1" applyFill="1" applyBorder="1" applyAlignment="1">
      <alignment horizontal="center" vertical="center" wrapText="1"/>
    </xf>
    <xf numFmtId="0" fontId="10" fillId="5" borderId="39"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11" xfId="0" applyFont="1" applyFill="1" applyBorder="1" applyAlignment="1">
      <alignment horizontal="center" vertical="center" wrapText="1"/>
    </xf>
    <xf numFmtId="0" fontId="10" fillId="5" borderId="13" xfId="0" applyFont="1" applyFill="1" applyBorder="1" applyAlignment="1">
      <alignment horizontal="center" vertical="center" wrapText="1"/>
    </xf>
    <xf numFmtId="0" fontId="10" fillId="5" borderId="14" xfId="0" applyFont="1" applyFill="1" applyBorder="1" applyAlignment="1">
      <alignment horizontal="center" vertical="center" wrapText="1"/>
    </xf>
    <xf numFmtId="0" fontId="9" fillId="14" borderId="67" xfId="0" applyFont="1" applyFill="1" applyBorder="1" applyAlignment="1">
      <alignment horizontal="center" vertical="center" wrapText="1"/>
    </xf>
    <xf numFmtId="0" fontId="9" fillId="14" borderId="39" xfId="0" applyFont="1" applyFill="1" applyBorder="1" applyAlignment="1">
      <alignment horizontal="center" vertical="center" wrapText="1"/>
    </xf>
    <xf numFmtId="10" fontId="20" fillId="6" borderId="39" xfId="32" applyNumberFormat="1" applyFont="1" applyFill="1" applyBorder="1" applyAlignment="1">
      <alignment horizontal="center" vertical="center" wrapText="1"/>
    </xf>
    <xf numFmtId="10" fontId="20" fillId="6" borderId="26" xfId="32" applyNumberFormat="1" applyFont="1" applyFill="1" applyBorder="1" applyAlignment="1">
      <alignment horizontal="center" vertical="center" wrapText="1"/>
    </xf>
    <xf numFmtId="0" fontId="9" fillId="14" borderId="38" xfId="0" applyFont="1" applyFill="1" applyBorder="1" applyAlignment="1">
      <alignment horizontal="center" vertical="center" wrapText="1"/>
    </xf>
    <xf numFmtId="0" fontId="9" fillId="14" borderId="18" xfId="0" applyFont="1" applyFill="1" applyBorder="1" applyAlignment="1">
      <alignment horizontal="center" vertical="center" wrapText="1"/>
    </xf>
    <xf numFmtId="10" fontId="20" fillId="6" borderId="18" xfId="32" applyNumberFormat="1" applyFont="1" applyFill="1" applyBorder="1" applyAlignment="1">
      <alignment horizontal="center" vertical="center" wrapText="1"/>
    </xf>
    <xf numFmtId="10" fontId="20" fillId="6" borderId="29" xfId="32" applyNumberFormat="1" applyFont="1" applyFill="1" applyBorder="1" applyAlignment="1">
      <alignment horizontal="center" vertical="center" wrapText="1"/>
    </xf>
    <xf numFmtId="0" fontId="9" fillId="14" borderId="12" xfId="0" applyFont="1" applyFill="1" applyBorder="1" applyAlignment="1">
      <alignment horizontal="center" vertical="center" wrapText="1"/>
    </xf>
    <xf numFmtId="0" fontId="9" fillId="14" borderId="13" xfId="0" applyFont="1" applyFill="1" applyBorder="1" applyAlignment="1">
      <alignment horizontal="center" vertical="center" wrapText="1"/>
    </xf>
    <xf numFmtId="10" fontId="20" fillId="6" borderId="13" xfId="32" applyNumberFormat="1" applyFont="1" applyFill="1" applyBorder="1" applyAlignment="1">
      <alignment horizontal="center" vertical="center" wrapText="1"/>
    </xf>
    <xf numFmtId="10" fontId="20" fillId="6" borderId="14" xfId="32" applyNumberFormat="1" applyFont="1" applyFill="1" applyBorder="1" applyAlignment="1">
      <alignment horizontal="center" vertical="center" wrapText="1"/>
    </xf>
    <xf numFmtId="0" fontId="26" fillId="7" borderId="73" xfId="0" applyFont="1" applyFill="1" applyBorder="1" applyAlignment="1">
      <alignment horizontal="center" vertical="center" wrapText="1"/>
    </xf>
    <xf numFmtId="0" fontId="26" fillId="7" borderId="68" xfId="0" applyFont="1" applyFill="1" applyBorder="1" applyAlignment="1">
      <alignment horizontal="center" vertical="center" wrapText="1"/>
    </xf>
    <xf numFmtId="0" fontId="0" fillId="7" borderId="65" xfId="0" applyFill="1" applyBorder="1" applyAlignment="1">
      <alignment horizontal="center" vertical="center" wrapText="1"/>
    </xf>
    <xf numFmtId="0" fontId="0" fillId="7" borderId="73" xfId="0" applyFill="1" applyBorder="1" applyAlignment="1">
      <alignment horizontal="center" vertical="center" wrapText="1"/>
    </xf>
    <xf numFmtId="0" fontId="9" fillId="14" borderId="33" xfId="0" applyFont="1" applyFill="1" applyBorder="1" applyAlignment="1">
      <alignment horizontal="center" vertical="center" wrapText="1"/>
    </xf>
    <xf numFmtId="0" fontId="9" fillId="14" borderId="66" xfId="0" applyFont="1" applyFill="1" applyBorder="1" applyAlignment="1">
      <alignment horizontal="center" vertical="center" wrapText="1"/>
    </xf>
    <xf numFmtId="0" fontId="28" fillId="5" borderId="30" xfId="0" applyFont="1" applyFill="1" applyBorder="1" applyAlignment="1">
      <alignment horizontal="center" vertical="center" wrapText="1"/>
    </xf>
    <xf numFmtId="0" fontId="28" fillId="5" borderId="31" xfId="0" applyFont="1" applyFill="1" applyBorder="1" applyAlignment="1">
      <alignment horizontal="center" vertical="center" wrapText="1"/>
    </xf>
    <xf numFmtId="0" fontId="28" fillId="5" borderId="33" xfId="0" applyFont="1" applyFill="1" applyBorder="1" applyAlignment="1">
      <alignment horizontal="center" vertical="center" wrapText="1"/>
    </xf>
    <xf numFmtId="0" fontId="28" fillId="5" borderId="0" xfId="0" applyFont="1" applyFill="1" applyAlignment="1">
      <alignment horizontal="center" vertical="center" wrapText="1"/>
    </xf>
    <xf numFmtId="0" fontId="28" fillId="5" borderId="34" xfId="0" applyFont="1" applyFill="1" applyBorder="1" applyAlignment="1">
      <alignment horizontal="center" vertical="center" wrapText="1"/>
    </xf>
    <xf numFmtId="0" fontId="28" fillId="5" borderId="35" xfId="0" applyFont="1" applyFill="1" applyBorder="1" applyAlignment="1">
      <alignment horizontal="center" vertical="center" wrapText="1"/>
    </xf>
    <xf numFmtId="165" fontId="20" fillId="0" borderId="30" xfId="0" applyNumberFormat="1" applyFont="1" applyBorder="1" applyAlignment="1">
      <alignment horizontal="center" vertical="center"/>
    </xf>
    <xf numFmtId="165" fontId="20" fillId="0" borderId="31" xfId="0" applyNumberFormat="1" applyFont="1" applyBorder="1" applyAlignment="1">
      <alignment horizontal="center" vertical="center"/>
    </xf>
    <xf numFmtId="165" fontId="20" fillId="0" borderId="32" xfId="0" applyNumberFormat="1" applyFont="1" applyBorder="1" applyAlignment="1">
      <alignment horizontal="center" vertical="center"/>
    </xf>
    <xf numFmtId="165" fontId="20" fillId="0" borderId="33" xfId="0" applyNumberFormat="1" applyFont="1" applyBorder="1" applyAlignment="1">
      <alignment horizontal="center" vertical="center"/>
    </xf>
    <xf numFmtId="165" fontId="20" fillId="0" borderId="0" xfId="0" applyNumberFormat="1" applyFont="1" applyAlignment="1">
      <alignment horizontal="center" vertical="center"/>
    </xf>
    <xf numFmtId="165" fontId="20" fillId="0" borderId="43" xfId="0" applyNumberFormat="1" applyFont="1" applyBorder="1" applyAlignment="1">
      <alignment horizontal="center" vertical="center"/>
    </xf>
    <xf numFmtId="165" fontId="20" fillId="0" borderId="34" xfId="0" applyNumberFormat="1" applyFont="1" applyBorder="1" applyAlignment="1">
      <alignment horizontal="center" vertical="center"/>
    </xf>
    <xf numFmtId="165" fontId="20" fillId="0" borderId="35" xfId="0" applyNumberFormat="1" applyFont="1" applyBorder="1" applyAlignment="1">
      <alignment horizontal="center" vertical="center"/>
    </xf>
    <xf numFmtId="165" fontId="20" fillId="0" borderId="36" xfId="0" applyNumberFormat="1" applyFont="1" applyBorder="1" applyAlignment="1">
      <alignment horizontal="center" vertical="center"/>
    </xf>
    <xf numFmtId="0" fontId="28" fillId="5" borderId="25" xfId="0" applyFont="1" applyFill="1" applyBorder="1" applyAlignment="1">
      <alignment horizontal="center" vertical="center" wrapText="1"/>
    </xf>
    <xf numFmtId="0" fontId="28" fillId="5" borderId="39" xfId="0" applyFont="1" applyFill="1" applyBorder="1" applyAlignment="1">
      <alignment horizontal="center" vertical="center" wrapText="1"/>
    </xf>
    <xf numFmtId="0" fontId="28" fillId="5" borderId="26" xfId="0" applyFont="1" applyFill="1" applyBorder="1" applyAlignment="1">
      <alignment horizontal="center" vertical="center" wrapText="1"/>
    </xf>
    <xf numFmtId="0" fontId="28" fillId="5" borderId="28" xfId="0" applyFont="1" applyFill="1" applyBorder="1" applyAlignment="1">
      <alignment horizontal="center" vertical="center" wrapText="1"/>
    </xf>
    <xf numFmtId="0" fontId="28" fillId="5" borderId="18" xfId="0" applyFont="1" applyFill="1" applyBorder="1" applyAlignment="1">
      <alignment horizontal="center" vertical="center" wrapText="1"/>
    </xf>
    <xf numFmtId="0" fontId="28" fillId="5" borderId="29" xfId="0" applyFont="1" applyFill="1" applyBorder="1" applyAlignment="1">
      <alignment horizontal="center" vertical="center" wrapText="1"/>
    </xf>
    <xf numFmtId="0" fontId="28" fillId="5" borderId="11" xfId="0" applyFont="1" applyFill="1" applyBorder="1" applyAlignment="1">
      <alignment horizontal="center" vertical="center" wrapText="1"/>
    </xf>
    <xf numFmtId="0" fontId="28" fillId="5" borderId="13" xfId="0" applyFont="1" applyFill="1" applyBorder="1" applyAlignment="1">
      <alignment horizontal="center" vertical="center" wrapText="1"/>
    </xf>
    <xf numFmtId="0" fontId="28" fillId="5" borderId="14" xfId="0" applyFont="1" applyFill="1" applyBorder="1" applyAlignment="1">
      <alignment horizontal="center" vertical="center" wrapText="1"/>
    </xf>
    <xf numFmtId="0" fontId="9" fillId="14" borderId="62" xfId="0" applyFont="1" applyFill="1" applyBorder="1" applyAlignment="1">
      <alignment horizontal="center" vertical="center" wrapText="1"/>
    </xf>
    <xf numFmtId="165" fontId="20" fillId="0" borderId="25" xfId="0" applyNumberFormat="1" applyFont="1" applyBorder="1" applyAlignment="1">
      <alignment horizontal="center" vertical="center"/>
    </xf>
    <xf numFmtId="165" fontId="20" fillId="0" borderId="39" xfId="0" applyNumberFormat="1" applyFont="1" applyBorder="1" applyAlignment="1">
      <alignment horizontal="center" vertical="center"/>
    </xf>
    <xf numFmtId="165" fontId="20" fillId="0" borderId="26" xfId="0" applyNumberFormat="1" applyFont="1" applyBorder="1" applyAlignment="1">
      <alignment horizontal="center" vertical="center"/>
    </xf>
    <xf numFmtId="0" fontId="9" fillId="14" borderId="27" xfId="0" applyFont="1" applyFill="1" applyBorder="1" applyAlignment="1">
      <alignment horizontal="center" vertical="center" wrapText="1"/>
    </xf>
    <xf numFmtId="165" fontId="20" fillId="0" borderId="28" xfId="0" applyNumberFormat="1" applyFont="1" applyBorder="1" applyAlignment="1">
      <alignment horizontal="center" vertical="center"/>
    </xf>
    <xf numFmtId="165" fontId="20" fillId="0" borderId="18" xfId="0" applyNumberFormat="1" applyFont="1" applyBorder="1" applyAlignment="1">
      <alignment horizontal="center" vertical="center"/>
    </xf>
    <xf numFmtId="165" fontId="20" fillId="0" borderId="29" xfId="0" applyNumberFormat="1" applyFont="1" applyBorder="1" applyAlignment="1">
      <alignment horizontal="center" vertical="center"/>
    </xf>
    <xf numFmtId="0" fontId="9" fillId="14" borderId="61" xfId="0" applyFont="1" applyFill="1" applyBorder="1" applyAlignment="1">
      <alignment horizontal="center" vertical="center" wrapText="1"/>
    </xf>
    <xf numFmtId="0" fontId="0" fillId="0" borderId="18" xfId="0" applyBorder="1" applyAlignment="1">
      <alignment horizontal="center" vertical="center"/>
    </xf>
    <xf numFmtId="165" fontId="30" fillId="0" borderId="18" xfId="0" applyNumberFormat="1" applyFont="1" applyBorder="1" applyAlignment="1">
      <alignment horizontal="center" vertical="center"/>
    </xf>
    <xf numFmtId="165" fontId="0" fillId="0" borderId="18" xfId="0" applyNumberFormat="1" applyBorder="1" applyAlignment="1">
      <alignment horizontal="center" vertical="center"/>
    </xf>
    <xf numFmtId="165" fontId="0" fillId="0" borderId="29" xfId="0" applyNumberFormat="1" applyBorder="1" applyAlignment="1">
      <alignment horizontal="center" vertical="center"/>
    </xf>
    <xf numFmtId="0" fontId="0" fillId="0" borderId="13" xfId="0" applyBorder="1" applyAlignment="1">
      <alignment horizontal="center" vertical="center"/>
    </xf>
    <xf numFmtId="165" fontId="30" fillId="0" borderId="13" xfId="0" applyNumberFormat="1" applyFont="1" applyBorder="1" applyAlignment="1">
      <alignment horizontal="center" vertical="center"/>
    </xf>
    <xf numFmtId="165" fontId="0" fillId="0" borderId="13" xfId="0" applyNumberFormat="1" applyBorder="1" applyAlignment="1">
      <alignment horizontal="center" vertical="center"/>
    </xf>
    <xf numFmtId="165" fontId="0" fillId="0" borderId="14" xfId="0" applyNumberFormat="1" applyBorder="1" applyAlignment="1">
      <alignment horizontal="center" vertical="center"/>
    </xf>
    <xf numFmtId="0" fontId="23" fillId="5" borderId="8" xfId="0" applyFont="1" applyFill="1" applyBorder="1" applyAlignment="1">
      <alignment horizontal="center" vertical="center"/>
    </xf>
    <xf numFmtId="0" fontId="23" fillId="5" borderId="53" xfId="0" applyFont="1" applyFill="1" applyBorder="1" applyAlignment="1">
      <alignment horizontal="center" vertical="center"/>
    </xf>
    <xf numFmtId="0" fontId="30" fillId="6" borderId="53" xfId="0" applyFont="1" applyFill="1" applyBorder="1" applyAlignment="1">
      <alignment horizontal="center" vertical="center"/>
    </xf>
    <xf numFmtId="0" fontId="30" fillId="6" borderId="9" xfId="0" applyFont="1" applyFill="1" applyBorder="1" applyAlignment="1">
      <alignment horizontal="center" vertical="center"/>
    </xf>
    <xf numFmtId="0" fontId="9" fillId="14" borderId="6" xfId="0" applyFont="1" applyFill="1" applyBorder="1" applyAlignment="1">
      <alignment horizontal="center" vertical="center" wrapText="1"/>
    </xf>
    <xf numFmtId="0" fontId="9" fillId="14" borderId="56" xfId="0" applyFont="1" applyFill="1" applyBorder="1" applyAlignment="1">
      <alignment horizontal="center" vertical="center" wrapText="1"/>
    </xf>
    <xf numFmtId="0" fontId="9" fillId="14" borderId="55" xfId="0" applyFont="1" applyFill="1" applyBorder="1" applyAlignment="1">
      <alignment horizontal="center" vertical="center" wrapText="1"/>
    </xf>
    <xf numFmtId="0" fontId="30" fillId="0" borderId="53" xfId="0" applyFont="1" applyBorder="1" applyAlignment="1">
      <alignment horizontal="center" vertical="center"/>
    </xf>
    <xf numFmtId="0" fontId="30" fillId="0" borderId="9" xfId="0" applyFont="1" applyBorder="1" applyAlignment="1">
      <alignment horizontal="center" vertical="center"/>
    </xf>
    <xf numFmtId="0" fontId="0" fillId="0" borderId="39" xfId="0" applyBorder="1" applyAlignment="1">
      <alignment horizontal="center" vertical="center"/>
    </xf>
    <xf numFmtId="165" fontId="30" fillId="0" borderId="39" xfId="0" applyNumberFormat="1" applyFont="1" applyBorder="1" applyAlignment="1">
      <alignment horizontal="center" vertical="center"/>
    </xf>
    <xf numFmtId="165" fontId="0" fillId="0" borderId="39" xfId="0" applyNumberFormat="1" applyBorder="1" applyAlignment="1">
      <alignment horizontal="center" vertical="center"/>
    </xf>
    <xf numFmtId="165" fontId="0" fillId="0" borderId="26" xfId="0" applyNumberFormat="1" applyBorder="1" applyAlignment="1">
      <alignment horizontal="center" vertical="center"/>
    </xf>
    <xf numFmtId="0" fontId="23" fillId="14" borderId="62" xfId="0" applyFont="1" applyFill="1" applyBorder="1" applyAlignment="1">
      <alignment horizontal="center" vertical="center"/>
    </xf>
    <xf numFmtId="0" fontId="23" fillId="14" borderId="61" xfId="0" applyFont="1" applyFill="1" applyBorder="1" applyAlignment="1">
      <alignment horizontal="center" vertical="center"/>
    </xf>
    <xf numFmtId="0" fontId="20" fillId="26" borderId="4" xfId="0" applyFont="1" applyFill="1" applyBorder="1" applyAlignment="1">
      <alignment horizontal="center" textRotation="90" wrapText="1"/>
    </xf>
    <xf numFmtId="0" fontId="20" fillId="26" borderId="58" xfId="0" applyFont="1" applyFill="1" applyBorder="1" applyAlignment="1">
      <alignment horizontal="center" textRotation="90" wrapText="1"/>
    </xf>
    <xf numFmtId="0" fontId="20" fillId="26" borderId="10" xfId="0" applyFont="1" applyFill="1" applyBorder="1" applyAlignment="1">
      <alignment horizontal="center" textRotation="90" wrapText="1"/>
    </xf>
    <xf numFmtId="0" fontId="20" fillId="7" borderId="30" xfId="0" applyFont="1" applyFill="1" applyBorder="1" applyAlignment="1">
      <alignment horizontal="center" vertical="center" wrapText="1"/>
    </xf>
    <xf numFmtId="0" fontId="20" fillId="7" borderId="31" xfId="0" applyFont="1" applyFill="1" applyBorder="1" applyAlignment="1">
      <alignment horizontal="center" vertical="center" wrapText="1"/>
    </xf>
    <xf numFmtId="0" fontId="20" fillId="7" borderId="75" xfId="0" applyFont="1" applyFill="1" applyBorder="1" applyAlignment="1">
      <alignment horizontal="center" vertical="center" wrapText="1"/>
    </xf>
    <xf numFmtId="0" fontId="20" fillId="7" borderId="21" xfId="0" applyFont="1" applyFill="1" applyBorder="1" applyAlignment="1">
      <alignment horizontal="center" vertical="center" wrapText="1"/>
    </xf>
    <xf numFmtId="0" fontId="20" fillId="7" borderId="17" xfId="0" applyFont="1" applyFill="1" applyBorder="1" applyAlignment="1">
      <alignment horizontal="center" vertical="center" wrapText="1"/>
    </xf>
    <xf numFmtId="0" fontId="20" fillId="7" borderId="23" xfId="0" applyFont="1" applyFill="1" applyBorder="1" applyAlignment="1">
      <alignment horizontal="center" vertical="center" wrapText="1"/>
    </xf>
    <xf numFmtId="0" fontId="20" fillId="27" borderId="32" xfId="0" applyFont="1" applyFill="1" applyBorder="1" applyAlignment="1">
      <alignment horizontal="center" textRotation="90" wrapText="1"/>
    </xf>
    <xf numFmtId="0" fontId="20" fillId="27" borderId="43" xfId="0" applyFont="1" applyFill="1" applyBorder="1" applyAlignment="1">
      <alignment horizontal="center" textRotation="90" wrapText="1"/>
    </xf>
    <xf numFmtId="0" fontId="20" fillId="27" borderId="36" xfId="0" applyFont="1" applyFill="1" applyBorder="1" applyAlignment="1">
      <alignment horizontal="center" textRotation="90" wrapText="1"/>
    </xf>
    <xf numFmtId="0" fontId="20" fillId="28" borderId="32" xfId="0" applyFont="1" applyFill="1" applyBorder="1" applyAlignment="1">
      <alignment horizontal="center" textRotation="90" wrapText="1"/>
    </xf>
    <xf numFmtId="0" fontId="20" fillId="28" borderId="43" xfId="0" applyFont="1" applyFill="1" applyBorder="1" applyAlignment="1">
      <alignment horizontal="center" textRotation="90" wrapText="1"/>
    </xf>
    <xf numFmtId="0" fontId="20" fillId="28" borderId="36" xfId="0" applyFont="1" applyFill="1" applyBorder="1" applyAlignment="1">
      <alignment horizontal="center" textRotation="90" wrapText="1"/>
    </xf>
    <xf numFmtId="165" fontId="19" fillId="7" borderId="19" xfId="0" applyNumberFormat="1" applyFont="1" applyFill="1" applyBorder="1" applyAlignment="1">
      <alignment horizontal="center" vertical="center"/>
    </xf>
    <xf numFmtId="0" fontId="20" fillId="7" borderId="33" xfId="0" applyFont="1" applyFill="1" applyBorder="1" applyAlignment="1">
      <alignment horizontal="center" vertical="center" wrapText="1"/>
    </xf>
    <xf numFmtId="0" fontId="20" fillId="7" borderId="0" xfId="0" applyFont="1" applyFill="1" applyAlignment="1">
      <alignment horizontal="center" vertical="center" wrapText="1"/>
    </xf>
    <xf numFmtId="0" fontId="20" fillId="7" borderId="66" xfId="0" applyFont="1" applyFill="1" applyBorder="1" applyAlignment="1">
      <alignment horizontal="center" vertical="center" wrapText="1"/>
    </xf>
    <xf numFmtId="0" fontId="20" fillId="7" borderId="34" xfId="0" applyFont="1" applyFill="1" applyBorder="1" applyAlignment="1">
      <alignment horizontal="center" vertical="center" wrapText="1"/>
    </xf>
    <xf numFmtId="0" fontId="20" fillId="7" borderId="35" xfId="0" applyFont="1" applyFill="1" applyBorder="1" applyAlignment="1">
      <alignment horizontal="center" vertical="center" wrapText="1"/>
    </xf>
    <xf numFmtId="0" fontId="20" fillId="7" borderId="57" xfId="0" applyFont="1" applyFill="1" applyBorder="1" applyAlignment="1">
      <alignment horizontal="center" vertical="center" wrapText="1"/>
    </xf>
    <xf numFmtId="165" fontId="26" fillId="7" borderId="19" xfId="0" applyNumberFormat="1" applyFont="1" applyFill="1" applyBorder="1" applyAlignment="1">
      <alignment horizontal="center" vertical="center" wrapText="1"/>
    </xf>
    <xf numFmtId="165" fontId="26" fillId="7" borderId="29" xfId="0" applyNumberFormat="1" applyFont="1" applyFill="1" applyBorder="1" applyAlignment="1">
      <alignment horizontal="center" vertical="center" wrapText="1"/>
    </xf>
    <xf numFmtId="0" fontId="5" fillId="9" borderId="18" xfId="0" applyFont="1" applyFill="1" applyBorder="1" applyAlignment="1">
      <alignment horizontal="center"/>
    </xf>
    <xf numFmtId="0" fontId="5" fillId="8" borderId="18" xfId="0" applyFont="1" applyFill="1" applyBorder="1" applyAlignment="1">
      <alignment horizontal="center" vertical="center"/>
    </xf>
    <xf numFmtId="0" fontId="5" fillId="10" borderId="18" xfId="0" applyFont="1" applyFill="1" applyBorder="1" applyAlignment="1">
      <alignment horizontal="center"/>
    </xf>
    <xf numFmtId="0" fontId="3" fillId="9" borderId="18" xfId="0" applyFont="1" applyFill="1" applyBorder="1" applyAlignment="1">
      <alignment horizontal="center" vertical="center" wrapText="1"/>
    </xf>
    <xf numFmtId="0" fontId="2" fillId="25" borderId="48" xfId="0" applyFont="1" applyFill="1" applyBorder="1" applyAlignment="1">
      <alignment horizontal="center" vertical="center" wrapText="1"/>
    </xf>
    <xf numFmtId="0" fontId="2" fillId="25" borderId="49" xfId="0" applyFont="1" applyFill="1" applyBorder="1" applyAlignment="1">
      <alignment horizontal="center" vertical="center" wrapText="1"/>
    </xf>
    <xf numFmtId="0" fontId="2" fillId="25" borderId="50" xfId="0" applyFont="1" applyFill="1" applyBorder="1" applyAlignment="1">
      <alignment horizontal="center" vertical="center" wrapText="1"/>
    </xf>
    <xf numFmtId="0" fontId="5" fillId="11" borderId="25" xfId="0" applyFont="1" applyFill="1" applyBorder="1" applyAlignment="1">
      <alignment horizontal="center" vertical="center"/>
    </xf>
    <xf numFmtId="0" fontId="5" fillId="11" borderId="39" xfId="0" applyFont="1" applyFill="1" applyBorder="1" applyAlignment="1">
      <alignment horizontal="center" vertical="center"/>
    </xf>
    <xf numFmtId="0" fontId="5" fillId="11" borderId="26"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9" borderId="48" xfId="0" applyFont="1" applyFill="1" applyBorder="1" applyAlignment="1">
      <alignment horizontal="center" vertical="center" wrapText="1"/>
    </xf>
    <xf numFmtId="0" fontId="3" fillId="9" borderId="49" xfId="0" applyFont="1" applyFill="1" applyBorder="1" applyAlignment="1">
      <alignment horizontal="center" vertical="center" wrapText="1"/>
    </xf>
    <xf numFmtId="0" fontId="3" fillId="9" borderId="50" xfId="0" applyFont="1" applyFill="1" applyBorder="1" applyAlignment="1">
      <alignment horizontal="center" vertical="center" wrapText="1"/>
    </xf>
    <xf numFmtId="0" fontId="2" fillId="11" borderId="29" xfId="0" applyFont="1" applyFill="1" applyBorder="1" applyAlignment="1">
      <alignment horizontal="center" vertical="center" wrapText="1"/>
    </xf>
    <xf numFmtId="0" fontId="2" fillId="11" borderId="14"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2" fillId="11"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32" fillId="5" borderId="17" xfId="0" applyFont="1" applyFill="1" applyBorder="1" applyAlignment="1">
      <alignment horizontal="center"/>
    </xf>
    <xf numFmtId="0" fontId="15" fillId="5" borderId="0" xfId="0" applyFont="1" applyFill="1" applyAlignment="1">
      <alignment horizontal="center"/>
    </xf>
    <xf numFmtId="0" fontId="15" fillId="5" borderId="27" xfId="0" applyFont="1" applyFill="1" applyBorder="1" applyAlignment="1">
      <alignment horizontal="center" vertical="center" wrapText="1"/>
    </xf>
    <xf numFmtId="0" fontId="15" fillId="5" borderId="41" xfId="0" applyFont="1" applyFill="1" applyBorder="1" applyAlignment="1">
      <alignment horizontal="center" vertical="center" wrapText="1"/>
    </xf>
    <xf numFmtId="0" fontId="15" fillId="5" borderId="38" xfId="0" applyFont="1" applyFill="1" applyBorder="1" applyAlignment="1">
      <alignment horizontal="center" vertical="center" wrapText="1"/>
    </xf>
    <xf numFmtId="0" fontId="36" fillId="5" borderId="17" xfId="0" applyFont="1" applyFill="1" applyBorder="1" applyAlignment="1">
      <alignment horizontal="center" wrapText="1"/>
    </xf>
    <xf numFmtId="0" fontId="15" fillId="5" borderId="27" xfId="0" applyFont="1" applyFill="1" applyBorder="1" applyAlignment="1">
      <alignment horizontal="center"/>
    </xf>
    <xf numFmtId="0" fontId="15" fillId="5" borderId="41" xfId="0" applyFont="1" applyFill="1" applyBorder="1" applyAlignment="1">
      <alignment horizontal="center"/>
    </xf>
    <xf numFmtId="0" fontId="15" fillId="5" borderId="38" xfId="0" applyFont="1" applyFill="1" applyBorder="1" applyAlignment="1">
      <alignment horizontal="center"/>
    </xf>
    <xf numFmtId="0" fontId="35" fillId="5" borderId="0" xfId="0" applyFont="1" applyFill="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 cent" xfId="32" builtinId="5"/>
  </cellStyles>
  <dxfs count="392">
    <dxf>
      <border diagonalUp="0" diagonalDown="0">
        <left/>
        <right/>
        <top style="thin">
          <color indexed="64"/>
        </top>
        <bottom/>
        <vertical/>
        <horizontal/>
      </border>
    </dxf>
    <dxf>
      <border outline="0">
        <top style="thin">
          <color indexed="64"/>
        </top>
      </border>
    </dxf>
    <dxf>
      <border outline="0">
        <bottom style="thin">
          <color auto="1"/>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bottom style="thin">
          <color auto="1"/>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bottom style="thin">
          <color auto="1"/>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bottom style="thin">
          <color auto="1"/>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bottom style="thin">
          <color auto="1"/>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bottom style="thin">
          <color auto="1"/>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bottom style="thin">
          <color auto="1"/>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bottom style="thin">
          <color auto="1"/>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bottom style="thin">
          <color auto="1"/>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bottom style="thin">
          <color auto="1"/>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bottom style="thin">
          <color auto="1"/>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bottom style="thin">
          <color auto="1"/>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bottom style="thin">
          <color auto="1"/>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bottom style="thin">
          <color auto="1"/>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rgb="FF9C0006"/>
      </font>
      <fill>
        <patternFill>
          <bgColor rgb="FFFFC7CE"/>
        </patternFill>
      </fill>
    </dxf>
    <dxf>
      <fill>
        <patternFill>
          <bgColor rgb="FFFF5050"/>
        </patternFill>
      </fill>
    </dxf>
    <dxf>
      <fill>
        <patternFill>
          <bgColor theme="9" tint="0.39994506668294322"/>
        </patternFill>
      </fill>
    </dxf>
    <dxf>
      <fill>
        <patternFill>
          <bgColor rgb="FFFF5050"/>
        </patternFill>
      </fill>
    </dxf>
    <dxf>
      <fill>
        <patternFill>
          <bgColor theme="9" tint="0.39994506668294322"/>
        </patternFill>
      </fill>
    </dxf>
    <dxf>
      <fill>
        <patternFill>
          <bgColor rgb="FFFF5050"/>
        </patternFill>
      </fill>
    </dxf>
    <dxf>
      <fill>
        <patternFill>
          <bgColor theme="9" tint="0.39994506668294322"/>
        </patternFill>
      </fill>
    </dxf>
    <dxf>
      <fill>
        <patternFill>
          <bgColor theme="9" tint="0.39994506668294322"/>
        </patternFill>
      </fill>
    </dxf>
    <dxf>
      <fill>
        <patternFill>
          <bgColor rgb="FFFF5050"/>
        </patternFill>
      </fill>
    </dxf>
    <dxf>
      <fill>
        <patternFill>
          <bgColor rgb="FFFF5050"/>
        </patternFill>
      </fill>
    </dxf>
    <dxf>
      <fill>
        <patternFill>
          <bgColor theme="9" tint="0.59996337778862885"/>
        </patternFill>
      </fill>
    </dxf>
    <dxf>
      <font>
        <color theme="1"/>
      </font>
      <fill>
        <patternFill>
          <bgColor rgb="FFFF5050"/>
        </patternFill>
      </fill>
    </dxf>
    <dxf>
      <fill>
        <patternFill>
          <bgColor theme="9" tint="0.39994506668294322"/>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rgb="FFFF5050"/>
        </patternFill>
      </fill>
    </dxf>
    <dxf>
      <font>
        <color theme="1"/>
      </font>
      <fill>
        <patternFill>
          <bgColor theme="9" tint="0.39994506668294322"/>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505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theme="1"/>
      </font>
      <fill>
        <patternFill>
          <bgColor rgb="FFFF5050"/>
        </patternFill>
      </fill>
    </dxf>
    <dxf>
      <font>
        <color theme="1"/>
      </font>
      <fill>
        <patternFill>
          <bgColor theme="9" tint="0.39994506668294322"/>
        </patternFill>
      </fill>
    </dxf>
    <dxf>
      <font>
        <color theme="1"/>
      </font>
      <fill>
        <patternFill>
          <bgColor theme="9" tint="0.39994506668294322"/>
        </patternFill>
      </fill>
    </dxf>
    <dxf>
      <font>
        <color theme="1"/>
      </font>
      <fill>
        <patternFill>
          <bgColor rgb="FFFF5050"/>
        </patternFill>
      </fill>
    </dxf>
    <dxf>
      <font>
        <color theme="1"/>
      </font>
      <fill>
        <patternFill>
          <bgColor rgb="FFFF5050"/>
        </patternFill>
      </fill>
    </dxf>
    <dxf>
      <font>
        <color theme="1"/>
      </font>
      <fill>
        <patternFill>
          <bgColor theme="9" tint="0.39994506668294322"/>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5050"/>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5050"/>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5050"/>
        </patternFill>
      </fill>
    </dxf>
    <dxf>
      <fill>
        <patternFill>
          <bgColor rgb="FFFF5050"/>
        </patternFill>
      </fill>
    </dxf>
    <dxf>
      <font>
        <color theme="1"/>
      </font>
      <fill>
        <patternFill>
          <bgColor rgb="FFFF5050"/>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5050"/>
        </patternFill>
      </fill>
    </dxf>
    <dxf>
      <fill>
        <patternFill>
          <bgColor rgb="FFFF0000"/>
        </patternFill>
      </fill>
    </dxf>
    <dxf>
      <fill>
        <patternFill>
          <bgColor rgb="FFFF0000"/>
        </patternFill>
      </fill>
    </dxf>
    <dxf>
      <fill>
        <patternFill>
          <bgColor rgb="FFFF000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5050"/>
        </patternFill>
      </fill>
    </dxf>
    <dxf>
      <font>
        <color theme="1"/>
      </font>
      <fill>
        <patternFill>
          <bgColor theme="0" tint="-0.24994659260841701"/>
        </patternFill>
      </fill>
    </dxf>
    <dxf>
      <fill>
        <patternFill>
          <bgColor theme="5" tint="0.59996337778862885"/>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1"/>
      </font>
      <fill>
        <patternFill>
          <bgColor rgb="FFFF5050"/>
        </patternFill>
      </fill>
    </dxf>
    <dxf>
      <font>
        <color auto="1"/>
      </font>
      <fill>
        <patternFill>
          <bgColor theme="9" tint="0.39994506668294322"/>
        </patternFill>
      </fill>
    </dxf>
    <dxf>
      <font>
        <color theme="1"/>
      </font>
      <fill>
        <patternFill>
          <bgColor rgb="FFFF5050"/>
        </patternFill>
      </fill>
    </dxf>
    <dxf>
      <fill>
        <patternFill>
          <bgColor theme="0" tint="-0.499984740745262"/>
        </patternFill>
      </fill>
    </dxf>
    <dxf>
      <fill>
        <patternFill>
          <bgColor theme="9" tint="0.39994506668294322"/>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ont>
        <color theme="1"/>
      </font>
      <fill>
        <patternFill>
          <bgColor rgb="FFFF5050"/>
        </patternFill>
      </fill>
      <border>
        <left style="thin">
          <color rgb="FFFF0000"/>
        </left>
        <right style="thin">
          <color rgb="FFFF0000"/>
        </right>
        <top style="thin">
          <color rgb="FFFF0000"/>
        </top>
        <bottom style="thin">
          <color rgb="FFFF0000"/>
        </bottom>
      </border>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rgb="FF9C0006"/>
      </font>
      <fill>
        <patternFill>
          <bgColor rgb="FFFFC7CE"/>
        </patternFill>
      </fill>
    </dxf>
    <dxf>
      <fill>
        <patternFill>
          <bgColor rgb="FFFF0000"/>
        </patternFill>
      </fill>
    </dxf>
    <dxf>
      <fill>
        <patternFill>
          <bgColor rgb="FFFF0000"/>
        </patternFill>
      </fill>
    </dxf>
    <dxf>
      <fill>
        <patternFill>
          <bgColor theme="5" tint="0.59996337778862885"/>
        </patternFill>
      </fill>
    </dxf>
    <dxf>
      <fill>
        <patternFill>
          <bgColor rgb="FFFF0000"/>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5050"/>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5050"/>
        </patternFill>
      </fill>
    </dxf>
    <dxf>
      <fill>
        <patternFill>
          <bgColor rgb="FFFF5050"/>
        </patternFill>
      </fill>
    </dxf>
    <dxf>
      <font>
        <color theme="1"/>
      </font>
      <fill>
        <patternFill>
          <bgColor rgb="FFFF5050"/>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505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rgb="FFFF5050"/>
        </patternFill>
      </fill>
    </dxf>
    <dxf>
      <font>
        <color theme="1"/>
      </font>
      <fill>
        <patternFill>
          <bgColor theme="0" tint="-0.24994659260841701"/>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1"/>
      </font>
      <fill>
        <patternFill>
          <bgColor rgb="FFFF5050"/>
        </patternFill>
      </fill>
    </dxf>
    <dxf>
      <font>
        <color auto="1"/>
      </font>
      <fill>
        <patternFill>
          <bgColor theme="9" tint="0.39994506668294322"/>
        </patternFill>
      </fill>
    </dxf>
    <dxf>
      <font>
        <color theme="1"/>
      </font>
      <fill>
        <patternFill>
          <bgColor rgb="FFFF5050"/>
        </patternFill>
      </fill>
    </dxf>
    <dxf>
      <fill>
        <patternFill>
          <bgColor theme="0" tint="-0.499984740745262"/>
        </patternFill>
      </fill>
    </dxf>
    <dxf>
      <fill>
        <patternFill>
          <bgColor theme="9" tint="0.39994506668294322"/>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ont>
        <color theme="1"/>
      </font>
      <fill>
        <patternFill>
          <bgColor rgb="FFFF5050"/>
        </patternFill>
      </fill>
      <border>
        <left style="thin">
          <color rgb="FFFF0000"/>
        </left>
        <right style="thin">
          <color rgb="FFFF0000"/>
        </right>
        <top style="thin">
          <color rgb="FFFF0000"/>
        </top>
        <bottom style="thin">
          <color rgb="FFFF0000"/>
        </bottom>
      </border>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rgb="FF9C0006"/>
      </font>
      <fill>
        <patternFill>
          <bgColor rgb="FFFFC7CE"/>
        </patternFill>
      </fill>
    </dxf>
    <dxf>
      <fill>
        <patternFill>
          <bgColor rgb="FFFF0000"/>
        </patternFill>
      </fill>
    </dxf>
    <dxf>
      <fill>
        <patternFill>
          <bgColor rgb="FFFF0000"/>
        </patternFill>
      </fill>
    </dxf>
    <dxf>
      <fill>
        <patternFill>
          <bgColor theme="5" tint="0.59996337778862885"/>
        </patternFill>
      </fill>
    </dxf>
    <dxf>
      <fill>
        <patternFill>
          <bgColor rgb="FFFF0000"/>
        </patternFill>
      </fill>
    </dxf>
    <dxf>
      <font>
        <color rgb="FF9C0006"/>
      </font>
      <fill>
        <patternFill>
          <bgColor rgb="FFFFC7CE"/>
        </patternFill>
      </fill>
    </dxf>
    <dxf>
      <fill>
        <patternFill>
          <bgColor rgb="FFFF5050"/>
        </patternFill>
      </fill>
    </dxf>
    <dxf>
      <fill>
        <patternFill>
          <bgColor rgb="FFFF5050"/>
        </patternFill>
      </fill>
    </dxf>
    <dxf>
      <fill>
        <patternFill>
          <bgColor rgb="FFFF5050"/>
        </patternFill>
      </fill>
    </dxf>
    <dxf>
      <fill>
        <patternFill>
          <bgColor rgb="FFFF5050"/>
        </patternFill>
      </fill>
    </dxf>
    <dxf>
      <fill>
        <patternFill>
          <bgColor rgb="FFFF5050"/>
        </patternFill>
      </fill>
    </dxf>
    <dxf>
      <font>
        <color theme="1"/>
      </font>
      <fill>
        <patternFill>
          <bgColor rgb="FFFF5050"/>
        </patternFill>
      </fill>
    </dxf>
    <dxf>
      <font>
        <color theme="1"/>
      </font>
      <fill>
        <patternFill>
          <bgColor theme="0" tint="-0.24994659260841701"/>
        </patternFill>
      </fill>
    </dxf>
    <dxf>
      <fill>
        <patternFill>
          <bgColor rgb="FFFF5050"/>
        </patternFill>
      </fill>
    </dxf>
    <dxf>
      <font>
        <color theme="1"/>
      </font>
      <fill>
        <patternFill>
          <bgColor rgb="FFFF5050"/>
        </patternFill>
      </fill>
    </dxf>
    <dxf>
      <font>
        <color theme="1"/>
      </font>
      <fill>
        <patternFill>
          <bgColor theme="0" tint="-0.34998626667073579"/>
        </patternFill>
      </fill>
    </dxf>
    <dxf>
      <font>
        <color theme="1"/>
      </font>
      <fill>
        <patternFill>
          <bgColor rgb="FFFF505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ill>
        <patternFill>
          <bgColor rgb="FFFF5050"/>
        </patternFill>
      </fill>
    </dxf>
    <dxf>
      <font>
        <color theme="1"/>
      </font>
      <fill>
        <patternFill>
          <bgColor rgb="FFFF5050"/>
        </patternFill>
      </fill>
    </dxf>
    <dxf>
      <font>
        <color auto="1"/>
      </font>
      <fill>
        <patternFill>
          <bgColor theme="9" tint="0.39994506668294322"/>
        </patternFill>
      </fill>
    </dxf>
    <dxf>
      <font>
        <color theme="1"/>
      </font>
      <fill>
        <patternFill>
          <bgColor rgb="FFFF5050"/>
        </patternFill>
      </fill>
    </dxf>
    <dxf>
      <font>
        <color auto="1"/>
      </font>
      <fill>
        <patternFill>
          <bgColor theme="9" tint="0.39994506668294322"/>
        </patternFill>
      </fill>
    </dxf>
    <dxf>
      <font>
        <color theme="1"/>
      </font>
      <fill>
        <patternFill>
          <bgColor rgb="FFFF5050"/>
        </patternFill>
      </fill>
    </dxf>
    <dxf>
      <fill>
        <patternFill>
          <bgColor theme="0" tint="-0.499984740745262"/>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theme="9" tint="0.39994506668294322"/>
        </patternFill>
      </fill>
    </dxf>
    <dxf>
      <fill>
        <patternFill>
          <bgColor theme="0"/>
        </patternFill>
      </fill>
    </dxf>
    <dxf>
      <fill>
        <patternFill>
          <bgColor theme="5"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ont>
        <color theme="1"/>
      </font>
      <fill>
        <patternFill>
          <bgColor rgb="FFFF5050"/>
        </patternFill>
      </fill>
      <border>
        <left style="thin">
          <color rgb="FFFF0000"/>
        </left>
        <right style="thin">
          <color rgb="FFFF0000"/>
        </right>
        <top style="thin">
          <color rgb="FFFF0000"/>
        </top>
        <bottom style="thin">
          <color rgb="FFFF0000"/>
        </bottom>
      </border>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5050"/>
        </patternFill>
      </fill>
    </dxf>
    <dxf>
      <fill>
        <patternFill>
          <bgColor rgb="FFFF0000"/>
        </patternFill>
      </fill>
    </dxf>
    <dxf>
      <fill>
        <patternFill>
          <bgColor rgb="FFFF0000"/>
        </patternFill>
      </fill>
    </dxf>
    <dxf>
      <fill>
        <patternFill>
          <bgColor theme="5"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1"/>
      </font>
      <fill>
        <patternFill>
          <bgColor rgb="FFFF5050"/>
        </patternFill>
      </fill>
    </dxf>
    <dxf>
      <font>
        <b/>
        <i val="0"/>
        <color theme="1"/>
      </font>
      <fill>
        <patternFill>
          <bgColor rgb="FFFF5050"/>
        </patternFill>
      </fill>
    </dxf>
    <dxf>
      <font>
        <b/>
        <i val="0"/>
        <strike val="0"/>
        <color theme="1"/>
      </font>
      <fill>
        <patternFill>
          <bgColor theme="9" tint="0.39994506668294322"/>
        </patternFill>
      </fill>
    </dxf>
    <dxf>
      <font>
        <b/>
        <i val="0"/>
        <strike val="0"/>
      </font>
      <fill>
        <patternFill>
          <bgColor rgb="FFFF5050"/>
        </patternFill>
      </fill>
    </dxf>
    <dxf>
      <font>
        <b/>
        <i val="0"/>
        <strike val="0"/>
        <color theme="1"/>
      </font>
      <fill>
        <patternFill>
          <bgColor theme="9" tint="0.39994506668294322"/>
        </patternFill>
      </fill>
    </dxf>
    <dxf>
      <font>
        <b/>
        <i val="0"/>
        <strike val="0"/>
      </font>
      <fill>
        <patternFill>
          <bgColor rgb="FFFF5050"/>
        </patternFill>
      </fill>
    </dxf>
    <dxf>
      <font>
        <b/>
        <i val="0"/>
        <color theme="1"/>
      </font>
      <fill>
        <patternFill>
          <bgColor rgb="FFFF5050"/>
        </patternFill>
      </fill>
    </dxf>
    <dxf>
      <font>
        <b/>
        <i val="0"/>
        <strike val="0"/>
        <color theme="1"/>
      </font>
      <fill>
        <patternFill>
          <bgColor rgb="FFFF505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font>
      <fill>
        <patternFill>
          <bgColor rgb="FFFF5050"/>
        </patternFill>
      </fill>
    </dxf>
    <dxf>
      <font>
        <color theme="1"/>
      </font>
      <fill>
        <patternFill>
          <bgColor rgb="FFFF5050"/>
        </patternFill>
      </fill>
    </dxf>
    <dxf>
      <font>
        <b/>
        <i val="0"/>
        <strike val="0"/>
        <color theme="1"/>
      </font>
      <fill>
        <patternFill>
          <bgColor rgb="FFFF5050"/>
        </patternFill>
      </fill>
    </dxf>
    <dxf>
      <font>
        <b/>
        <i val="0"/>
      </font>
      <fill>
        <patternFill>
          <bgColor theme="9" tint="0.39994506668294322"/>
        </patternFill>
      </fill>
    </dxf>
    <dxf>
      <font>
        <b/>
        <i val="0"/>
        <strike val="0"/>
      </font>
      <fill>
        <patternFill>
          <bgColor rgb="FFFF5050"/>
        </patternFill>
      </fill>
    </dxf>
    <dxf>
      <font>
        <b/>
        <i val="0"/>
        <strike val="0"/>
      </font>
      <fill>
        <patternFill>
          <bgColor rgb="FFFFC000"/>
        </patternFill>
      </fill>
    </dxf>
    <dxf>
      <font>
        <b/>
        <i val="0"/>
      </font>
      <fill>
        <patternFill>
          <bgColor theme="9" tint="0.39994506668294322"/>
        </patternFill>
      </fill>
    </dxf>
    <dxf>
      <font>
        <b/>
        <i val="0"/>
        <strike val="0"/>
      </font>
      <fill>
        <patternFill>
          <bgColor rgb="FFFF5050"/>
        </patternFill>
      </fill>
    </dxf>
    <dxf>
      <font>
        <b/>
        <i val="0"/>
        <strike val="0"/>
      </font>
      <fill>
        <patternFill>
          <bgColor rgb="FFFFC000"/>
        </patternFill>
      </fill>
    </dxf>
    <dxf>
      <font>
        <b/>
        <i val="0"/>
        <strike val="0"/>
        <color theme="1"/>
      </font>
      <fill>
        <patternFill>
          <bgColor rgb="FFFF5050"/>
        </patternFill>
      </fill>
    </dxf>
    <dxf>
      <font>
        <b/>
        <i val="0"/>
        <color theme="1"/>
      </font>
      <fill>
        <patternFill>
          <bgColor rgb="FFFFC000"/>
        </patternFill>
      </fill>
    </dxf>
    <dxf>
      <font>
        <b/>
        <i val="0"/>
        <strike val="0"/>
        <color theme="1"/>
      </font>
      <fill>
        <patternFill>
          <bgColor rgb="FFFF5050"/>
        </patternFill>
      </fill>
    </dxf>
    <dxf>
      <font>
        <b/>
        <i val="0"/>
      </font>
      <fill>
        <patternFill>
          <bgColor theme="9" tint="0.39994506668294322"/>
        </patternFill>
      </fill>
    </dxf>
    <dxf>
      <font>
        <b/>
        <i val="0"/>
        <strike val="0"/>
      </font>
      <fill>
        <patternFill>
          <bgColor rgb="FFFF5050"/>
        </patternFill>
      </fill>
    </dxf>
    <dxf>
      <font>
        <b/>
        <i val="0"/>
        <strike val="0"/>
      </font>
      <fill>
        <patternFill>
          <bgColor rgb="FFFFC000"/>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rgb="FFFF5050"/>
        </patternFill>
      </fill>
    </dxf>
    <dxf>
      <font>
        <color theme="1"/>
      </font>
      <fill>
        <patternFill>
          <bgColor theme="7" tint="0.39994506668294322"/>
        </patternFill>
      </fill>
    </dxf>
    <dxf>
      <fill>
        <patternFill>
          <bgColor rgb="FFFF5050"/>
        </patternFill>
      </fill>
    </dxf>
    <dxf>
      <font>
        <b/>
        <i val="0"/>
        <strike val="0"/>
        <color theme="1"/>
      </font>
      <fill>
        <patternFill>
          <bgColor theme="9" tint="0.39994506668294322"/>
        </patternFill>
      </fill>
    </dxf>
  </dxfs>
  <tableStyles count="0" defaultTableStyle="TableStyleMedium2" defaultPivotStyle="PivotStyleLight16"/>
  <colors>
    <mruColors>
      <color rgb="FFF2F0D9"/>
      <color rgb="FFFF5050"/>
      <color rgb="FFF2EAD9"/>
      <color rgb="FFFF6600"/>
      <color rgb="FFFFCCFF"/>
      <color rgb="FFFF7C80"/>
      <color rgb="FFFFFFC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'9. Detailed Results'!$P$24</c:f>
              <c:strCache>
                <c:ptCount val="1"/>
                <c:pt idx="0">
                  <c:v>Baseline</c:v>
                </c:pt>
              </c:strCache>
            </c:strRef>
          </c:tx>
          <c:spPr>
            <a:solidFill>
              <a:schemeClr val="accent1">
                <a:lumMod val="75000"/>
              </a:schemeClr>
            </a:solidFill>
            <a:ln>
              <a:noFill/>
            </a:ln>
            <a:effectLst/>
          </c:spPr>
          <c:invertIfNegative val="0"/>
          <c:cat>
            <c:multiLvlStrRef>
              <c:f>'9. Detailed Results'!$N$25:$O$27</c:f>
              <c:multiLvlStrCache>
                <c:ptCount val="3"/>
                <c:lvl/>
                <c:lvl>
                  <c:pt idx="0">
                    <c:v>Habitat units</c:v>
                  </c:pt>
                  <c:pt idx="1">
                    <c:v>Hedgerow units</c:v>
                  </c:pt>
                  <c:pt idx="2">
                    <c:v>River units</c:v>
                  </c:pt>
                </c:lvl>
              </c:multiLvlStrCache>
            </c:multiLvlStrRef>
          </c:cat>
          <c:val>
            <c:numRef>
              <c:f>'9. Detailed Results'!$P$25:$P$27</c:f>
              <c:numCache>
                <c:formatCode>0.00</c:formatCode>
                <c:ptCount val="3"/>
                <c:pt idx="0">
                  <c:v>0.47563999999999995</c:v>
                </c:pt>
                <c:pt idx="1">
                  <c:v>0</c:v>
                </c:pt>
                <c:pt idx="2">
                  <c:v>0</c:v>
                </c:pt>
              </c:numCache>
            </c:numRef>
          </c:val>
          <c:extLst>
            <c:ext xmlns:c16="http://schemas.microsoft.com/office/drawing/2014/chart" uri="{C3380CC4-5D6E-409C-BE32-E72D297353CC}">
              <c16:uniqueId val="{00000000-ED6E-4DB5-92C4-E3B5EA02388C}"/>
            </c:ext>
          </c:extLst>
        </c:ser>
        <c:ser>
          <c:idx val="1"/>
          <c:order val="1"/>
          <c:tx>
            <c:strRef>
              <c:f>'9. Detailed Results'!$Q$24</c:f>
              <c:strCache>
                <c:ptCount val="1"/>
                <c:pt idx="0">
                  <c:v>Provision</c:v>
                </c:pt>
              </c:strCache>
            </c:strRef>
          </c:tx>
          <c:spPr>
            <a:solidFill>
              <a:schemeClr val="accent1">
                <a:lumMod val="20000"/>
                <a:lumOff val="80000"/>
              </a:schemeClr>
            </a:solidFill>
            <a:ln>
              <a:noFill/>
            </a:ln>
            <a:effectLst/>
          </c:spPr>
          <c:invertIfNegative val="0"/>
          <c:cat>
            <c:multiLvlStrRef>
              <c:f>'9. Detailed Results'!$N$25:$O$27</c:f>
              <c:multiLvlStrCache>
                <c:ptCount val="3"/>
                <c:lvl/>
                <c:lvl>
                  <c:pt idx="0">
                    <c:v>Habitat units</c:v>
                  </c:pt>
                  <c:pt idx="1">
                    <c:v>Hedgerow units</c:v>
                  </c:pt>
                  <c:pt idx="2">
                    <c:v>River units</c:v>
                  </c:pt>
                </c:lvl>
              </c:multiLvlStrCache>
            </c:multiLvlStrRef>
          </c:cat>
          <c:val>
            <c:numRef>
              <c:f>'9. Detailed Results'!$Q$25:$Q$27</c:f>
              <c:numCache>
                <c:formatCode>0.00</c:formatCode>
                <c:ptCount val="3"/>
                <c:pt idx="0">
                  <c:v>0.77867811708510393</c:v>
                </c:pt>
                <c:pt idx="1">
                  <c:v>0.31565178586632003</c:v>
                </c:pt>
                <c:pt idx="2">
                  <c:v>0</c:v>
                </c:pt>
              </c:numCache>
            </c:numRef>
          </c:val>
          <c:extLst>
            <c:ext xmlns:c16="http://schemas.microsoft.com/office/drawing/2014/chart" uri="{C3380CC4-5D6E-409C-BE32-E72D297353CC}">
              <c16:uniqueId val="{00000001-ED6E-4DB5-92C4-E3B5EA02388C}"/>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650312481346183"/>
          <c:y val="2.5813642500822728E-2"/>
          <c:w val="0.5081698164080295"/>
          <c:h val="0.6968635777634594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1D59-4BDD-B895-59A40E3849F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1D59-4BDD-B895-59A40E3849F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1D59-4BDD-B895-59A40E3849F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1D59-4BDD-B895-59A40E3849F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1D59-4BDD-B895-59A40E3849F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1D59-4BDD-B895-59A40E3849F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1D59-4BDD-B895-59A40E3849F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1D59-4BDD-B895-59A40E3849F0}"/>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1D59-4BDD-B895-59A40E3849F0}"/>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1D59-4BDD-B895-59A40E3849F0}"/>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1D59-4BDD-B895-59A40E3849F0}"/>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1D59-4BDD-B895-59A40E3849F0}"/>
              </c:ext>
            </c:extLst>
          </c:dPt>
          <c:cat>
            <c:strRef>
              <c:f>'9. Detailed Results'!$M$47:$M$58</c:f>
              <c:strCache>
                <c:ptCount val="12"/>
                <c:pt idx="0">
                  <c:v>Cropland</c:v>
                </c:pt>
                <c:pt idx="1">
                  <c:v>Grassland</c:v>
                </c:pt>
                <c:pt idx="2">
                  <c:v>Heathland and shrub</c:v>
                </c:pt>
                <c:pt idx="3">
                  <c:v>Intertidal Hard Structures</c:v>
                </c:pt>
                <c:pt idx="4">
                  <c:v>Intertidal sediment</c:v>
                </c:pt>
                <c:pt idx="5">
                  <c:v>Lakes</c:v>
                </c:pt>
                <c:pt idx="6">
                  <c:v>Sparsely vegetated land</c:v>
                </c:pt>
                <c:pt idx="7">
                  <c:v>Urban</c:v>
                </c:pt>
                <c:pt idx="8">
                  <c:v>Woodland and forest</c:v>
                </c:pt>
                <c:pt idx="9">
                  <c:v>Coastal Saltmarsh</c:v>
                </c:pt>
                <c:pt idx="10">
                  <c:v>Hedgerows</c:v>
                </c:pt>
                <c:pt idx="11">
                  <c:v>Line of trees</c:v>
                </c:pt>
              </c:strCache>
            </c:strRef>
          </c:cat>
          <c:val>
            <c:numRef>
              <c:f>'9. Detailed Results'!$N$47:$N$58</c:f>
              <c:numCache>
                <c:formatCode>0.0000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8-1D59-4BDD-B895-59A40E3849F0}"/>
            </c:ext>
          </c:extLst>
        </c:ser>
        <c:dLbls>
          <c:showLegendKey val="0"/>
          <c:showVal val="0"/>
          <c:showCatName val="0"/>
          <c:showSerName val="0"/>
          <c:showPercent val="0"/>
          <c:showBubbleSize val="0"/>
          <c:showLeaderLines val="1"/>
        </c:dLbls>
        <c:firstSliceAng val="0"/>
      </c:pieChart>
      <c:spPr>
        <a:noFill/>
        <a:ln>
          <a:noFill/>
        </a:ln>
        <a:effectLst/>
      </c:spPr>
    </c:plotArea>
    <c:legend>
      <c:legendPos val="b"/>
      <c:layout>
        <c:manualLayout>
          <c:xMode val="edge"/>
          <c:yMode val="edge"/>
          <c:x val="2.5234581655247664E-2"/>
          <c:y val="0.72899130950310098"/>
          <c:w val="0.96493210246094963"/>
          <c:h val="0.25410162698314087"/>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552466</xdr:colOff>
      <xdr:row>4</xdr:row>
      <xdr:rowOff>58969</xdr:rowOff>
    </xdr:to>
    <xdr:pic>
      <xdr:nvPicPr>
        <xdr:cNvPr id="3" name="Picture 2" descr="Image result for natural england logo">
          <a:extLst>
            <a:ext uri="{FF2B5EF4-FFF2-40B4-BE49-F238E27FC236}">
              <a16:creationId xmlns:a16="http://schemas.microsoft.com/office/drawing/2014/main" id="{00F78949-202A-43FE-BE36-406F550C8868}"/>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0" y="0"/>
          <a:ext cx="796306" cy="7790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1</xdr:col>
      <xdr:colOff>535433</xdr:colOff>
      <xdr:row>0</xdr:row>
      <xdr:rowOff>15241</xdr:rowOff>
    </xdr:from>
    <xdr:to>
      <xdr:col>2</xdr:col>
      <xdr:colOff>421217</xdr:colOff>
      <xdr:row>4</xdr:row>
      <xdr:rowOff>54696</xdr:rowOff>
    </xdr:to>
    <xdr:pic>
      <xdr:nvPicPr>
        <xdr:cNvPr id="4" name="Picture 3">
          <a:extLst>
            <a:ext uri="{FF2B5EF4-FFF2-40B4-BE49-F238E27FC236}">
              <a16:creationId xmlns:a16="http://schemas.microsoft.com/office/drawing/2014/main" id="{669064E3-074A-40CD-AA41-47E6051A02F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783083" y="7621"/>
          <a:ext cx="495384" cy="763355"/>
        </a:xfrm>
        <a:prstGeom prst="rect">
          <a:avLst/>
        </a:prstGeom>
      </xdr:spPr>
    </xdr:pic>
    <xdr:clientData fLocksWithSheet="0"/>
  </xdr:twoCellAnchor>
  <xdr:twoCellAnchor editAs="oneCell">
    <xdr:from>
      <xdr:col>10</xdr:col>
      <xdr:colOff>220019</xdr:colOff>
      <xdr:row>0</xdr:row>
      <xdr:rowOff>0</xdr:rowOff>
    </xdr:from>
    <xdr:to>
      <xdr:col>18</xdr:col>
      <xdr:colOff>245920</xdr:colOff>
      <xdr:row>21</xdr:row>
      <xdr:rowOff>127158</xdr:rowOff>
    </xdr:to>
    <xdr:pic>
      <xdr:nvPicPr>
        <xdr:cNvPr id="2" name="Picture 1">
          <a:extLst>
            <a:ext uri="{FF2B5EF4-FFF2-40B4-BE49-F238E27FC236}">
              <a16:creationId xmlns:a16="http://schemas.microsoft.com/office/drawing/2014/main" id="{CC113426-ABF0-40C2-9AD0-ACC2899A81A2}"/>
            </a:ext>
          </a:extLst>
        </xdr:cNvPr>
        <xdr:cNvPicPr>
          <a:picLocks noChangeAspect="1"/>
        </xdr:cNvPicPr>
      </xdr:nvPicPr>
      <xdr:blipFill>
        <a:blip xmlns:r="http://schemas.openxmlformats.org/officeDocument/2006/relationships" r:embed="rId3"/>
        <a:stretch>
          <a:fillRect/>
        </a:stretch>
      </xdr:blipFill>
      <xdr:spPr>
        <a:xfrm>
          <a:off x="5935019" y="0"/>
          <a:ext cx="4887461" cy="4964906"/>
        </a:xfrm>
        <a:prstGeom prst="rect">
          <a:avLst/>
        </a:prstGeom>
      </xdr:spPr>
    </xdr:pic>
    <xdr:clientData/>
  </xdr:twoCellAnchor>
  <xdr:oneCellAnchor>
    <xdr:from>
      <xdr:col>10</xdr:col>
      <xdr:colOff>198600</xdr:colOff>
      <xdr:row>21</xdr:row>
      <xdr:rowOff>86680</xdr:rowOff>
    </xdr:from>
    <xdr:ext cx="2140586"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794663" y="4670586"/>
          <a:ext cx="214058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FPCR Environment &amp;</a:t>
          </a:r>
          <a:r>
            <a:rPr lang="en-GB" sz="1100" baseline="0">
              <a:solidFill>
                <a:sysClr val="windowText" lastClr="000000"/>
              </a:solidFill>
            </a:rPr>
            <a:t> Design Ltd</a:t>
          </a:r>
          <a:endParaRPr lang="en-GB" sz="1100">
            <a:solidFill>
              <a:sysClr val="windowText" lastClr="000000"/>
            </a:solidFill>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11</xdr:col>
      <xdr:colOff>175257</xdr:colOff>
      <xdr:row>16</xdr:row>
      <xdr:rowOff>317659</xdr:rowOff>
    </xdr:from>
    <xdr:to>
      <xdr:col>19</xdr:col>
      <xdr:colOff>270032</xdr:colOff>
      <xdr:row>39</xdr:row>
      <xdr:rowOff>35719</xdr:rowOff>
    </xdr:to>
    <xdr:graphicFrame macro="">
      <xdr:nvGraphicFramePr>
        <xdr:cNvPr id="2" name="Chart 1">
          <a:extLst>
            <a:ext uri="{FF2B5EF4-FFF2-40B4-BE49-F238E27FC236}">
              <a16:creationId xmlns:a16="http://schemas.microsoft.com/office/drawing/2014/main" id="{A48BCDED-506F-41D3-BE78-8E05FAEE80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189075</xdr:colOff>
      <xdr:row>40</xdr:row>
      <xdr:rowOff>9525</xdr:rowOff>
    </xdr:from>
    <xdr:to>
      <xdr:col>19</xdr:col>
      <xdr:colOff>238128</xdr:colOff>
      <xdr:row>62</xdr:row>
      <xdr:rowOff>150970</xdr:rowOff>
    </xdr:to>
    <xdr:graphicFrame macro="">
      <xdr:nvGraphicFramePr>
        <xdr:cNvPr id="3" name="Chart 2">
          <a:extLst>
            <a:ext uri="{FF2B5EF4-FFF2-40B4-BE49-F238E27FC236}">
              <a16:creationId xmlns:a16="http://schemas.microsoft.com/office/drawing/2014/main" id="{3E4B0652-93BE-4680-BD29-3ACA6B1DCE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68" headerRowBorderDxfId="66" tableBorderDxfId="67" totalsRowBorderDxfId="65">
  <autoFilter ref="A1:A11" xr:uid="{D3D48E5C-DC0B-41A4-A0A0-527C1359656D}"/>
  <tableColumns count="1">
    <tableColumn id="1" xr3:uid="{520E3FA0-67BF-4785-A0AD-C78B48FCFF4F}" name="Broadhabitattype" dataDxfId="64"/>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2" totalsRowShown="0" headerRowDxfId="63" headerRowBorderDxfId="61" tableBorderDxfId="62" totalsRowBorderDxfId="60">
  <autoFilter ref="C1:C12" xr:uid="{EBAB9D5E-B0CF-4D1D-ADB7-E5493557887B}"/>
  <tableColumns count="1">
    <tableColumn id="1" xr3:uid="{7B1F58A2-C65F-4A69-B2AC-B9D36F77D859}" name="Cropland" dataDxfId="59"/>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58" headerRowBorderDxfId="56" tableBorderDxfId="57" totalsRowBorderDxfId="55">
  <autoFilter ref="E1:E6" xr:uid="{9B064C4C-4D73-4D0F-9BDF-647780F59E66}"/>
  <tableColumns count="1">
    <tableColumn id="1" xr3:uid="{435B0EB9-C4DC-435C-8E01-4D49B6A757E3}" name="Grassland" dataDxfId="54"/>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9" totalsRowShown="0" headerRowDxfId="53" headerRowBorderDxfId="51" tableBorderDxfId="52" totalsRowBorderDxfId="50">
  <autoFilter ref="G1:G9" xr:uid="{A85BEA36-76EB-4A0E-A53F-61D293877434}"/>
  <tableColumns count="1">
    <tableColumn id="1" xr3:uid="{4DB9D90D-064B-4D7C-BA34-C168290E28EA}" name="Heathlandandshrub" dataDxfId="49"/>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48" headerRowBorderDxfId="46" tableBorderDxfId="47" totalsRowBorderDxfId="45">
  <autoFilter ref="I1:I4" xr:uid="{C6C9FE5A-CC8A-40B8-8EA0-DB758CFDE554}"/>
  <tableColumns count="1">
    <tableColumn id="1" xr3:uid="{C0FE31C6-CA6F-4DE0-AFB8-FFF60A016160}" name="Intertidalhardstructures" dataDxfId="44"/>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1" totalsRowShown="0" headerRowDxfId="43" headerRowBorderDxfId="41" tableBorderDxfId="42" totalsRowBorderDxfId="40">
  <autoFilter ref="K1:K11" xr:uid="{7797F585-D0F9-47FE-BA9D-388927B61768}"/>
  <tableColumns count="1">
    <tableColumn id="1" xr3:uid="{75E4C119-EC80-44EC-8E72-378235CE41D5}" name="Intertidalsediment" dataDxfId="39"/>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38" headerRowBorderDxfId="36" tableBorderDxfId="37" totalsRowBorderDxfId="35">
  <autoFilter ref="M1:M4" xr:uid="{ACDCCD93-F593-4714-B731-26DAF0559CC2}"/>
  <tableColumns count="1">
    <tableColumn id="1" xr3:uid="{EC598AF1-76EB-4F02-9796-356409435C67}" name="Lakes" dataDxfId="34"/>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3" totalsRowShown="0" headerRowDxfId="33" headerRowBorderDxfId="31" tableBorderDxfId="32" totalsRowBorderDxfId="30">
  <autoFilter ref="O1:O3"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0" totalsRowShown="0" headerRowDxfId="29" headerRowBorderDxfId="27" tableBorderDxfId="28" totalsRowBorderDxfId="26">
  <autoFilter ref="Q1:Q20" xr:uid="{01B2E67C-1501-41B2-8D62-A3A34C54A10D}"/>
  <tableColumns count="1">
    <tableColumn id="1" xr3:uid="{8CCDD882-E68F-4342-BB3A-C070B69D5CD8}" name="Urban" dataDxfId="25"/>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4" headerRowBorderDxfId="22" tableBorderDxfId="23" totalsRowBorderDxfId="21">
  <autoFilter ref="S1:S5" xr:uid="{30F074BA-9A05-4036-B433-08ADAAF4B4D6}"/>
  <tableColumns count="1">
    <tableColumn id="1" xr3:uid="{E418E0FC-1774-4279-88F2-AFFD97CEAA34}" name="Woodlandandforest" dataDxfId="20"/>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6" totalsRowShown="0" headerRowDxfId="19" headerRowBorderDxfId="17" tableBorderDxfId="18" totalsRowBorderDxfId="16">
  <autoFilter ref="U1:U6" xr:uid="{C184E532-E77C-4872-89E0-8E85C5B1D65C}"/>
  <tableColumns count="1">
    <tableColumn id="1" xr3:uid="{13BB9483-7385-4659-8AAD-FDCAD7546C50}" name="Hedgerow" dataDxfId="15"/>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4" headerRowBorderDxfId="12" tableBorderDxfId="13" totalsRowBorderDxfId="11">
  <autoFilter ref="W1:W5" xr:uid="{9B1AD1A4-0D15-4CE8-AEA8-06A4E9EF94B6}"/>
  <tableColumns count="1">
    <tableColumn id="1" xr3:uid="{DBBD35C5-EECC-4041-95E4-573CBFBFA8F1}" name="Lineoftrees" dataDxfId="10"/>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9" headerRowBorderDxfId="7" tableBorderDxfId="8" totalsRowBorderDxfId="6">
  <autoFilter ref="Y1:Y11" xr:uid="{54F032EE-B464-4AEB-BB7D-CACE48062226}"/>
  <tableColumns count="1">
    <tableColumn id="1" xr3:uid="{E7EC9414-85BB-4D8B-84A7-C259CAFC4970}" name="Watercourses" dataDxfId="5"/>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3" totalsRowShown="0" headerRowDxfId="4" headerRowBorderDxfId="2" tableBorderDxfId="3" totalsRowBorderDxfId="1">
  <autoFilter ref="AA1:AA3" xr:uid="{C64B59BF-D198-400E-9C6C-CB6989FBD588}"/>
  <tableColumns count="1">
    <tableColumn id="1" xr3:uid="{17A67DAE-E9E9-4299-B10B-B8A5BA9F3223}" name="CoastalSaltmarsh"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 Type="http://schemas.openxmlformats.org/officeDocument/2006/relationships/printerSettings" Target="../printerSettings/printerSettings12.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94"/>
  <sheetViews>
    <sheetView tabSelected="1" topLeftCell="A10" zoomScale="80" zoomScaleNormal="80" workbookViewId="0">
      <selection activeCell="K33" sqref="K33"/>
    </sheetView>
  </sheetViews>
  <sheetFormatPr defaultColWidth="0" defaultRowHeight="14.45" zeroHeight="1"/>
  <cols>
    <col min="1" max="1" width="3.5703125" customWidth="1"/>
    <col min="2" max="6" width="8.85546875" customWidth="1"/>
    <col min="7" max="7" width="11.7109375" customWidth="1"/>
    <col min="8" max="8" width="8.85546875" customWidth="1"/>
    <col min="9" max="9" width="12.85546875" customWidth="1"/>
    <col min="10" max="10" width="14.7109375" customWidth="1"/>
    <col min="11" max="18" width="8.85546875" customWidth="1"/>
    <col min="19" max="19" width="3.7109375" customWidth="1"/>
    <col min="20" max="30" width="8.85546875" hidden="1" customWidth="1"/>
    <col min="31" max="16384" width="8.85546875" hidden="1"/>
  </cols>
  <sheetData>
    <row r="1" spans="1:30">
      <c r="A1" s="27"/>
      <c r="B1" s="27"/>
      <c r="C1" s="27"/>
      <c r="D1" s="447"/>
      <c r="E1" s="447"/>
      <c r="F1" s="447"/>
      <c r="G1" s="447"/>
      <c r="H1" s="447"/>
      <c r="I1" s="447"/>
      <c r="J1" s="447"/>
      <c r="K1" s="27"/>
      <c r="L1" s="27"/>
      <c r="M1" s="27"/>
      <c r="N1" s="27"/>
      <c r="O1" s="27"/>
      <c r="P1" s="27"/>
      <c r="Q1" s="27"/>
      <c r="R1" s="27"/>
      <c r="S1" s="27"/>
      <c r="T1" s="27"/>
      <c r="U1" s="27"/>
      <c r="V1" s="27"/>
      <c r="W1" s="27"/>
      <c r="X1" s="27"/>
      <c r="Y1" s="27"/>
      <c r="Z1" s="27"/>
      <c r="AA1" s="27"/>
      <c r="AB1" s="27"/>
      <c r="AC1" s="27"/>
      <c r="AD1" s="27"/>
    </row>
    <row r="2" spans="1:30">
      <c r="A2" s="27"/>
      <c r="B2" s="27"/>
      <c r="C2" s="27"/>
      <c r="D2" s="447"/>
      <c r="E2" s="447"/>
      <c r="F2" s="447"/>
      <c r="G2" s="447"/>
      <c r="H2" s="447"/>
      <c r="I2" s="447"/>
      <c r="J2" s="447"/>
      <c r="K2" s="27"/>
      <c r="L2" s="27"/>
      <c r="M2" s="27"/>
      <c r="N2" s="27"/>
      <c r="O2" s="27"/>
      <c r="P2" s="27"/>
      <c r="Q2" s="27"/>
      <c r="R2" s="27"/>
      <c r="S2" s="27"/>
      <c r="T2" s="27"/>
      <c r="U2" s="27"/>
      <c r="V2" s="27"/>
      <c r="W2" s="27"/>
      <c r="X2" s="27"/>
      <c r="Y2" s="27"/>
      <c r="Z2" s="27"/>
      <c r="AA2" s="27"/>
      <c r="AB2" s="27"/>
      <c r="AC2" s="27"/>
      <c r="AD2" s="27"/>
    </row>
    <row r="3" spans="1:30">
      <c r="A3" s="27"/>
      <c r="B3" s="27"/>
      <c r="C3" s="27"/>
      <c r="D3" s="447"/>
      <c r="E3" s="447"/>
      <c r="F3" s="447"/>
      <c r="G3" s="447"/>
      <c r="H3" s="447"/>
      <c r="I3" s="447"/>
      <c r="J3" s="447"/>
      <c r="K3" s="27"/>
      <c r="L3" s="27"/>
      <c r="M3" s="27"/>
      <c r="N3" s="27"/>
      <c r="O3" s="27"/>
      <c r="P3" s="27"/>
      <c r="Q3" s="27"/>
      <c r="R3" s="27"/>
      <c r="S3" s="27"/>
      <c r="T3" s="27"/>
      <c r="U3" s="27"/>
      <c r="V3" s="27"/>
      <c r="W3" s="27"/>
      <c r="X3" s="27"/>
      <c r="Y3" s="27"/>
      <c r="Z3" s="27"/>
      <c r="AA3" s="27"/>
      <c r="AB3" s="27"/>
      <c r="AC3" s="27"/>
      <c r="AD3" s="27"/>
    </row>
    <row r="4" spans="1:30">
      <c r="A4" s="27"/>
      <c r="B4" s="27"/>
      <c r="C4" s="27"/>
      <c r="D4" s="447"/>
      <c r="E4" s="447"/>
      <c r="F4" s="447"/>
      <c r="G4" s="447"/>
      <c r="H4" s="447"/>
      <c r="I4" s="447"/>
      <c r="J4" s="447"/>
      <c r="K4" s="27"/>
      <c r="L4" s="27"/>
      <c r="M4" s="27"/>
      <c r="N4" s="27"/>
      <c r="O4" s="27"/>
      <c r="P4" s="27"/>
      <c r="Q4" s="27"/>
      <c r="R4" s="27"/>
      <c r="S4" s="27"/>
      <c r="T4" s="27"/>
      <c r="U4" s="27"/>
      <c r="V4" s="27"/>
      <c r="W4" s="27"/>
      <c r="X4" s="27"/>
      <c r="Y4" s="27"/>
      <c r="Z4" s="27"/>
      <c r="AA4" s="27"/>
      <c r="AB4" s="27"/>
      <c r="AC4" s="27"/>
      <c r="AD4" s="27"/>
    </row>
    <row r="5" spans="1:30">
      <c r="A5" s="27"/>
      <c r="B5" s="27"/>
      <c r="C5" s="27"/>
      <c r="D5" s="447"/>
      <c r="E5" s="447"/>
      <c r="F5" s="447"/>
      <c r="G5" s="447"/>
      <c r="H5" s="447"/>
      <c r="I5" s="447"/>
      <c r="J5" s="447"/>
      <c r="K5" s="27"/>
      <c r="L5" s="27"/>
      <c r="M5" s="27"/>
      <c r="N5" s="27"/>
      <c r="O5" s="27"/>
      <c r="P5" s="27"/>
      <c r="Q5" s="27"/>
      <c r="R5" s="27"/>
      <c r="S5" s="27"/>
      <c r="T5" s="27"/>
      <c r="U5" s="27"/>
      <c r="V5" s="27"/>
      <c r="W5" s="27"/>
      <c r="X5" s="27"/>
      <c r="Y5" s="27"/>
      <c r="Z5" s="27"/>
      <c r="AA5" s="27"/>
      <c r="AB5" s="27"/>
      <c r="AC5" s="27"/>
      <c r="AD5" s="27"/>
    </row>
    <row r="6" spans="1:30">
      <c r="A6" s="230" t="s">
        <v>0</v>
      </c>
      <c r="B6" s="470" t="s">
        <v>1</v>
      </c>
      <c r="C6" s="470"/>
      <c r="D6" s="470"/>
      <c r="E6" s="470"/>
      <c r="F6" s="470"/>
      <c r="G6" s="470"/>
      <c r="H6" s="470"/>
      <c r="I6" s="470"/>
      <c r="J6" s="470"/>
      <c r="K6" s="27"/>
      <c r="L6" s="27"/>
      <c r="M6" s="27"/>
      <c r="N6" s="27"/>
      <c r="O6" s="27"/>
      <c r="P6" s="27"/>
      <c r="Q6" s="27"/>
      <c r="R6" s="27"/>
      <c r="S6" s="27"/>
      <c r="T6" s="27"/>
      <c r="U6" s="27"/>
      <c r="V6" s="27"/>
      <c r="W6" s="27"/>
      <c r="X6" s="27"/>
      <c r="Y6" s="27"/>
      <c r="Z6" s="27"/>
      <c r="AA6" s="27"/>
      <c r="AB6" s="27"/>
      <c r="AC6" s="27"/>
      <c r="AD6" s="27"/>
    </row>
    <row r="7" spans="1:30">
      <c r="A7" s="27"/>
      <c r="B7" s="470"/>
      <c r="C7" s="470"/>
      <c r="D7" s="470"/>
      <c r="E7" s="470"/>
      <c r="F7" s="470"/>
      <c r="G7" s="470"/>
      <c r="H7" s="470"/>
      <c r="I7" s="470"/>
      <c r="J7" s="470"/>
      <c r="K7" s="27"/>
      <c r="L7" s="27"/>
      <c r="M7" s="27"/>
      <c r="N7" s="27"/>
      <c r="O7" s="27"/>
      <c r="P7" s="27"/>
      <c r="Q7" s="27"/>
      <c r="R7" s="27"/>
      <c r="S7" s="27"/>
      <c r="T7" s="27"/>
      <c r="U7" s="27"/>
      <c r="V7" s="27"/>
      <c r="W7" s="27"/>
      <c r="X7" s="27"/>
      <c r="Y7" s="27"/>
      <c r="Z7" s="27"/>
      <c r="AA7" s="27"/>
      <c r="AB7" s="27"/>
      <c r="AC7" s="27"/>
      <c r="AD7" s="27"/>
    </row>
    <row r="8" spans="1:30">
      <c r="A8" s="27"/>
      <c r="B8" s="470"/>
      <c r="C8" s="470"/>
      <c r="D8" s="470"/>
      <c r="E8" s="470"/>
      <c r="F8" s="470"/>
      <c r="G8" s="470"/>
      <c r="H8" s="470"/>
      <c r="I8" s="470"/>
      <c r="J8" s="470"/>
      <c r="K8" s="27"/>
      <c r="L8" s="27"/>
      <c r="M8" s="27"/>
      <c r="N8" s="27"/>
      <c r="O8" s="27"/>
      <c r="P8" s="27"/>
      <c r="Q8" s="27"/>
      <c r="R8" s="27"/>
      <c r="S8" s="27"/>
      <c r="T8" s="27"/>
      <c r="U8" s="27"/>
      <c r="V8" s="27"/>
      <c r="W8" s="27"/>
      <c r="X8" s="27"/>
      <c r="Y8" s="27"/>
      <c r="Z8" s="27"/>
      <c r="AA8" s="27"/>
      <c r="AB8" s="27"/>
      <c r="AC8" s="27"/>
      <c r="AD8" s="27"/>
    </row>
    <row r="9" spans="1:30" ht="14.45" customHeight="1">
      <c r="A9" s="27"/>
      <c r="B9" s="471" t="s">
        <v>2</v>
      </c>
      <c r="C9" s="471"/>
      <c r="D9" s="471"/>
      <c r="E9" s="471"/>
      <c r="F9" s="471"/>
      <c r="G9" s="471"/>
      <c r="H9" s="471"/>
      <c r="I9" s="471"/>
      <c r="J9" s="471"/>
      <c r="K9" s="27"/>
      <c r="L9" s="27"/>
      <c r="M9" s="27"/>
      <c r="N9" s="27"/>
      <c r="O9" s="27"/>
      <c r="P9" s="27"/>
      <c r="Q9" s="27"/>
      <c r="R9" s="27"/>
      <c r="S9" s="27"/>
      <c r="T9" s="27"/>
      <c r="U9" s="27"/>
      <c r="V9" s="27"/>
      <c r="W9" s="27"/>
      <c r="X9" s="27"/>
      <c r="Y9" s="27"/>
      <c r="Z9" s="27"/>
      <c r="AA9" s="27"/>
      <c r="AB9" s="27"/>
      <c r="AC9" s="27"/>
      <c r="AD9" s="27"/>
    </row>
    <row r="10" spans="1:30" ht="20.45" customHeight="1">
      <c r="A10" s="27"/>
      <c r="B10" s="471"/>
      <c r="C10" s="471"/>
      <c r="D10" s="471"/>
      <c r="E10" s="471"/>
      <c r="F10" s="471"/>
      <c r="G10" s="471"/>
      <c r="H10" s="471"/>
      <c r="I10" s="471"/>
      <c r="J10" s="471"/>
      <c r="K10" s="27"/>
      <c r="L10" s="27"/>
      <c r="M10" s="27"/>
      <c r="N10" s="27"/>
      <c r="O10" s="27"/>
      <c r="P10" s="27"/>
      <c r="Q10" s="27"/>
      <c r="R10" s="27"/>
      <c r="S10" s="27"/>
      <c r="T10" s="27"/>
      <c r="U10" s="27"/>
      <c r="V10" s="27"/>
      <c r="W10" s="27"/>
      <c r="X10" s="27"/>
      <c r="Y10" s="27"/>
      <c r="Z10" s="27"/>
      <c r="AA10" s="27"/>
      <c r="AB10" s="27"/>
      <c r="AC10" s="27"/>
      <c r="AD10" s="27"/>
    </row>
    <row r="11" spans="1:30">
      <c r="A11" s="27"/>
      <c r="B11" s="472" t="s">
        <v>3</v>
      </c>
      <c r="C11" s="472"/>
      <c r="D11" s="472"/>
      <c r="E11" s="472"/>
      <c r="F11" s="443" t="s">
        <v>4</v>
      </c>
      <c r="G11" s="443"/>
      <c r="H11" s="443"/>
      <c r="I11" s="443"/>
      <c r="J11" s="443"/>
      <c r="K11" s="27"/>
      <c r="L11" s="27"/>
      <c r="M11" s="27"/>
      <c r="N11" s="27"/>
      <c r="O11" s="27"/>
      <c r="P11" s="27"/>
      <c r="Q11" s="27"/>
      <c r="R11" s="27"/>
      <c r="S11" s="27"/>
      <c r="T11" s="27"/>
      <c r="U11" s="27"/>
      <c r="V11" s="27"/>
      <c r="W11" s="27"/>
      <c r="X11" s="27"/>
      <c r="Y11" s="27"/>
      <c r="Z11" s="27"/>
      <c r="AA11" s="27"/>
      <c r="AB11" s="27"/>
      <c r="AC11" s="27"/>
      <c r="AD11" s="27"/>
    </row>
    <row r="12" spans="1:30">
      <c r="A12" s="27"/>
      <c r="B12" s="472" t="s">
        <v>5</v>
      </c>
      <c r="C12" s="472"/>
      <c r="D12" s="472"/>
      <c r="E12" s="472"/>
      <c r="F12" s="444" t="s">
        <v>6</v>
      </c>
      <c r="G12" s="444"/>
      <c r="H12" s="444"/>
      <c r="I12" s="444"/>
      <c r="J12" s="444"/>
      <c r="K12" s="27"/>
      <c r="L12" s="27"/>
      <c r="M12" s="27"/>
      <c r="N12" s="27"/>
      <c r="O12" s="27"/>
      <c r="P12" s="27"/>
      <c r="Q12" s="27"/>
      <c r="R12" s="27"/>
      <c r="S12" s="27"/>
      <c r="T12" s="27"/>
      <c r="U12" s="27"/>
      <c r="V12" s="27"/>
      <c r="W12" s="27"/>
      <c r="X12" s="27"/>
      <c r="Y12" s="27"/>
      <c r="Z12" s="27"/>
      <c r="AA12" s="27"/>
      <c r="AB12" s="27"/>
      <c r="AC12" s="27"/>
      <c r="AD12" s="27"/>
    </row>
    <row r="13" spans="1:30">
      <c r="A13" s="27"/>
      <c r="B13" s="445" t="s">
        <v>7</v>
      </c>
      <c r="C13" s="445"/>
      <c r="D13" s="445"/>
      <c r="E13" s="445"/>
      <c r="F13" s="445"/>
      <c r="G13" s="445"/>
      <c r="H13" s="445"/>
      <c r="I13" s="445"/>
      <c r="J13" s="445"/>
      <c r="K13" s="27"/>
      <c r="L13" s="27"/>
      <c r="M13" s="27"/>
      <c r="N13" s="27"/>
      <c r="O13" s="27"/>
      <c r="P13" s="27"/>
      <c r="Q13" s="27"/>
      <c r="R13" s="27"/>
      <c r="S13" s="27"/>
      <c r="T13" s="27"/>
      <c r="U13" s="27"/>
      <c r="V13" s="27"/>
      <c r="W13" s="27"/>
      <c r="X13" s="27"/>
      <c r="Y13" s="27"/>
      <c r="Z13" s="27"/>
      <c r="AA13" s="27"/>
      <c r="AB13" s="27"/>
      <c r="AC13" s="27"/>
      <c r="AD13" s="27"/>
    </row>
    <row r="14" spans="1:30" ht="14.45" customHeight="1">
      <c r="A14" s="27"/>
      <c r="B14" s="446" t="s">
        <v>8</v>
      </c>
      <c r="C14" s="473" t="s">
        <v>9</v>
      </c>
      <c r="D14" s="473"/>
      <c r="E14" s="473"/>
      <c r="F14" s="473"/>
      <c r="G14" s="473"/>
      <c r="H14" s="473"/>
      <c r="I14" s="473"/>
      <c r="J14" s="473"/>
      <c r="K14" s="27"/>
      <c r="L14" s="27"/>
      <c r="M14" s="27"/>
      <c r="N14" s="27"/>
      <c r="O14" s="27"/>
      <c r="P14" s="27"/>
      <c r="Q14" s="27"/>
      <c r="R14" s="27"/>
      <c r="S14" s="27"/>
      <c r="T14" s="27"/>
      <c r="U14" s="27"/>
      <c r="V14" s="27"/>
      <c r="W14" s="27"/>
      <c r="X14" s="27"/>
      <c r="Y14" s="27"/>
      <c r="Z14" s="27"/>
      <c r="AA14" s="27"/>
      <c r="AB14" s="27"/>
      <c r="AC14" s="27"/>
      <c r="AD14" s="27"/>
    </row>
    <row r="15" spans="1:30" ht="81" customHeight="1">
      <c r="A15" s="27"/>
      <c r="B15" s="446"/>
      <c r="C15" s="473"/>
      <c r="D15" s="473"/>
      <c r="E15" s="473"/>
      <c r="F15" s="473"/>
      <c r="G15" s="473"/>
      <c r="H15" s="473"/>
      <c r="I15" s="473"/>
      <c r="J15" s="473"/>
      <c r="K15" s="27"/>
      <c r="L15" s="27"/>
      <c r="M15" s="27"/>
      <c r="N15" s="27"/>
      <c r="O15" s="27"/>
      <c r="P15" s="27"/>
      <c r="Q15" s="27"/>
      <c r="R15" s="27"/>
      <c r="S15" s="27"/>
      <c r="T15" s="27"/>
      <c r="U15" s="27"/>
      <c r="V15" s="27"/>
      <c r="W15" s="27"/>
      <c r="X15" s="27"/>
      <c r="Y15" s="27"/>
      <c r="Z15" s="27"/>
      <c r="AA15" s="27"/>
      <c r="AB15" s="27"/>
      <c r="AC15" s="27"/>
      <c r="AD15" s="27"/>
    </row>
    <row r="16" spans="1:30" ht="21.6" customHeight="1">
      <c r="A16" s="27"/>
      <c r="B16" s="49"/>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row>
    <row r="17" spans="1:30" ht="21">
      <c r="A17" s="27"/>
      <c r="B17" s="469" t="s">
        <v>10</v>
      </c>
      <c r="C17" s="469"/>
      <c r="D17" s="469"/>
      <c r="E17" s="469"/>
      <c r="F17" s="469"/>
      <c r="G17" s="469"/>
      <c r="H17" s="469"/>
      <c r="I17" s="27"/>
      <c r="J17" s="27"/>
      <c r="K17" s="27"/>
      <c r="L17" s="27"/>
      <c r="M17" s="27"/>
      <c r="N17" s="27"/>
      <c r="O17" s="27"/>
      <c r="P17" s="27"/>
      <c r="Q17" s="27"/>
      <c r="R17" s="27"/>
      <c r="S17" s="27"/>
      <c r="T17" s="27"/>
      <c r="U17" s="27"/>
      <c r="V17" s="27"/>
      <c r="W17" s="27"/>
      <c r="X17" s="27"/>
      <c r="Y17" s="27"/>
      <c r="Z17" s="27"/>
      <c r="AA17" s="27"/>
      <c r="AB17" s="27"/>
      <c r="AC17" s="27"/>
      <c r="AD17" s="27"/>
    </row>
    <row r="18" spans="1:30" ht="15" thickBot="1">
      <c r="A18" s="27"/>
      <c r="B18" s="27"/>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row>
    <row r="19" spans="1:30">
      <c r="A19" s="27"/>
      <c r="B19" s="453"/>
      <c r="C19" s="454"/>
      <c r="D19" s="449" t="s">
        <v>11</v>
      </c>
      <c r="E19" s="449"/>
      <c r="F19" s="449"/>
      <c r="G19" s="449"/>
      <c r="H19" s="450"/>
      <c r="I19" s="27"/>
      <c r="J19" s="27"/>
      <c r="K19" s="27"/>
      <c r="L19" s="27"/>
      <c r="M19" s="27"/>
      <c r="N19" s="27"/>
      <c r="O19" s="27"/>
      <c r="P19" s="27"/>
      <c r="Q19" s="27"/>
      <c r="R19" s="27"/>
      <c r="S19" s="27"/>
      <c r="T19" s="27"/>
      <c r="U19" s="27"/>
      <c r="V19" s="27"/>
      <c r="W19" s="27"/>
      <c r="X19" s="27"/>
      <c r="Y19" s="27"/>
      <c r="Z19" s="27"/>
      <c r="AA19" s="27"/>
      <c r="AB19" s="27"/>
      <c r="AC19" s="27"/>
      <c r="AD19" s="27"/>
    </row>
    <row r="20" spans="1:30">
      <c r="A20" s="27"/>
      <c r="B20" s="455"/>
      <c r="C20" s="456"/>
      <c r="D20" s="451"/>
      <c r="E20" s="451"/>
      <c r="F20" s="451"/>
      <c r="G20" s="451"/>
      <c r="H20" s="452"/>
      <c r="I20" s="27"/>
      <c r="J20" s="27"/>
      <c r="K20" s="27"/>
      <c r="L20" s="27"/>
      <c r="M20" s="27"/>
      <c r="N20" s="27"/>
      <c r="O20" s="27"/>
      <c r="P20" s="27"/>
      <c r="Q20" s="27"/>
      <c r="R20" s="27"/>
      <c r="S20" s="27"/>
      <c r="T20" s="27"/>
      <c r="U20" s="27"/>
      <c r="V20" s="27"/>
      <c r="W20" s="27"/>
      <c r="X20" s="27"/>
      <c r="Y20" s="27"/>
      <c r="Z20" s="27"/>
      <c r="AA20" s="27"/>
      <c r="AB20" s="27"/>
      <c r="AC20" s="27"/>
      <c r="AD20" s="27"/>
    </row>
    <row r="21" spans="1:30">
      <c r="A21" s="27"/>
      <c r="B21" s="457"/>
      <c r="C21" s="458"/>
      <c r="D21" s="451" t="s">
        <v>12</v>
      </c>
      <c r="E21" s="451"/>
      <c r="F21" s="451"/>
      <c r="G21" s="451"/>
      <c r="H21" s="452"/>
      <c r="I21" s="27"/>
      <c r="J21" s="27"/>
      <c r="K21" s="27"/>
      <c r="L21" s="27"/>
      <c r="M21" s="27"/>
      <c r="N21" s="27"/>
      <c r="O21" s="27"/>
      <c r="P21" s="27"/>
      <c r="Q21" s="27"/>
      <c r="R21" s="27"/>
      <c r="S21" s="27"/>
      <c r="T21" s="27"/>
      <c r="U21" s="27"/>
      <c r="V21" s="27"/>
      <c r="W21" s="27"/>
      <c r="X21" s="27"/>
      <c r="Y21" s="27"/>
      <c r="Z21" s="27"/>
      <c r="AA21" s="27"/>
      <c r="AB21" s="27"/>
      <c r="AC21" s="27"/>
      <c r="AD21" s="27"/>
    </row>
    <row r="22" spans="1:30">
      <c r="A22" s="27"/>
      <c r="B22" s="457"/>
      <c r="C22" s="458"/>
      <c r="D22" s="451"/>
      <c r="E22" s="451"/>
      <c r="F22" s="451"/>
      <c r="G22" s="451"/>
      <c r="H22" s="452"/>
      <c r="I22" s="27"/>
      <c r="J22" s="27"/>
      <c r="K22" s="27"/>
      <c r="L22" s="27"/>
      <c r="M22" s="27"/>
      <c r="N22" s="27"/>
      <c r="O22" s="27"/>
      <c r="P22" s="27"/>
      <c r="Q22" s="27"/>
      <c r="R22" s="27"/>
      <c r="S22" s="27"/>
      <c r="T22" s="27"/>
      <c r="U22" s="27"/>
      <c r="V22" s="27"/>
      <c r="W22" s="27"/>
      <c r="X22" s="27"/>
      <c r="Y22" s="27"/>
      <c r="Z22" s="27"/>
      <c r="AA22" s="27"/>
      <c r="AB22" s="27"/>
      <c r="AC22" s="27"/>
      <c r="AD22" s="27"/>
    </row>
    <row r="23" spans="1:30">
      <c r="A23" s="27"/>
      <c r="B23" s="459"/>
      <c r="C23" s="460"/>
      <c r="D23" s="451" t="s">
        <v>13</v>
      </c>
      <c r="E23" s="451"/>
      <c r="F23" s="451"/>
      <c r="G23" s="451"/>
      <c r="H23" s="452"/>
      <c r="I23" s="27"/>
      <c r="J23" s="27"/>
      <c r="K23" s="27"/>
      <c r="L23" s="27"/>
      <c r="M23" s="27"/>
      <c r="N23" s="27"/>
      <c r="O23" s="27"/>
      <c r="P23" s="27"/>
      <c r="Q23" s="27"/>
      <c r="R23" s="27"/>
      <c r="S23" s="27"/>
      <c r="T23" s="27"/>
      <c r="U23" s="27"/>
      <c r="V23" s="27"/>
      <c r="W23" s="27"/>
      <c r="X23" s="27"/>
      <c r="Y23" s="27"/>
      <c r="Z23" s="27"/>
      <c r="AA23" s="27"/>
      <c r="AB23" s="27"/>
      <c r="AC23" s="27"/>
      <c r="AD23" s="27"/>
    </row>
    <row r="24" spans="1:30">
      <c r="A24" s="27"/>
      <c r="B24" s="459"/>
      <c r="C24" s="460"/>
      <c r="D24" s="451"/>
      <c r="E24" s="451"/>
      <c r="F24" s="451"/>
      <c r="G24" s="451"/>
      <c r="H24" s="452"/>
      <c r="I24" s="27"/>
      <c r="J24" s="27"/>
      <c r="K24" s="27"/>
      <c r="L24" s="27"/>
      <c r="M24" s="27"/>
      <c r="N24" s="27"/>
      <c r="O24" s="27"/>
      <c r="P24" s="27"/>
      <c r="Q24" s="27"/>
      <c r="R24" s="27"/>
      <c r="S24" s="27"/>
      <c r="T24" s="27"/>
      <c r="U24" s="27"/>
      <c r="V24" s="27"/>
      <c r="W24" s="27"/>
      <c r="X24" s="27"/>
      <c r="Y24" s="27"/>
      <c r="Z24" s="27"/>
      <c r="AA24" s="27"/>
      <c r="AB24" s="27"/>
      <c r="AC24" s="27"/>
      <c r="AD24" s="27"/>
    </row>
    <row r="25" spans="1:30">
      <c r="A25" s="27"/>
      <c r="B25" s="465"/>
      <c r="C25" s="466"/>
      <c r="D25" s="461" t="s">
        <v>14</v>
      </c>
      <c r="E25" s="461"/>
      <c r="F25" s="461"/>
      <c r="G25" s="461"/>
      <c r="H25" s="462"/>
      <c r="I25" s="27"/>
      <c r="J25" s="27"/>
      <c r="K25" s="27"/>
      <c r="L25" s="27"/>
      <c r="M25" s="27"/>
      <c r="N25" s="27"/>
      <c r="O25" s="27"/>
      <c r="P25" s="27"/>
      <c r="Q25" s="27"/>
      <c r="R25" s="27"/>
      <c r="S25" s="27"/>
      <c r="T25" s="27"/>
      <c r="U25" s="27"/>
      <c r="V25" s="27"/>
      <c r="W25" s="27"/>
      <c r="X25" s="27"/>
      <c r="Y25" s="27"/>
      <c r="Z25" s="27"/>
      <c r="AA25" s="27"/>
      <c r="AB25" s="27"/>
      <c r="AC25" s="27"/>
      <c r="AD25" s="27"/>
    </row>
    <row r="26" spans="1:30" ht="15" thickBot="1">
      <c r="A26" s="27"/>
      <c r="B26" s="467"/>
      <c r="C26" s="468"/>
      <c r="D26" s="463"/>
      <c r="E26" s="463"/>
      <c r="F26" s="463"/>
      <c r="G26" s="463"/>
      <c r="H26" s="464"/>
      <c r="I26" s="27"/>
      <c r="J26" s="448" t="s">
        <v>15</v>
      </c>
      <c r="K26" s="448"/>
      <c r="L26" s="448"/>
      <c r="M26" s="448"/>
      <c r="N26" s="448"/>
      <c r="O26" s="448"/>
      <c r="P26" s="448"/>
      <c r="Q26" s="448"/>
      <c r="R26" s="448"/>
      <c r="S26" s="27"/>
      <c r="T26" s="27"/>
      <c r="U26" s="27"/>
      <c r="V26" s="27"/>
      <c r="W26" s="27"/>
      <c r="X26" s="27"/>
      <c r="Y26" s="27"/>
      <c r="Z26" s="27"/>
      <c r="AA26" s="27"/>
      <c r="AB26" s="27"/>
      <c r="AC26" s="27"/>
      <c r="AD26" s="27"/>
    </row>
    <row r="27" spans="1:30">
      <c r="A27" s="27"/>
      <c r="B27" s="27"/>
      <c r="C27" s="27"/>
      <c r="D27" s="27"/>
      <c r="E27" s="27"/>
      <c r="F27" s="27"/>
      <c r="G27" s="27"/>
      <c r="H27" s="27"/>
      <c r="I27" s="27"/>
      <c r="J27" s="27"/>
      <c r="K27" s="27"/>
      <c r="L27" s="28"/>
      <c r="M27" s="27"/>
      <c r="N27" s="27"/>
      <c r="O27" s="27"/>
      <c r="P27" s="27"/>
      <c r="Q27" s="27"/>
      <c r="R27" s="27"/>
      <c r="S27" s="27"/>
      <c r="T27" s="27"/>
      <c r="U27" s="27"/>
      <c r="V27" s="27"/>
      <c r="W27" s="27"/>
      <c r="X27" s="27"/>
      <c r="Y27" s="27"/>
      <c r="Z27" s="27"/>
      <c r="AA27" s="27"/>
      <c r="AB27" s="27"/>
      <c r="AC27" s="27"/>
      <c r="AD27" s="27"/>
    </row>
    <row r="28" spans="1:30">
      <c r="A28" s="27"/>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row>
    <row r="29" spans="1:30" ht="15.6" customHeight="1">
      <c r="A29" s="27"/>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row>
    <row r="30" spans="1:30">
      <c r="A30" s="27"/>
      <c r="B30" s="27"/>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row>
    <row r="31" spans="1:30" ht="15.6" customHeight="1">
      <c r="A31" s="27"/>
      <c r="B31" s="27"/>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row>
    <row r="32" spans="1:30">
      <c r="A32" s="27"/>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row>
    <row r="33" spans="1:30" ht="15.6" customHeight="1">
      <c r="A33" s="27"/>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row>
    <row r="34" spans="1:30">
      <c r="A34" s="27"/>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row>
    <row r="35" spans="1:30" ht="15.6" customHeight="1">
      <c r="A35" s="27"/>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row>
    <row r="36" spans="1:30">
      <c r="A36" s="27"/>
      <c r="B36" s="27"/>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row>
    <row r="37" spans="1:30" hidden="1">
      <c r="A37" s="27"/>
      <c r="B37" s="27"/>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row>
    <row r="38" spans="1:30" hidden="1">
      <c r="A38" s="27"/>
      <c r="B38" s="27"/>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row>
    <row r="39" spans="1:30" hidden="1">
      <c r="A39" s="27"/>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row>
    <row r="40" spans="1:30" hidden="1">
      <c r="A40" s="27"/>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row>
    <row r="41" spans="1:30" hidden="1">
      <c r="A41" s="27"/>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row>
    <row r="42" spans="1:30" hidden="1">
      <c r="A42" s="27"/>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row>
    <row r="43" spans="1:30" hidden="1">
      <c r="A43" s="27"/>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row>
    <row r="44" spans="1:30" hidden="1">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row>
    <row r="45" spans="1:30" hidden="1">
      <c r="A45" s="27"/>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row>
    <row r="46" spans="1:30" hidden="1">
      <c r="A46" s="27"/>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row>
    <row r="47" spans="1:30" hidden="1">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row>
    <row r="48" spans="1:30" hidden="1">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row>
    <row r="49" spans="1:30" hidden="1">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row>
    <row r="50" spans="1:30" hidden="1">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row>
    <row r="51" spans="1:30" hidden="1">
      <c r="A51" s="27"/>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row>
    <row r="52" spans="1:30" hidden="1">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row>
    <row r="53" spans="1:30" hidden="1">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row>
    <row r="54" spans="1:30" hidden="1">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row>
    <row r="55" spans="1:30" hidden="1">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row>
    <row r="56" spans="1:30" hidden="1">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row>
    <row r="57" spans="1:30" hidden="1">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row>
    <row r="58" spans="1:30" hidden="1">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row>
    <row r="59" spans="1:30" hidden="1">
      <c r="A59" s="27"/>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row>
    <row r="60" spans="1:30" hidden="1">
      <c r="A60" s="27"/>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row>
    <row r="61" spans="1:30" hidden="1">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row>
    <row r="62" spans="1:30" hidden="1">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row>
    <row r="63" spans="1:30" hidden="1">
      <c r="A63" s="27"/>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row>
    <row r="64" spans="1:30" hidden="1">
      <c r="A64" s="27"/>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row>
    <row r="65" spans="1:30" hidden="1">
      <c r="A65" s="27"/>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row>
    <row r="66" spans="1:30" hidden="1">
      <c r="A66" s="27"/>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row>
    <row r="67" spans="1:30" hidden="1">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row>
    <row r="68" spans="1:30" hidden="1">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row>
    <row r="69" spans="1:30" hidden="1">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row>
    <row r="70" spans="1:30" hidden="1">
      <c r="A70" s="27"/>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row>
    <row r="71" spans="1:30" hidden="1">
      <c r="A71" s="27"/>
      <c r="B71" s="27"/>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row>
    <row r="72" spans="1:30" hidden="1">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row>
    <row r="73" spans="1:30" hidden="1">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row>
    <row r="74" spans="1:30" hidden="1">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row>
    <row r="75" spans="1:30" hidden="1">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row>
    <row r="76" spans="1:30" hidden="1">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row>
    <row r="77" spans="1:30" hidden="1">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row>
    <row r="78" spans="1:30" hidden="1">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row>
    <row r="79" spans="1:30" hidden="1">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row>
    <row r="80" spans="1:30" hidden="1">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row>
    <row r="81" spans="1:30" hidden="1">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row>
    <row r="82" spans="1:30" hidden="1">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row>
    <row r="83" spans="1:30" hidden="1">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row>
    <row r="84" spans="1:30" hidden="1">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row>
    <row r="85" spans="1:30" hidden="1">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row>
    <row r="86" spans="1:30" hidden="1">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row>
    <row r="87" spans="1:30" hidden="1">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row>
    <row r="88" spans="1:30" hidden="1">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row>
    <row r="89" spans="1:30" hidden="1">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row>
    <row r="90" spans="1:30" hidden="1">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row>
    <row r="91" spans="1:30" hidden="1">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row>
    <row r="92" spans="1:30" hidden="1">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row>
    <row r="93" spans="1:30" hidden="1">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row>
    <row r="94" spans="1:30" hidden="1">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row>
  </sheetData>
  <sheetProtection algorithmName="SHA-512" hashValue="IOIrv0XKfMgt5CWMAHEQyKP8baF1/hWzbpQdGKrIWbM3XuujQ47PoS2H/HzB4djt2ybW8wGAzuoGwmAG/9tnig==" saltValue="zzGBNw2SNzATVMYbwVFbhQ==" spinCount="100000" sheet="1" objects="1" scenarios="1"/>
  <mergeCells count="20">
    <mergeCell ref="B17:H17"/>
    <mergeCell ref="B6:J8"/>
    <mergeCell ref="B9:J10"/>
    <mergeCell ref="B11:E11"/>
    <mergeCell ref="C14:J15"/>
    <mergeCell ref="B12:E12"/>
    <mergeCell ref="J26:R26"/>
    <mergeCell ref="D19:H20"/>
    <mergeCell ref="B19:C20"/>
    <mergeCell ref="D21:H22"/>
    <mergeCell ref="B21:C22"/>
    <mergeCell ref="D23:H24"/>
    <mergeCell ref="B23:C24"/>
    <mergeCell ref="D25:H26"/>
    <mergeCell ref="B25:C26"/>
    <mergeCell ref="F11:J11"/>
    <mergeCell ref="F12:J12"/>
    <mergeCell ref="B13:J13"/>
    <mergeCell ref="B14:B15"/>
    <mergeCell ref="D1:J5"/>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40"/>
  <sheetViews>
    <sheetView topLeftCell="A19" zoomScale="80" zoomScaleNormal="80" workbookViewId="0">
      <selection activeCell="D12" sqref="D12"/>
    </sheetView>
  </sheetViews>
  <sheetFormatPr defaultColWidth="0" defaultRowHeight="0" customHeight="1" zeroHeight="1"/>
  <cols>
    <col min="1" max="1" width="4.5703125" customWidth="1"/>
    <col min="2" max="3" width="39.28515625" customWidth="1"/>
    <col min="4" max="4" width="70.85546875" customWidth="1"/>
    <col min="5" max="5" width="6" customWidth="1"/>
    <col min="6" max="6" width="13.7109375" customWidth="1"/>
    <col min="7" max="10" width="8.85546875" customWidth="1"/>
    <col min="11" max="16384" width="8.85546875" hidden="1"/>
  </cols>
  <sheetData>
    <row r="1" spans="1:11" ht="15" thickBot="1">
      <c r="A1" s="27"/>
      <c r="B1" s="27"/>
      <c r="C1" s="27"/>
      <c r="D1" s="27"/>
      <c r="E1" s="27"/>
      <c r="F1" s="27"/>
      <c r="G1" s="27"/>
      <c r="H1" s="27"/>
      <c r="I1" s="27"/>
      <c r="J1" s="27"/>
      <c r="K1" s="27"/>
    </row>
    <row r="2" spans="1:11" ht="32.450000000000003" customHeight="1" thickBot="1">
      <c r="A2" s="27"/>
      <c r="B2" s="488" t="s">
        <v>16</v>
      </c>
      <c r="C2" s="489"/>
      <c r="D2" s="328" t="s">
        <v>17</v>
      </c>
      <c r="E2" s="42"/>
      <c r="F2" s="27"/>
      <c r="G2" s="27"/>
      <c r="H2" s="27"/>
      <c r="I2" s="27"/>
      <c r="J2" s="27"/>
      <c r="K2" s="27"/>
    </row>
    <row r="3" spans="1:11" ht="28.15" customHeight="1" thickBot="1">
      <c r="A3" s="27"/>
      <c r="B3" s="42"/>
      <c r="C3" s="58"/>
      <c r="D3" s="193"/>
      <c r="E3" s="42"/>
      <c r="F3" s="27"/>
      <c r="G3" s="27"/>
      <c r="H3" s="27"/>
      <c r="I3" s="27"/>
      <c r="J3" s="27"/>
      <c r="K3" s="27"/>
    </row>
    <row r="4" spans="1:11" ht="42" customHeight="1">
      <c r="A4" s="27"/>
      <c r="B4" s="483" t="s">
        <v>18</v>
      </c>
      <c r="C4" s="484"/>
      <c r="D4" s="33" t="s">
        <v>19</v>
      </c>
      <c r="E4" s="27"/>
      <c r="F4" s="27"/>
      <c r="G4" s="27"/>
      <c r="H4" s="27"/>
      <c r="I4" s="27"/>
      <c r="J4" s="27"/>
      <c r="K4" s="27"/>
    </row>
    <row r="5" spans="1:11" ht="42" customHeight="1">
      <c r="A5" s="27"/>
      <c r="B5" s="481" t="s">
        <v>20</v>
      </c>
      <c r="C5" s="482"/>
      <c r="D5" s="34" t="s">
        <v>21</v>
      </c>
      <c r="E5" s="27"/>
      <c r="F5" s="27"/>
      <c r="G5" s="27"/>
      <c r="H5" s="27"/>
      <c r="I5" s="27"/>
      <c r="J5" s="27"/>
      <c r="K5" s="27"/>
    </row>
    <row r="6" spans="1:11" ht="42" customHeight="1">
      <c r="A6" s="27"/>
      <c r="B6" s="481" t="s">
        <v>22</v>
      </c>
      <c r="C6" s="482"/>
      <c r="D6" s="34"/>
      <c r="E6" s="27"/>
      <c r="F6" s="27"/>
      <c r="G6" s="27"/>
      <c r="H6" s="27"/>
      <c r="I6" s="27"/>
      <c r="J6" s="27"/>
      <c r="K6" s="27"/>
    </row>
    <row r="7" spans="1:11" ht="42" customHeight="1">
      <c r="A7" s="27"/>
      <c r="B7" s="481" t="s">
        <v>23</v>
      </c>
      <c r="C7" s="482"/>
      <c r="D7" s="34" t="s">
        <v>24</v>
      </c>
      <c r="E7" s="27"/>
      <c r="F7" s="27"/>
      <c r="G7" s="27"/>
      <c r="H7" s="27"/>
      <c r="I7" s="27"/>
      <c r="J7" s="27"/>
      <c r="K7" s="27"/>
    </row>
    <row r="8" spans="1:11" ht="42" customHeight="1">
      <c r="A8" s="27"/>
      <c r="B8" s="481" t="s">
        <v>25</v>
      </c>
      <c r="C8" s="482"/>
      <c r="D8" s="34" t="s">
        <v>26</v>
      </c>
      <c r="E8" s="27"/>
      <c r="F8" s="27"/>
      <c r="G8" s="27"/>
      <c r="H8" s="27"/>
      <c r="I8" s="27"/>
      <c r="J8" s="27"/>
      <c r="K8" s="27"/>
    </row>
    <row r="9" spans="1:11" ht="42" customHeight="1">
      <c r="A9" s="27"/>
      <c r="B9" s="481" t="s">
        <v>27</v>
      </c>
      <c r="C9" s="482"/>
      <c r="D9" s="34" t="s">
        <v>28</v>
      </c>
      <c r="E9" s="27"/>
      <c r="F9" s="27"/>
      <c r="G9" s="27"/>
      <c r="H9" s="27"/>
      <c r="I9" s="27"/>
      <c r="J9" s="27"/>
      <c r="K9" s="27"/>
    </row>
    <row r="10" spans="1:11" ht="42" customHeight="1">
      <c r="A10" s="27"/>
      <c r="B10" s="481" t="s">
        <v>29</v>
      </c>
      <c r="C10" s="482"/>
      <c r="D10" s="320">
        <v>44669</v>
      </c>
      <c r="E10" s="27"/>
      <c r="F10" s="27"/>
      <c r="G10" s="27"/>
      <c r="H10" s="27"/>
      <c r="I10" s="27"/>
      <c r="J10" s="27"/>
      <c r="K10" s="27"/>
    </row>
    <row r="11" spans="1:11" ht="42" customHeight="1">
      <c r="A11" s="27"/>
      <c r="B11" s="481" t="s">
        <v>30</v>
      </c>
      <c r="C11" s="482"/>
      <c r="D11" s="34">
        <v>1</v>
      </c>
      <c r="E11" s="27"/>
      <c r="F11" s="27"/>
      <c r="G11" s="27"/>
      <c r="H11" s="27"/>
      <c r="I11" s="27"/>
      <c r="J11" s="27"/>
      <c r="K11" s="27"/>
    </row>
    <row r="12" spans="1:11" ht="42" customHeight="1" thickBot="1">
      <c r="A12" s="27"/>
      <c r="B12" s="485" t="s">
        <v>31</v>
      </c>
      <c r="C12" s="486"/>
      <c r="D12" s="319" t="s">
        <v>32</v>
      </c>
      <c r="E12" s="27"/>
      <c r="F12" s="27"/>
      <c r="G12" s="27"/>
      <c r="H12" s="27"/>
      <c r="I12" s="27"/>
      <c r="J12" s="27"/>
      <c r="K12" s="27"/>
    </row>
    <row r="13" spans="1:11" ht="42" customHeight="1" thickBot="1">
      <c r="A13" s="27"/>
      <c r="B13" s="61" t="s">
        <v>33</v>
      </c>
      <c r="C13" s="194"/>
      <c r="D13" s="195"/>
      <c r="E13" s="27"/>
      <c r="F13" s="27"/>
      <c r="G13" s="27"/>
      <c r="H13" s="27"/>
      <c r="I13" s="27"/>
      <c r="J13" s="27"/>
      <c r="K13" s="27"/>
    </row>
    <row r="14" spans="1:11" ht="42" customHeight="1">
      <c r="A14" s="27"/>
      <c r="B14" s="476" t="s">
        <v>34</v>
      </c>
      <c r="C14" s="196" t="s">
        <v>35</v>
      </c>
      <c r="D14" s="35">
        <v>10</v>
      </c>
      <c r="E14" s="479" t="str">
        <f>IF(D14&lt;10,"Caution - % target reduced below default",IF(D14&gt;10,"Caution -Target increased above default",""))</f>
        <v/>
      </c>
      <c r="F14" s="480"/>
      <c r="G14" s="480"/>
      <c r="H14" s="480"/>
      <c r="I14" s="480"/>
      <c r="J14" s="27"/>
      <c r="K14" s="27"/>
    </row>
    <row r="15" spans="1:11" ht="42" customHeight="1">
      <c r="A15" s="27"/>
      <c r="B15" s="477"/>
      <c r="C15" s="197" t="s">
        <v>36</v>
      </c>
      <c r="D15" s="36">
        <v>10</v>
      </c>
      <c r="E15" s="479" t="str">
        <f t="shared" ref="E15:E16" si="0">IF(D15&lt;10,"Caution - % target reduced below default",IF(D15&gt;10,"Caution -Target increased above default",""))</f>
        <v/>
      </c>
      <c r="F15" s="480"/>
      <c r="G15" s="480"/>
      <c r="H15" s="480"/>
      <c r="I15" s="480"/>
      <c r="J15" s="27"/>
      <c r="K15" s="27"/>
    </row>
    <row r="16" spans="1:11" ht="42" customHeight="1" thickBot="1">
      <c r="A16" s="27"/>
      <c r="B16" s="478"/>
      <c r="C16" s="198" t="s">
        <v>37</v>
      </c>
      <c r="D16" s="37">
        <v>10</v>
      </c>
      <c r="E16" s="479" t="str">
        <f t="shared" si="0"/>
        <v/>
      </c>
      <c r="F16" s="480"/>
      <c r="G16" s="480"/>
      <c r="H16" s="480"/>
      <c r="I16" s="480"/>
      <c r="J16" s="27"/>
      <c r="K16" s="27"/>
    </row>
    <row r="17" spans="1:11" ht="36.6" customHeight="1" thickBot="1">
      <c r="A17" s="27"/>
      <c r="B17" s="202"/>
      <c r="C17" s="202"/>
      <c r="D17" s="202"/>
      <c r="E17" s="27"/>
      <c r="F17" s="27"/>
      <c r="G17" s="27"/>
      <c r="H17" s="27"/>
      <c r="I17" s="27"/>
      <c r="J17" s="27"/>
      <c r="K17" s="27"/>
    </row>
    <row r="18" spans="1:11" ht="40.9" customHeight="1">
      <c r="A18" s="27"/>
      <c r="B18" s="476" t="s">
        <v>38</v>
      </c>
      <c r="C18" s="196" t="s">
        <v>39</v>
      </c>
      <c r="D18" s="35">
        <v>0</v>
      </c>
      <c r="E18" s="474" t="str">
        <f>IF(D18=0,"","Unit increase Targets must be agreed with LPA")</f>
        <v/>
      </c>
      <c r="F18" s="474"/>
      <c r="G18" s="474"/>
      <c r="H18" s="474"/>
      <c r="I18" s="474"/>
      <c r="J18" s="27"/>
      <c r="K18" s="27"/>
    </row>
    <row r="19" spans="1:11" ht="40.9" customHeight="1">
      <c r="A19" s="27"/>
      <c r="B19" s="477"/>
      <c r="C19" s="197" t="s">
        <v>40</v>
      </c>
      <c r="D19" s="36">
        <v>0</v>
      </c>
      <c r="E19" s="475" t="str">
        <f>IF(D19=0,"","Unit increase Targets must be agreed with LPA")</f>
        <v/>
      </c>
      <c r="F19" s="474"/>
      <c r="G19" s="474"/>
      <c r="H19" s="474"/>
      <c r="I19" s="474"/>
      <c r="J19" s="27"/>
      <c r="K19" s="27"/>
    </row>
    <row r="20" spans="1:11" ht="40.9" customHeight="1" thickBot="1">
      <c r="A20" s="27"/>
      <c r="B20" s="478"/>
      <c r="C20" s="198" t="s">
        <v>41</v>
      </c>
      <c r="D20" s="37">
        <v>0</v>
      </c>
      <c r="E20" s="475" t="str">
        <f>IF(D20=0,"","Unit increase Targets must be agreed with LPA")</f>
        <v/>
      </c>
      <c r="F20" s="474"/>
      <c r="G20" s="474"/>
      <c r="H20" s="474"/>
      <c r="I20" s="474"/>
      <c r="J20" s="27"/>
      <c r="K20" s="27"/>
    </row>
    <row r="21" spans="1:11" ht="23.45" customHeight="1">
      <c r="A21" s="27"/>
      <c r="B21" s="27"/>
      <c r="C21" s="27"/>
      <c r="D21" s="27"/>
      <c r="E21" s="202"/>
      <c r="F21" s="202"/>
      <c r="G21" s="202"/>
      <c r="H21" s="202"/>
      <c r="I21" s="202"/>
      <c r="J21" s="27"/>
      <c r="K21" s="27"/>
    </row>
    <row r="22" spans="1:11" ht="34.15" customHeight="1" thickBot="1">
      <c r="A22" s="27"/>
      <c r="B22" s="487" t="s">
        <v>42</v>
      </c>
      <c r="C22" s="487"/>
      <c r="D22" s="487"/>
      <c r="E22" s="202"/>
      <c r="F22" s="202"/>
      <c r="G22" s="202"/>
      <c r="H22" s="202"/>
      <c r="I22" s="202"/>
      <c r="J22" s="27"/>
      <c r="K22" s="27"/>
    </row>
    <row r="23" spans="1:11" ht="40.9" customHeight="1">
      <c r="A23" s="27"/>
      <c r="B23" s="483" t="s">
        <v>43</v>
      </c>
      <c r="C23" s="484"/>
      <c r="D23" s="33"/>
      <c r="E23" s="202"/>
      <c r="F23" s="202"/>
      <c r="G23" s="202"/>
      <c r="H23" s="202"/>
      <c r="I23" s="202"/>
      <c r="J23" s="27"/>
      <c r="K23" s="27"/>
    </row>
    <row r="24" spans="1:11" ht="40.9" customHeight="1" thickBot="1">
      <c r="A24" s="27"/>
      <c r="B24" s="485" t="s">
        <v>44</v>
      </c>
      <c r="C24" s="486"/>
      <c r="D24" s="321"/>
      <c r="E24" s="202"/>
      <c r="F24" s="202"/>
      <c r="G24" s="202"/>
      <c r="H24" s="202"/>
      <c r="I24" s="202"/>
      <c r="J24" s="27"/>
      <c r="K24" s="27"/>
    </row>
    <row r="25" spans="1:11" ht="40.9" customHeight="1">
      <c r="A25" s="27"/>
      <c r="B25" s="27"/>
      <c r="C25" s="27"/>
      <c r="D25" s="27"/>
      <c r="E25" s="27"/>
      <c r="F25" s="313"/>
      <c r="G25" s="313"/>
      <c r="H25" s="313"/>
      <c r="I25" s="313"/>
      <c r="J25" s="27"/>
      <c r="K25" s="27"/>
    </row>
    <row r="26" spans="1:11" ht="40.9" hidden="1" customHeight="1">
      <c r="A26" s="27"/>
      <c r="B26" s="27"/>
      <c r="C26" s="27"/>
      <c r="D26" s="27"/>
      <c r="E26" s="27"/>
      <c r="F26" s="313"/>
      <c r="G26" s="313"/>
      <c r="H26" s="313"/>
      <c r="I26" s="313"/>
      <c r="J26" s="27"/>
      <c r="K26" s="27"/>
    </row>
    <row r="27" spans="1:11" ht="40.9" hidden="1" customHeight="1">
      <c r="A27" s="27"/>
      <c r="B27" s="27"/>
      <c r="C27" s="27"/>
      <c r="D27" s="27"/>
      <c r="E27" s="27"/>
      <c r="F27" s="313"/>
      <c r="G27" s="313"/>
      <c r="H27" s="313"/>
      <c r="I27" s="313"/>
      <c r="J27" s="27"/>
      <c r="K27" s="27"/>
    </row>
    <row r="28" spans="1:11" ht="40.9" hidden="1" customHeight="1">
      <c r="A28" s="27"/>
      <c r="B28" s="27"/>
      <c r="C28" s="27"/>
      <c r="D28" s="27"/>
      <c r="E28" s="27"/>
      <c r="F28" s="313"/>
      <c r="G28" s="313"/>
      <c r="H28" s="313"/>
      <c r="I28" s="313"/>
      <c r="J28" s="27"/>
      <c r="K28" s="27"/>
    </row>
    <row r="29" spans="1:11" ht="36.6" hidden="1" customHeight="1">
      <c r="A29" s="27"/>
      <c r="B29" s="27"/>
      <c r="C29" s="27"/>
      <c r="D29" s="27"/>
      <c r="E29" s="27"/>
      <c r="F29" s="27"/>
      <c r="G29" s="27"/>
      <c r="H29" s="27"/>
      <c r="I29" s="27"/>
      <c r="J29" s="27"/>
      <c r="K29" s="27"/>
    </row>
    <row r="30" spans="1:11" ht="14.45" hidden="1" customHeight="1">
      <c r="A30" s="27"/>
      <c r="B30" s="27"/>
      <c r="C30" s="27"/>
      <c r="D30" s="27"/>
      <c r="E30" s="27"/>
      <c r="F30" s="27"/>
      <c r="G30" s="27"/>
      <c r="H30" s="27"/>
      <c r="I30" s="27"/>
      <c r="J30" s="27"/>
      <c r="K30" s="27"/>
    </row>
    <row r="31" spans="1:11" ht="14.45" hidden="1" customHeight="1">
      <c r="A31" s="27"/>
      <c r="B31" s="27"/>
      <c r="C31" s="27"/>
      <c r="D31" s="27"/>
      <c r="E31" s="27"/>
      <c r="F31" s="27"/>
      <c r="G31" s="27"/>
      <c r="H31" s="27"/>
      <c r="I31" s="27"/>
      <c r="J31" s="27"/>
      <c r="K31" s="27"/>
    </row>
    <row r="32" spans="1:11" ht="14.45" hidden="1" customHeight="1">
      <c r="A32" s="27"/>
      <c r="B32" s="27"/>
      <c r="C32" s="27"/>
      <c r="D32" s="27"/>
      <c r="E32" s="27"/>
      <c r="F32" s="27"/>
      <c r="G32" s="27"/>
      <c r="H32" s="27"/>
      <c r="I32" s="27"/>
      <c r="J32" s="27"/>
      <c r="K32" s="27"/>
    </row>
    <row r="33" spans="1:11" ht="14.45" hidden="1" customHeight="1">
      <c r="A33" s="27"/>
      <c r="B33" s="27"/>
      <c r="C33" s="27"/>
      <c r="D33" s="27"/>
      <c r="E33" s="27"/>
      <c r="F33" s="27"/>
      <c r="G33" s="27"/>
      <c r="H33" s="27"/>
      <c r="I33" s="27"/>
      <c r="J33" s="27"/>
      <c r="K33" s="27"/>
    </row>
    <row r="34" spans="1:11" ht="15" hidden="1" customHeight="1">
      <c r="A34" s="27"/>
      <c r="B34" s="27"/>
      <c r="C34" s="27"/>
      <c r="D34" s="27"/>
      <c r="E34" s="27"/>
      <c r="F34" s="27"/>
      <c r="G34" s="27"/>
      <c r="H34" s="27"/>
      <c r="I34" s="27"/>
      <c r="J34" s="27"/>
      <c r="K34" s="27"/>
    </row>
    <row r="35" spans="1:11" ht="14.45" hidden="1">
      <c r="A35" s="27"/>
      <c r="B35" s="27"/>
      <c r="C35" s="27"/>
      <c r="D35" s="27"/>
      <c r="E35" s="27"/>
      <c r="F35" s="27"/>
      <c r="G35" s="27"/>
      <c r="H35" s="27"/>
      <c r="I35" s="27"/>
      <c r="J35" s="27"/>
      <c r="K35" s="27"/>
    </row>
    <row r="36" spans="1:11" ht="14.45" hidden="1">
      <c r="A36" s="27"/>
      <c r="B36" s="27"/>
      <c r="C36" s="27"/>
      <c r="D36" s="27"/>
      <c r="E36" s="27"/>
      <c r="F36" s="27"/>
      <c r="G36" s="27"/>
      <c r="H36" s="27"/>
      <c r="I36" s="27"/>
      <c r="J36" s="27"/>
      <c r="K36" s="27"/>
    </row>
    <row r="37" spans="1:11" ht="14.45" hidden="1">
      <c r="A37" s="27"/>
      <c r="B37" s="27"/>
      <c r="C37" s="27"/>
      <c r="D37" s="27"/>
      <c r="E37" s="27"/>
      <c r="F37" s="27"/>
      <c r="G37" s="27"/>
      <c r="H37" s="27"/>
      <c r="I37" s="27"/>
      <c r="J37" s="27"/>
      <c r="K37" s="27"/>
    </row>
    <row r="38" spans="1:11" ht="14.45" hidden="1">
      <c r="A38" s="27"/>
      <c r="B38" s="27"/>
      <c r="C38" s="27"/>
      <c r="D38" s="27"/>
      <c r="E38" s="27"/>
      <c r="F38" s="27"/>
      <c r="G38" s="27"/>
      <c r="H38" s="27"/>
      <c r="I38" s="27"/>
      <c r="J38" s="27"/>
      <c r="K38" s="27"/>
    </row>
    <row r="39" spans="1:11" ht="14.45" hidden="1"/>
    <row r="40" spans="1:11" ht="14.45" hidden="1"/>
  </sheetData>
  <sheetProtection algorithmName="SHA-512" hashValue="wOOFKXSCYrbV3evblZl2qnQUuZtckqMgw6ES0vFtFaX4tltdI9/fb6kx2S4xDfDVUFGXHDWC1NGGBvI14havTw==" saltValue="JP7Rw9sbpfPuNyB0NUqxeg==" spinCount="100000" sheet="1" objects="1" scenarios="1"/>
  <mergeCells count="21">
    <mergeCell ref="B8:C8"/>
    <mergeCell ref="B2:C2"/>
    <mergeCell ref="B4:C4"/>
    <mergeCell ref="B5:C5"/>
    <mergeCell ref="B6:C6"/>
    <mergeCell ref="B7:C7"/>
    <mergeCell ref="B9:C9"/>
    <mergeCell ref="B10:C10"/>
    <mergeCell ref="B11:C11"/>
    <mergeCell ref="B23:C23"/>
    <mergeCell ref="B24:C24"/>
    <mergeCell ref="B12:C12"/>
    <mergeCell ref="B22:D22"/>
    <mergeCell ref="B18:B20"/>
    <mergeCell ref="E18:I18"/>
    <mergeCell ref="E19:I19"/>
    <mergeCell ref="E20:I20"/>
    <mergeCell ref="B14:B16"/>
    <mergeCell ref="E14:I14"/>
    <mergeCell ref="E15:I15"/>
    <mergeCell ref="E16:I16"/>
  </mergeCells>
  <conditionalFormatting sqref="D14:D16">
    <cfRule type="cellIs" dxfId="391" priority="9" operator="greaterThan">
      <formula>10</formula>
    </cfRule>
    <cfRule type="cellIs" dxfId="390" priority="11" operator="lessThan">
      <formula>10</formula>
    </cfRule>
  </conditionalFormatting>
  <conditionalFormatting sqref="E18:I20 F25:I28">
    <cfRule type="containsText" dxfId="389" priority="2" operator="containsText" text="LPA">
      <formula>NOT(ISERROR(SEARCH("LPA",E18)))</formula>
    </cfRule>
    <cfRule type="containsText" dxfId="388" priority="5" operator="containsText" text="Caution - % changed from default">
      <formula>NOT(ISERROR(SEARCH("Caution - % changed from default",E18)))</formula>
    </cfRule>
  </conditionalFormatting>
  <conditionalFormatting sqref="D18:D20">
    <cfRule type="cellIs" dxfId="387" priority="3" operator="lessThan">
      <formula>0</formula>
    </cfRule>
  </conditionalFormatting>
  <conditionalFormatting sqref="E14:I16">
    <cfRule type="expression" dxfId="386" priority="184">
      <formula>$D14&gt;10</formula>
    </cfRule>
    <cfRule type="expression" dxfId="385" priority="185">
      <formula>$D14&lt;10</formula>
    </cfRule>
  </conditionalFormatting>
  <dataValidations count="1">
    <dataValidation type="date" operator="lessThanOrEqual" allowBlank="1" showErrorMessage="1" errorTitle="Error" error="Future dates cannot be added" sqref="D10 D24" xr:uid="{E328DE73-888F-4868-B667-88379BEC6CEB}">
      <formula1>TODAY()</formula1>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2">
        <x14:dataValidation type="list" errorStyle="warning" allowBlank="1" showErrorMessage="1" errorTitle="Caution" error="Please chek full list before entering non standrad LPA." xr:uid="{24DAA5D7-891A-4C77-B726-D52F268E34DD}">
          <x14:formula1>
            <xm:f>'12. Lists'!$W$36:$W$412</xm:f>
          </x14:formula1>
          <xm:sqref>D4</xm:sqref>
        </x14:dataValidation>
        <x14:dataValidation type="list" errorStyle="warning" allowBlank="1" showErrorMessage="1" errorTitle="Caution" error="Please select from list where possible" xr:uid="{F22E5406-B080-4AF5-8C83-D58282F2255F}">
          <x14:formula1>
            <xm:f>'12. Lists'!$X$36:$X$49</xm:f>
          </x14:formula1>
          <xm:sqref>D7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39"/>
  <sheetViews>
    <sheetView topLeftCell="A16" zoomScale="80" zoomScaleNormal="80" workbookViewId="0">
      <selection activeCell="C20" sqref="C20:D20"/>
    </sheetView>
  </sheetViews>
  <sheetFormatPr defaultColWidth="0" defaultRowHeight="14.45" zeroHeight="1"/>
  <cols>
    <col min="1" max="1" width="4.5703125" customWidth="1"/>
    <col min="2" max="2" width="63.28515625" customWidth="1"/>
    <col min="3" max="3" width="48.85546875" bestFit="1" customWidth="1"/>
    <col min="4" max="4" width="46.85546875" customWidth="1"/>
    <col min="5" max="8" width="8.85546875" customWidth="1"/>
    <col min="9" max="13" width="8.85546875" hidden="1" customWidth="1"/>
    <col min="14" max="18" width="0" hidden="1" customWidth="1"/>
    <col min="19" max="16384" width="8.85546875" hidden="1"/>
  </cols>
  <sheetData>
    <row r="1" spans="1:14" ht="15" thickBot="1">
      <c r="A1" s="27"/>
      <c r="B1" s="27"/>
      <c r="C1" s="27"/>
      <c r="D1" s="27"/>
      <c r="E1" s="27"/>
      <c r="F1" s="27"/>
      <c r="G1" s="27"/>
      <c r="H1" s="27"/>
      <c r="I1" s="27"/>
      <c r="J1" s="27"/>
      <c r="K1" s="27"/>
      <c r="L1" s="27"/>
      <c r="M1" s="27"/>
      <c r="N1" s="27"/>
    </row>
    <row r="2" spans="1:14" ht="24" customHeight="1">
      <c r="A2" s="58"/>
      <c r="B2" s="318" t="s">
        <v>45</v>
      </c>
      <c r="C2" s="494" t="str">
        <f>IF('2. Site Details'!D5="","Enter site name on 2. Site Details",'2. Site Details'!D5)</f>
        <v>Land off Barnsley Rd, Darton</v>
      </c>
      <c r="D2" s="495"/>
      <c r="E2" s="27"/>
      <c r="F2" s="27"/>
      <c r="G2" s="27"/>
      <c r="H2" s="27"/>
      <c r="I2" s="27"/>
      <c r="J2" s="27"/>
      <c r="K2" s="27"/>
      <c r="L2" s="27"/>
      <c r="M2" s="27"/>
      <c r="N2" s="27"/>
    </row>
    <row r="3" spans="1:14" ht="24" customHeight="1" thickBot="1">
      <c r="A3" s="58"/>
      <c r="B3" s="317" t="s">
        <v>16</v>
      </c>
      <c r="C3" s="492" t="s">
        <v>46</v>
      </c>
      <c r="D3" s="493"/>
      <c r="E3" s="27"/>
      <c r="F3" s="27"/>
      <c r="G3" s="27"/>
      <c r="H3" s="27"/>
      <c r="I3" s="27"/>
      <c r="J3" s="27"/>
      <c r="K3" s="27"/>
      <c r="L3" s="27"/>
      <c r="M3" s="27"/>
      <c r="N3" s="27"/>
    </row>
    <row r="4" spans="1:14" ht="14.45" customHeight="1">
      <c r="A4" s="58"/>
      <c r="B4" s="58"/>
      <c r="C4" s="58"/>
      <c r="D4" s="58"/>
      <c r="E4" s="27"/>
      <c r="F4" s="27"/>
      <c r="G4" s="27"/>
      <c r="H4" s="27"/>
      <c r="I4" s="27"/>
      <c r="J4" s="27"/>
      <c r="K4" s="27"/>
      <c r="L4" s="27"/>
      <c r="M4" s="27"/>
      <c r="N4" s="27"/>
    </row>
    <row r="5" spans="1:14" ht="36" customHeight="1" thickBot="1">
      <c r="A5" s="42"/>
      <c r="B5" s="61" t="s">
        <v>47</v>
      </c>
      <c r="C5" s="43"/>
      <c r="D5" s="43"/>
      <c r="E5" s="27"/>
      <c r="F5" s="27"/>
      <c r="G5" s="27"/>
      <c r="H5" s="27"/>
      <c r="I5" s="27"/>
      <c r="J5" s="27"/>
      <c r="K5" s="27"/>
      <c r="L5" s="27"/>
      <c r="M5" s="27"/>
      <c r="N5" s="27"/>
    </row>
    <row r="6" spans="1:14" ht="42" customHeight="1">
      <c r="A6" s="27"/>
      <c r="B6" s="39" t="s">
        <v>48</v>
      </c>
      <c r="C6" s="199" t="s">
        <v>49</v>
      </c>
      <c r="D6" s="322" t="str">
        <f>IF(C6="","",IF(OR(C6="Other",AND(C6="Residential",C9&lt;10,C9&gt;0),AND(C6="Mixed",C9&lt;10,C9&gt;0)),"Site area must be less than 10,000 m2","Site area must be less than 5,000 m2"))</f>
        <v>Site area must be less than 10,000 m2</v>
      </c>
      <c r="E6" s="27"/>
      <c r="F6" s="27"/>
      <c r="G6" s="27"/>
      <c r="H6" s="27"/>
      <c r="I6" s="27"/>
      <c r="J6" s="27"/>
      <c r="K6" s="27"/>
      <c r="L6" s="27"/>
      <c r="M6" s="27"/>
      <c r="N6" s="27"/>
    </row>
    <row r="7" spans="1:14" ht="42" customHeight="1">
      <c r="A7" s="27"/>
      <c r="B7" s="44" t="s">
        <v>50</v>
      </c>
      <c r="C7" s="200">
        <v>2518.8000000000002</v>
      </c>
      <c r="D7" s="323" t="str">
        <f>IF(AND(D6="Site area must be less than 10,000 m2",C7&gt;=10000),"ERROR- Site too large for metric  - USE MAIN METRIC",IF(AND(D6="Site area must be less than 5,000 m2",C7&gt;=5000),"ERROR- Site too large for metric  - USE MAIN METRIC",""))</f>
        <v/>
      </c>
      <c r="E7" s="27"/>
      <c r="F7" s="27"/>
      <c r="G7" s="27"/>
      <c r="H7" s="27"/>
      <c r="I7" s="27"/>
      <c r="J7" s="27"/>
      <c r="K7" s="27"/>
      <c r="L7" s="27"/>
      <c r="M7" s="27"/>
      <c r="N7" s="27"/>
    </row>
    <row r="8" spans="1:14" ht="42" customHeight="1">
      <c r="A8" s="27"/>
      <c r="B8" s="44" t="str">
        <f>IF(OR(C6="Residential",C6="Other"),"n/a",IF(C6="","","16. Building footprint (m2) of commercial buildings proposed within the development site (or zero if none)"))</f>
        <v>n/a</v>
      </c>
      <c r="C8" s="200"/>
      <c r="D8" s="324" t="str">
        <f>IF(AND(B8="n/a",C8&lt;&gt;""),"ERROR- Not required",IF(AND(C8&lt;&gt;"",C8&gt;=1000),"ERROR- Footprint too large for metric  - USE MAIN METRIC",IF(AND(C8&lt;&gt;"",C8&gt;C7),"ERROR - Footprint larger than development area","")))</f>
        <v/>
      </c>
      <c r="E8" s="27"/>
      <c r="F8" s="27"/>
      <c r="G8" s="27"/>
      <c r="H8" s="27"/>
      <c r="I8" s="27"/>
      <c r="J8" s="27"/>
      <c r="K8" s="27"/>
      <c r="L8" s="27"/>
      <c r="M8" s="27"/>
      <c r="N8" s="27"/>
    </row>
    <row r="9" spans="1:14" ht="42" customHeight="1" thickBot="1">
      <c r="A9" s="27"/>
      <c r="B9" s="38" t="str">
        <f>IF(OR(C6="Commercial",C6="Other"),"n/a",IF(C6="","","17. Number of residential units proposed within the development site"))</f>
        <v>17. Number of residential units proposed within the development site</v>
      </c>
      <c r="C9" s="201">
        <v>3</v>
      </c>
      <c r="D9" s="325" t="str">
        <f>IF(AND(B9="n/a",C9&lt;&gt;""),"ERROR- Not required",IF(OR(AND(C6="Residential",C9&gt;=10),AND(C6="Mixed",C9&gt;=10)),"ERROR- Number of units too large for metric  - USE MAIN METRIC",IF(AND(C9&lt;&gt;"",C8&gt;C7),"ERROR - Footprint larger than development area","")))</f>
        <v/>
      </c>
      <c r="E9" s="27"/>
      <c r="F9" s="27"/>
      <c r="G9" s="27"/>
      <c r="H9" s="27"/>
      <c r="I9" s="27"/>
      <c r="J9" s="27"/>
      <c r="K9" s="27"/>
      <c r="L9" s="27"/>
      <c r="M9" s="27"/>
      <c r="N9" s="27"/>
    </row>
    <row r="10" spans="1:14" ht="36" customHeight="1" thickBot="1">
      <c r="A10" s="27"/>
      <c r="B10" s="61" t="s">
        <v>51</v>
      </c>
      <c r="C10" s="45"/>
      <c r="D10" s="46"/>
      <c r="E10" s="27"/>
      <c r="F10" s="27"/>
      <c r="G10" s="27"/>
      <c r="H10" s="27"/>
      <c r="I10" s="27"/>
      <c r="J10" s="27"/>
      <c r="K10" s="27"/>
      <c r="L10" s="27"/>
      <c r="M10" s="27"/>
      <c r="N10" s="27"/>
    </row>
    <row r="11" spans="1:14" ht="42" customHeight="1">
      <c r="A11" s="27"/>
      <c r="B11" s="39" t="s">
        <v>52</v>
      </c>
      <c r="C11" s="199" t="s">
        <v>53</v>
      </c>
      <c r="D11" s="47" t="str">
        <f>IF(C11="On site","ERROR- Site too complex for metric - USE MAIN METRIC","")</f>
        <v/>
      </c>
      <c r="E11" s="27"/>
      <c r="F11" s="27"/>
      <c r="G11" s="27"/>
      <c r="H11" s="27"/>
      <c r="I11" s="27"/>
      <c r="J11" s="27"/>
      <c r="K11" s="27"/>
      <c r="L11" s="27"/>
      <c r="M11" s="27"/>
      <c r="N11" s="27"/>
    </row>
    <row r="12" spans="1:14" ht="42" customHeight="1">
      <c r="A12" s="27"/>
      <c r="B12" s="44" t="s">
        <v>54</v>
      </c>
      <c r="C12" s="200" t="s">
        <v>53</v>
      </c>
      <c r="D12" s="48" t="str">
        <f>IF(C12="On site","ERROR- Site too complex for metric - USE MAIN METRIC","")</f>
        <v/>
      </c>
      <c r="E12" s="27"/>
      <c r="F12" s="27"/>
      <c r="G12" s="27"/>
      <c r="H12" s="27"/>
      <c r="I12" s="27"/>
      <c r="J12" s="27"/>
      <c r="K12" s="27"/>
      <c r="L12" s="27"/>
      <c r="M12" s="27"/>
      <c r="N12" s="27"/>
    </row>
    <row r="13" spans="1:14" ht="79.150000000000006" customHeight="1">
      <c r="A13" s="27"/>
      <c r="B13" s="44" t="s">
        <v>55</v>
      </c>
      <c r="C13" s="496"/>
      <c r="D13" s="497"/>
      <c r="E13" s="27"/>
      <c r="F13" s="27"/>
      <c r="G13" s="27"/>
      <c r="H13" s="27"/>
      <c r="I13" s="27"/>
      <c r="J13" s="27"/>
      <c r="K13" s="27"/>
      <c r="L13" s="27"/>
      <c r="M13" s="27"/>
      <c r="N13" s="27"/>
    </row>
    <row r="14" spans="1:14" ht="79.150000000000006" customHeight="1" thickBot="1">
      <c r="A14" s="27"/>
      <c r="B14" s="44" t="s">
        <v>56</v>
      </c>
      <c r="C14" s="498"/>
      <c r="D14" s="499"/>
      <c r="E14" s="27"/>
      <c r="F14" s="27"/>
      <c r="G14" s="27"/>
      <c r="H14" s="27"/>
      <c r="I14" s="27"/>
      <c r="J14" s="27"/>
      <c r="K14" s="27"/>
      <c r="L14" s="27"/>
      <c r="M14" s="27"/>
      <c r="N14" s="27"/>
    </row>
    <row r="15" spans="1:14" ht="36" customHeight="1" thickBot="1">
      <c r="A15" s="27"/>
      <c r="B15" s="61" t="s">
        <v>57</v>
      </c>
      <c r="C15" s="27"/>
      <c r="D15" s="27"/>
      <c r="E15" s="27"/>
      <c r="F15" s="27"/>
      <c r="G15" s="27"/>
      <c r="H15" s="27"/>
      <c r="I15" s="27"/>
      <c r="J15" s="27"/>
      <c r="K15" s="27"/>
      <c r="L15" s="27"/>
      <c r="M15" s="27"/>
      <c r="N15" s="27"/>
    </row>
    <row r="16" spans="1:14" ht="42" customHeight="1">
      <c r="A16" s="27"/>
      <c r="B16" s="39" t="s">
        <v>58</v>
      </c>
      <c r="C16" s="199" t="s">
        <v>59</v>
      </c>
      <c r="D16" s="47" t="str">
        <f>IF(C16="Walkover completed by competent person","A competent person should be able to confidently identify the habitats onsite",IF(C16="No Walkover Undertaken","ERROR- Site walkover required",""))</f>
        <v/>
      </c>
      <c r="E16" s="27"/>
      <c r="F16" s="27"/>
      <c r="G16" s="27"/>
      <c r="H16" s="27"/>
      <c r="I16" s="27"/>
      <c r="J16" s="27"/>
      <c r="K16" s="27"/>
      <c r="L16" s="27"/>
      <c r="M16" s="27"/>
      <c r="N16" s="27"/>
    </row>
    <row r="17" spans="1:14" ht="42" customHeight="1">
      <c r="A17" s="27"/>
      <c r="B17" s="44" t="s">
        <v>60</v>
      </c>
      <c r="C17" s="239">
        <v>44664</v>
      </c>
      <c r="D17" s="240" t="str">
        <f>IF(C17="","Walk over date required","Site walkover data valid until "&amp;TEXT(EDATE(C17,6),"dd/mm/yy"))</f>
        <v>Site walkover data valid until 13/10/22</v>
      </c>
      <c r="E17" s="27"/>
      <c r="F17" s="27"/>
      <c r="G17" s="27"/>
      <c r="H17" s="27"/>
      <c r="I17" s="27"/>
      <c r="J17" s="27"/>
      <c r="K17" s="27"/>
      <c r="L17" s="27"/>
      <c r="M17" s="27"/>
      <c r="N17" s="27"/>
    </row>
    <row r="18" spans="1:14" ht="42" customHeight="1" thickBot="1">
      <c r="A18" s="27"/>
      <c r="B18" s="38" t="s">
        <v>61</v>
      </c>
      <c r="C18" s="498" t="s">
        <v>28</v>
      </c>
      <c r="D18" s="499"/>
      <c r="E18" s="27"/>
      <c r="F18" s="27"/>
      <c r="G18" s="27"/>
      <c r="H18" s="27"/>
      <c r="I18" s="27"/>
      <c r="J18" s="27"/>
      <c r="K18" s="27"/>
      <c r="L18" s="27"/>
      <c r="M18" s="27"/>
      <c r="N18" s="27"/>
    </row>
    <row r="19" spans="1:14" ht="36" customHeight="1" thickBot="1">
      <c r="A19" s="27"/>
      <c r="B19" s="61" t="s">
        <v>62</v>
      </c>
      <c r="C19" s="27"/>
      <c r="D19" s="27"/>
      <c r="E19" s="27"/>
      <c r="F19" s="27"/>
      <c r="G19" s="27"/>
      <c r="H19" s="27"/>
      <c r="I19" s="27"/>
      <c r="J19" s="27"/>
      <c r="K19" s="27"/>
      <c r="L19" s="27"/>
      <c r="M19" s="27"/>
      <c r="N19" s="27"/>
    </row>
    <row r="20" spans="1:14" ht="79.150000000000006" customHeight="1" thickBot="1">
      <c r="A20" s="27"/>
      <c r="B20" s="238" t="s">
        <v>63</v>
      </c>
      <c r="C20" s="490"/>
      <c r="D20" s="491"/>
      <c r="E20" s="27"/>
      <c r="F20" s="27"/>
      <c r="G20" s="27"/>
      <c r="H20" s="27"/>
      <c r="I20" s="27"/>
      <c r="J20" s="27"/>
      <c r="K20" s="27"/>
      <c r="L20" s="27"/>
      <c r="M20" s="27"/>
      <c r="N20" s="27"/>
    </row>
    <row r="21" spans="1:14" ht="14.45" customHeight="1">
      <c r="A21" s="27"/>
      <c r="B21" s="27"/>
      <c r="C21" s="27"/>
      <c r="D21" s="27"/>
      <c r="E21" s="27"/>
      <c r="F21" s="27"/>
      <c r="G21" s="27"/>
      <c r="H21" s="27"/>
      <c r="I21" s="27"/>
      <c r="J21" s="27"/>
      <c r="K21" s="27"/>
      <c r="L21" s="27"/>
      <c r="M21" s="27"/>
      <c r="N21" s="27"/>
    </row>
    <row r="22" spans="1:14" ht="14.45" customHeight="1">
      <c r="A22" s="27"/>
      <c r="B22" s="27"/>
      <c r="C22" s="27"/>
      <c r="D22" s="27"/>
      <c r="E22" s="27"/>
      <c r="F22" s="27"/>
      <c r="G22" s="27"/>
      <c r="H22" s="27"/>
      <c r="I22" s="27"/>
      <c r="J22" s="27"/>
      <c r="K22" s="27"/>
      <c r="L22" s="27"/>
      <c r="M22" s="27"/>
      <c r="N22" s="27"/>
    </row>
    <row r="23" spans="1:14" ht="14.45" customHeight="1">
      <c r="A23" s="27"/>
      <c r="B23" s="27"/>
      <c r="C23" s="27"/>
      <c r="D23" s="27"/>
      <c r="E23" s="27"/>
      <c r="F23" s="27"/>
      <c r="G23" s="27"/>
      <c r="H23" s="27"/>
      <c r="I23" s="27"/>
      <c r="J23" s="27"/>
      <c r="K23" s="27"/>
      <c r="L23" s="27"/>
      <c r="M23" s="27"/>
      <c r="N23" s="27"/>
    </row>
    <row r="24" spans="1:14" ht="14.45" customHeight="1">
      <c r="A24" s="27"/>
      <c r="B24" s="27"/>
      <c r="C24" s="27"/>
      <c r="D24" s="27"/>
      <c r="E24" s="27"/>
      <c r="F24" s="27"/>
      <c r="G24" s="27"/>
      <c r="H24" s="27"/>
      <c r="I24" s="27"/>
      <c r="J24" s="27"/>
      <c r="K24" s="27"/>
      <c r="L24" s="27"/>
      <c r="M24" s="27"/>
      <c r="N24" s="27"/>
    </row>
    <row r="25" spans="1:14" ht="14.45" customHeight="1">
      <c r="A25" s="27"/>
      <c r="B25" s="27"/>
      <c r="C25" s="27"/>
      <c r="D25" s="27"/>
      <c r="E25" s="27"/>
      <c r="F25" s="27"/>
      <c r="G25" s="27"/>
      <c r="H25" s="27"/>
      <c r="I25" s="27"/>
      <c r="J25" s="27"/>
      <c r="K25" s="27"/>
      <c r="L25" s="27"/>
      <c r="M25" s="27"/>
      <c r="N25" s="27"/>
    </row>
    <row r="26" spans="1:14" ht="15" hidden="1" customHeight="1">
      <c r="A26" s="27"/>
      <c r="B26" s="27"/>
      <c r="C26" s="27"/>
      <c r="D26" s="27"/>
      <c r="E26" s="27"/>
      <c r="F26" s="27"/>
      <c r="G26" s="27"/>
      <c r="H26" s="27"/>
      <c r="I26" s="27"/>
      <c r="J26" s="27"/>
      <c r="K26" s="27"/>
      <c r="L26" s="27"/>
      <c r="M26" s="27"/>
      <c r="N26" s="27"/>
    </row>
    <row r="27" spans="1:14" ht="15" hidden="1" customHeight="1">
      <c r="A27" s="27"/>
      <c r="B27" s="27"/>
      <c r="C27" s="27"/>
      <c r="D27" s="27"/>
      <c r="E27" s="27"/>
      <c r="F27" s="27"/>
      <c r="G27" s="27"/>
      <c r="H27" s="27"/>
      <c r="I27" s="27"/>
      <c r="J27" s="27"/>
      <c r="K27" s="27"/>
      <c r="L27" s="27"/>
      <c r="M27" s="27"/>
      <c r="N27" s="27"/>
    </row>
    <row r="28" spans="1:14" hidden="1">
      <c r="A28" s="27"/>
      <c r="B28" s="27"/>
      <c r="C28" s="27"/>
      <c r="D28" s="27"/>
      <c r="E28" s="27"/>
      <c r="F28" s="27"/>
      <c r="G28" s="27"/>
      <c r="H28" s="27"/>
      <c r="I28" s="27"/>
      <c r="J28" s="27"/>
      <c r="K28" s="27"/>
      <c r="L28" s="27"/>
      <c r="M28" s="27"/>
      <c r="N28" s="27"/>
    </row>
    <row r="29" spans="1:14" hidden="1">
      <c r="A29" s="27"/>
      <c r="B29" s="27"/>
      <c r="C29" s="27"/>
      <c r="D29" s="27"/>
      <c r="E29" s="27"/>
      <c r="F29" s="27"/>
      <c r="G29" s="27"/>
      <c r="H29" s="27"/>
      <c r="I29" s="27"/>
      <c r="J29" s="27"/>
      <c r="K29" s="27"/>
      <c r="L29" s="27"/>
      <c r="M29" s="27"/>
      <c r="N29" s="27"/>
    </row>
    <row r="30" spans="1:14" hidden="1">
      <c r="A30" s="27"/>
      <c r="B30" s="27"/>
      <c r="C30" s="27"/>
      <c r="D30" s="27"/>
      <c r="E30" s="27"/>
      <c r="F30" s="27"/>
      <c r="G30" s="27"/>
      <c r="H30" s="27"/>
      <c r="I30" s="27"/>
      <c r="J30" s="27"/>
      <c r="K30" s="27"/>
      <c r="L30" s="27"/>
      <c r="M30" s="27"/>
      <c r="N30" s="27"/>
    </row>
    <row r="31" spans="1:14" hidden="1">
      <c r="A31" s="27"/>
      <c r="B31" s="27"/>
      <c r="C31" s="27"/>
      <c r="D31" s="27"/>
      <c r="E31" s="27"/>
      <c r="F31" s="27"/>
      <c r="G31" s="27"/>
      <c r="H31" s="27"/>
    </row>
    <row r="32" spans="1:14" hidden="1">
      <c r="A32" s="27"/>
      <c r="B32" s="27"/>
      <c r="C32" s="27"/>
      <c r="D32" s="27"/>
      <c r="E32" s="27"/>
      <c r="F32" s="27"/>
      <c r="G32" s="27"/>
      <c r="H32" s="27"/>
    </row>
    <row r="33" spans="1:8" hidden="1">
      <c r="A33" s="27"/>
      <c r="B33" s="27"/>
      <c r="C33" s="27"/>
      <c r="D33" s="27"/>
      <c r="E33" s="27"/>
      <c r="F33" s="27"/>
      <c r="G33" s="27"/>
      <c r="H33" s="27"/>
    </row>
    <row r="34" spans="1:8" hidden="1">
      <c r="A34" s="27"/>
      <c r="B34" s="27"/>
      <c r="C34" s="27"/>
      <c r="D34" s="27"/>
      <c r="E34" s="27"/>
      <c r="F34" s="27"/>
      <c r="G34" s="27"/>
      <c r="H34" s="27"/>
    </row>
    <row r="35" spans="1:8" hidden="1">
      <c r="A35" s="27"/>
      <c r="B35" s="27"/>
      <c r="C35" s="27"/>
      <c r="D35" s="27"/>
      <c r="E35" s="27"/>
      <c r="F35" s="27"/>
      <c r="G35" s="27"/>
      <c r="H35" s="27"/>
    </row>
    <row r="36" spans="1:8" hidden="1">
      <c r="A36" s="27"/>
      <c r="B36" s="27"/>
      <c r="C36" s="27"/>
      <c r="D36" s="27"/>
      <c r="E36" s="27"/>
      <c r="F36" s="27"/>
      <c r="G36" s="27"/>
      <c r="H36" s="27"/>
    </row>
    <row r="37" spans="1:8" hidden="1">
      <c r="A37" s="27"/>
      <c r="B37" s="27"/>
      <c r="C37" s="27"/>
      <c r="D37" s="27"/>
      <c r="E37" s="27"/>
      <c r="F37" s="27"/>
      <c r="G37" s="27"/>
      <c r="H37" s="27"/>
    </row>
    <row r="38" spans="1:8" hidden="1">
      <c r="A38" s="27"/>
      <c r="B38" s="27"/>
      <c r="C38" s="27"/>
      <c r="D38" s="27"/>
      <c r="E38" s="27"/>
      <c r="F38" s="27"/>
      <c r="G38" s="27"/>
      <c r="H38" s="27"/>
    </row>
    <row r="39" spans="1:8" hidden="1">
      <c r="A39" s="27"/>
      <c r="B39" s="27"/>
      <c r="C39" s="27"/>
      <c r="D39" s="27"/>
      <c r="E39" s="27"/>
      <c r="F39" s="27"/>
      <c r="G39" s="27"/>
      <c r="H39" s="27"/>
    </row>
  </sheetData>
  <sheetProtection algorithmName="SHA-512" hashValue="OJM4sZXERmYOGs1arp6jA6E50At9/Cl6imfbolESOfeQU4ggujtv89V8nW79mVPFcNWN1uHe6v0pTEccCsBjUw==" saltValue="yaPYbc+iEp+hJWy8r2vAwA==" spinCount="100000" sheet="1" objects="1" scenarios="1"/>
  <mergeCells count="6">
    <mergeCell ref="C20:D20"/>
    <mergeCell ref="C3:D3"/>
    <mergeCell ref="C2:D2"/>
    <mergeCell ref="C13:D13"/>
    <mergeCell ref="C14:D14"/>
    <mergeCell ref="C18:D18"/>
  </mergeCells>
  <conditionalFormatting sqref="C11">
    <cfRule type="expression" dxfId="384" priority="47">
      <formula>C11="Within 500m of site boundary"</formula>
    </cfRule>
    <cfRule type="expression" dxfId="383" priority="56">
      <formula>C11="On site"</formula>
    </cfRule>
    <cfRule type="expression" dxfId="382" priority="57">
      <formula>C11="No"</formula>
    </cfRule>
  </conditionalFormatting>
  <conditionalFormatting sqref="D11">
    <cfRule type="expression" dxfId="381" priority="45">
      <formula>C11="On site"</formula>
    </cfRule>
  </conditionalFormatting>
  <conditionalFormatting sqref="D16">
    <cfRule type="expression" dxfId="380" priority="22">
      <formula>$C$16="Walkover completed by competent person"</formula>
    </cfRule>
    <cfRule type="expression" dxfId="379" priority="43">
      <formula>C16="No walkover undertaken"</formula>
    </cfRule>
  </conditionalFormatting>
  <conditionalFormatting sqref="C16:C17">
    <cfRule type="expression" dxfId="378" priority="34">
      <formula>C16="Walkover completed by competent person"</formula>
    </cfRule>
    <cfRule type="expression" dxfId="377" priority="35">
      <formula>C16="No walkover undertaken"</formula>
    </cfRule>
    <cfRule type="expression" dxfId="376" priority="36">
      <formula>C16="Walkover completed by qualified ecologist"</formula>
    </cfRule>
  </conditionalFormatting>
  <conditionalFormatting sqref="C12">
    <cfRule type="expression" dxfId="375" priority="25">
      <formula>C12="Within 500m of site boundary"</formula>
    </cfRule>
    <cfRule type="expression" dxfId="374" priority="26">
      <formula>C12="On site"</formula>
    </cfRule>
    <cfRule type="expression" dxfId="373" priority="27">
      <formula>C12="No"</formula>
    </cfRule>
  </conditionalFormatting>
  <conditionalFormatting sqref="D12">
    <cfRule type="expression" dxfId="372" priority="24">
      <formula>C12="On site"</formula>
    </cfRule>
  </conditionalFormatting>
  <conditionalFormatting sqref="D17">
    <cfRule type="containsText" dxfId="371" priority="21" operator="containsText" text="Walk over date required">
      <formula>NOT(ISERROR(SEARCH("Walk over date required",D17)))</formula>
    </cfRule>
  </conditionalFormatting>
  <conditionalFormatting sqref="C8">
    <cfRule type="expression" dxfId="370" priority="7" stopIfTrue="1">
      <formula>IF(LEFT(D8,1)="E","TRUE","")</formula>
    </cfRule>
    <cfRule type="expression" dxfId="369" priority="8">
      <formula>AND(C8&gt;0,C8&lt;=C7,C8&lt;1001)</formula>
    </cfRule>
  </conditionalFormatting>
  <conditionalFormatting sqref="C6">
    <cfRule type="expression" dxfId="368" priority="6">
      <formula>IF(C6&lt;&gt;"",TRUE,"")</formula>
    </cfRule>
  </conditionalFormatting>
  <conditionalFormatting sqref="D7">
    <cfRule type="expression" dxfId="367" priority="5">
      <formula>IF(LEFT(D7,1)="E","TRUE","")</formula>
    </cfRule>
  </conditionalFormatting>
  <conditionalFormatting sqref="D8">
    <cfRule type="containsText" dxfId="366" priority="4" operator="containsText" text="ERROR">
      <formula>NOT(ISERROR(SEARCH("ERROR",D8)))</formula>
    </cfRule>
  </conditionalFormatting>
  <conditionalFormatting sqref="C7">
    <cfRule type="expression" dxfId="365" priority="9">
      <formula>IF(LEFT(D7,1)="E",TRUE,"")</formula>
    </cfRule>
    <cfRule type="expression" dxfId="364" priority="10" stopIfTrue="1">
      <formula>IF(AND(LEFT(D7,1)&lt;&gt;"E",C7&lt;&gt;""),TRUE,"")</formula>
    </cfRule>
  </conditionalFormatting>
  <conditionalFormatting sqref="C9">
    <cfRule type="expression" dxfId="363" priority="2" stopIfTrue="1">
      <formula>IF(LEFT(D9,1)="E","TRUE","")</formula>
    </cfRule>
    <cfRule type="expression" dxfId="362" priority="3">
      <formula>AND(C9&gt;0,LEFT(D10,1)&lt;&gt;"E")</formula>
    </cfRule>
  </conditionalFormatting>
  <conditionalFormatting sqref="D9">
    <cfRule type="containsText" dxfId="361" priority="1" operator="containsText" text="ERROR">
      <formula>NOT(ISERROR(SEARCH("ERROR",D9)))</formula>
    </cfRule>
  </conditionalFormatting>
  <dataValidations count="4">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6"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17" xr:uid="{A884B896-36E1-41D9-989A-9DF75FF39B69}">
      <formula1>TODAY()</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AH158"/>
  <sheetViews>
    <sheetView topLeftCell="A40" zoomScale="55" zoomScaleNormal="55" workbookViewId="0">
      <selection activeCell="D8" sqref="D8"/>
    </sheetView>
  </sheetViews>
  <sheetFormatPr defaultColWidth="0" defaultRowHeight="14.45" zeroHeight="1"/>
  <cols>
    <col min="1" max="1" width="3.42578125" customWidth="1"/>
    <col min="2" max="2" width="16.42578125" bestFit="1" customWidth="1"/>
    <col min="3" max="3" width="32.28515625" bestFit="1" customWidth="1"/>
    <col min="4" max="5" width="89.85546875" customWidth="1"/>
    <col min="6" max="7" width="8.85546875" customWidth="1"/>
    <col min="8" max="34" width="0" hidden="1" customWidth="1"/>
    <col min="35" max="16384" width="8.85546875" hidden="1"/>
  </cols>
  <sheetData>
    <row r="1" spans="1:34" ht="15" thickBot="1">
      <c r="A1" s="27"/>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row>
    <row r="2" spans="1:34" ht="24.6" customHeight="1">
      <c r="A2" s="27"/>
      <c r="B2" s="504" t="s">
        <v>45</v>
      </c>
      <c r="C2" s="505"/>
      <c r="D2" s="56" t="str">
        <f>IF('2. Site Details'!D5="","Enter site name on 2. Site Details",'2. Site Details'!D5)</f>
        <v>Land off Barnsley Rd, Darton</v>
      </c>
      <c r="E2" s="507" t="str">
        <f>IF(OR('3. Desktop Assessment'!C16="Walkover completed by competent person",'3. Desktop Assessment'!C16="No walkover undertaken"),IF(COUNTA(D8:E8,D10:E10,D14:E14,D16:E16,D18:E18,D22:E22,D26:E26,D30:E30,D34:E34,D38:E38,D42:E42,D46:E46,D12:E12,D20:E20,D24:E24,D28:E28,D32:E32,D36:E36,D40:E40,D44:E44)=0,"Error - Site photographs required to support application",""),"")</f>
        <v/>
      </c>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row>
    <row r="3" spans="1:34" ht="24.6" customHeight="1" thickBot="1">
      <c r="A3" s="27"/>
      <c r="B3" s="502" t="s">
        <v>16</v>
      </c>
      <c r="C3" s="503"/>
      <c r="D3" s="57" t="s">
        <v>64</v>
      </c>
      <c r="E3" s="50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row>
    <row r="4" spans="1:34" ht="24.6" customHeight="1">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row>
    <row r="5" spans="1:34" ht="31.15" customHeight="1">
      <c r="A5" s="27"/>
      <c r="B5" s="62" t="s">
        <v>65</v>
      </c>
      <c r="C5" s="64"/>
      <c r="D5" s="506" t="s">
        <v>66</v>
      </c>
      <c r="E5" s="506"/>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row>
    <row r="6" spans="1:34" ht="15" thickBot="1">
      <c r="A6" s="27"/>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row>
    <row r="7" spans="1:34" ht="30.6" customHeight="1" thickBot="1">
      <c r="A7" s="27"/>
      <c r="B7" s="302" t="s">
        <v>67</v>
      </c>
      <c r="C7" s="303" t="s">
        <v>68</v>
      </c>
      <c r="D7" s="303" t="s">
        <v>69</v>
      </c>
      <c r="E7" s="304" t="s">
        <v>70</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row>
    <row r="8" spans="1:34" ht="33" customHeight="1">
      <c r="A8" s="27"/>
      <c r="B8" s="500">
        <v>1</v>
      </c>
      <c r="C8" s="265" t="s">
        <v>71</v>
      </c>
      <c r="D8" s="417"/>
      <c r="E8" s="418"/>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row>
    <row r="9" spans="1:34" ht="303.75" customHeight="1" thickBot="1">
      <c r="A9" s="27"/>
      <c r="B9" s="501"/>
      <c r="C9" s="301" t="str">
        <f>IF('5. Area Habitats'!D11=0,"",'5. Area Habitats'!D11)</f>
        <v>Modified grassland</v>
      </c>
      <c r="D9" s="307"/>
      <c r="E9" s="308"/>
      <c r="F9" s="27"/>
      <c r="G9" s="27"/>
      <c r="H9" s="27"/>
      <c r="I9" s="27"/>
      <c r="J9" s="27"/>
      <c r="K9" s="63"/>
      <c r="L9" s="63"/>
      <c r="M9" s="63"/>
      <c r="N9" s="63"/>
      <c r="O9" s="63"/>
      <c r="P9" s="63"/>
      <c r="Q9" s="63"/>
      <c r="R9" s="63"/>
      <c r="S9" s="63"/>
      <c r="T9" s="63"/>
      <c r="U9" s="63"/>
      <c r="V9" s="63"/>
      <c r="W9" s="63"/>
      <c r="X9" s="63"/>
      <c r="Y9" s="63"/>
      <c r="Z9" s="63"/>
      <c r="AA9" s="63"/>
      <c r="AB9" s="63"/>
      <c r="AC9" s="63"/>
      <c r="AD9" s="63"/>
      <c r="AE9" s="63"/>
      <c r="AF9" s="63"/>
      <c r="AG9" s="63"/>
      <c r="AH9" s="63"/>
    </row>
    <row r="10" spans="1:34" ht="33" customHeight="1">
      <c r="A10" s="27"/>
      <c r="B10" s="500">
        <v>2</v>
      </c>
      <c r="C10" s="265" t="s">
        <v>71</v>
      </c>
      <c r="D10" s="417"/>
      <c r="E10" s="418"/>
      <c r="F10" s="27"/>
      <c r="G10" s="27"/>
      <c r="H10" s="27"/>
      <c r="I10" s="27"/>
      <c r="J10" s="27"/>
      <c r="K10" s="63"/>
      <c r="L10" s="63"/>
      <c r="M10" s="63"/>
      <c r="N10" s="63"/>
      <c r="O10" s="63"/>
      <c r="P10" s="63"/>
      <c r="Q10" s="63"/>
      <c r="R10" s="63"/>
      <c r="S10" s="63"/>
      <c r="T10" s="63"/>
      <c r="U10" s="63"/>
      <c r="V10" s="63"/>
      <c r="W10" s="63"/>
      <c r="X10" s="63"/>
      <c r="Y10" s="63"/>
      <c r="Z10" s="63"/>
      <c r="AA10" s="63"/>
      <c r="AB10" s="63"/>
      <c r="AC10" s="63"/>
      <c r="AD10" s="63"/>
      <c r="AE10" s="63"/>
      <c r="AF10" s="63"/>
      <c r="AG10" s="63"/>
      <c r="AH10" s="63"/>
    </row>
    <row r="11" spans="1:34" ht="303.75" customHeight="1" thickBot="1">
      <c r="A11" s="27"/>
      <c r="B11" s="501"/>
      <c r="C11" s="301" t="str">
        <f>IF('5. Area Habitats'!D12=0,"",'5. Area Habitats'!D12)</f>
        <v>Mixed scrub</v>
      </c>
      <c r="D11" s="307"/>
      <c r="E11" s="308"/>
      <c r="F11" s="27"/>
      <c r="G11" s="27"/>
      <c r="H11" s="27"/>
      <c r="I11" s="27"/>
      <c r="J11" s="27"/>
      <c r="K11" s="63"/>
      <c r="L11" s="63"/>
      <c r="M11" s="63"/>
      <c r="N11" s="63"/>
      <c r="O11" s="63"/>
      <c r="P11" s="63"/>
      <c r="Q11" s="63"/>
      <c r="R11" s="63"/>
      <c r="S11" s="63"/>
      <c r="T11" s="63"/>
      <c r="U11" s="63"/>
      <c r="V11" s="63"/>
      <c r="W11" s="63"/>
      <c r="X11" s="63"/>
      <c r="Y11" s="63"/>
      <c r="Z11" s="63"/>
      <c r="AA11" s="63"/>
      <c r="AB11" s="63"/>
      <c r="AC11" s="63"/>
      <c r="AD11" s="63"/>
      <c r="AE11" s="63"/>
      <c r="AF11" s="63"/>
      <c r="AG11" s="63"/>
      <c r="AH11" s="63"/>
    </row>
    <row r="12" spans="1:34" ht="33" customHeight="1">
      <c r="A12" s="27"/>
      <c r="B12" s="500">
        <v>3</v>
      </c>
      <c r="C12" s="265" t="s">
        <v>71</v>
      </c>
      <c r="D12" s="417"/>
      <c r="E12" s="418"/>
      <c r="F12" s="27"/>
      <c r="G12" s="27"/>
      <c r="H12" s="27"/>
      <c r="I12" s="27"/>
      <c r="J12" s="27"/>
      <c r="K12" s="63"/>
      <c r="L12" s="63"/>
      <c r="M12" s="63"/>
      <c r="N12" s="63"/>
      <c r="O12" s="63"/>
      <c r="P12" s="63"/>
      <c r="Q12" s="63"/>
      <c r="R12" s="63"/>
      <c r="S12" s="63"/>
      <c r="T12" s="63"/>
      <c r="U12" s="63"/>
      <c r="V12" s="63"/>
      <c r="W12" s="63"/>
      <c r="X12" s="63"/>
      <c r="Y12" s="63"/>
      <c r="Z12" s="63"/>
      <c r="AA12" s="63"/>
      <c r="AB12" s="63"/>
      <c r="AC12" s="63"/>
      <c r="AD12" s="63"/>
      <c r="AE12" s="63"/>
      <c r="AF12" s="63"/>
      <c r="AG12" s="63"/>
      <c r="AH12" s="63"/>
    </row>
    <row r="13" spans="1:34" ht="303.75" customHeight="1" thickBot="1">
      <c r="A13" s="27"/>
      <c r="B13" s="501"/>
      <c r="C13" s="301" t="str">
        <f>IF('5. Area Habitats'!D13=0,"",'5. Area Habitats'!D13)</f>
        <v>Developed land; sealed surface</v>
      </c>
      <c r="D13" s="307"/>
      <c r="E13" s="308"/>
      <c r="F13" s="27"/>
      <c r="G13" s="27"/>
      <c r="H13" s="27"/>
      <c r="I13" s="27"/>
      <c r="J13" s="27"/>
      <c r="K13" s="63"/>
      <c r="L13" s="63"/>
      <c r="M13" s="63"/>
      <c r="N13" s="63"/>
      <c r="O13" s="63"/>
      <c r="P13" s="63"/>
      <c r="Q13" s="63"/>
      <c r="R13" s="63"/>
      <c r="S13" s="63"/>
      <c r="T13" s="63"/>
      <c r="U13" s="63"/>
      <c r="V13" s="63"/>
      <c r="W13" s="63"/>
      <c r="X13" s="63"/>
      <c r="Y13" s="63"/>
      <c r="Z13" s="63"/>
      <c r="AA13" s="63"/>
      <c r="AB13" s="63"/>
      <c r="AC13" s="63"/>
      <c r="AD13" s="63"/>
      <c r="AE13" s="63"/>
      <c r="AF13" s="63"/>
      <c r="AG13" s="63"/>
      <c r="AH13" s="63"/>
    </row>
    <row r="14" spans="1:34" ht="33" customHeight="1">
      <c r="A14" s="27"/>
      <c r="B14" s="508">
        <v>4</v>
      </c>
      <c r="C14" s="305"/>
      <c r="D14" s="309"/>
      <c r="E14" s="310"/>
      <c r="F14" s="27"/>
      <c r="G14" s="27"/>
      <c r="H14" s="27"/>
      <c r="I14" s="27"/>
      <c r="J14" s="27"/>
      <c r="K14" s="63"/>
      <c r="L14" s="63"/>
      <c r="M14" s="63"/>
      <c r="N14" s="63"/>
      <c r="O14" s="63"/>
      <c r="P14" s="63"/>
      <c r="Q14" s="63"/>
      <c r="R14" s="63"/>
      <c r="S14" s="63"/>
      <c r="T14" s="63"/>
      <c r="U14" s="63"/>
      <c r="V14" s="63"/>
      <c r="W14" s="63"/>
      <c r="X14" s="63"/>
      <c r="Y14" s="63"/>
      <c r="Z14" s="63"/>
      <c r="AA14" s="63"/>
      <c r="AB14" s="63"/>
      <c r="AC14" s="63"/>
      <c r="AD14" s="63"/>
      <c r="AE14" s="63"/>
      <c r="AF14" s="63"/>
      <c r="AG14" s="63"/>
      <c r="AH14" s="63"/>
    </row>
    <row r="15" spans="1:34" ht="303.75" customHeight="1" thickBot="1">
      <c r="A15" s="27"/>
      <c r="B15" s="509"/>
      <c r="C15" s="306" t="str">
        <f>IF('5. Area Habitats'!D14=0,"",'5. Area Habitats'!D14)</f>
        <v>Artificial unvegetated, unsealed surface</v>
      </c>
      <c r="D15" s="311"/>
      <c r="E15" s="312"/>
      <c r="F15" s="27"/>
      <c r="G15" s="27"/>
      <c r="H15" s="27"/>
      <c r="I15" s="27"/>
      <c r="J15" s="27"/>
      <c r="K15" s="63"/>
      <c r="L15" s="63"/>
      <c r="M15" s="63"/>
      <c r="N15" s="63"/>
      <c r="O15" s="63"/>
      <c r="P15" s="63"/>
      <c r="Q15" s="63"/>
      <c r="R15" s="63"/>
      <c r="S15" s="63"/>
      <c r="T15" s="63"/>
      <c r="U15" s="63"/>
      <c r="V15" s="63"/>
      <c r="W15" s="63"/>
      <c r="X15" s="63"/>
      <c r="Y15" s="63"/>
      <c r="Z15" s="63"/>
      <c r="AA15" s="63"/>
      <c r="AB15" s="63"/>
      <c r="AC15" s="63"/>
      <c r="AD15" s="63"/>
      <c r="AE15" s="63"/>
      <c r="AF15" s="63"/>
      <c r="AG15" s="63"/>
      <c r="AH15" s="63"/>
    </row>
    <row r="16" spans="1:34" ht="33" customHeight="1">
      <c r="A16" s="27"/>
      <c r="B16" s="500">
        <v>5</v>
      </c>
      <c r="C16" s="265" t="s">
        <v>71</v>
      </c>
      <c r="D16" s="417"/>
      <c r="E16" s="418"/>
      <c r="F16" s="27"/>
      <c r="G16" s="27"/>
      <c r="H16" s="27"/>
      <c r="I16" s="27"/>
      <c r="J16" s="27"/>
      <c r="K16" s="63"/>
      <c r="L16" s="63"/>
      <c r="M16" s="63"/>
      <c r="N16" s="63"/>
      <c r="O16" s="63"/>
      <c r="P16" s="63"/>
      <c r="Q16" s="63"/>
      <c r="R16" s="63"/>
      <c r="S16" s="63"/>
      <c r="T16" s="63"/>
      <c r="U16" s="63"/>
      <c r="V16" s="63"/>
      <c r="W16" s="63"/>
      <c r="X16" s="63"/>
      <c r="Y16" s="63"/>
      <c r="Z16" s="63"/>
      <c r="AA16" s="63"/>
      <c r="AB16" s="63"/>
      <c r="AC16" s="63"/>
      <c r="AD16" s="63"/>
      <c r="AE16" s="63"/>
      <c r="AF16" s="63"/>
      <c r="AG16" s="63"/>
      <c r="AH16" s="63"/>
    </row>
    <row r="17" spans="1:34" ht="303.75" customHeight="1" thickBot="1">
      <c r="A17" s="27"/>
      <c r="B17" s="501"/>
      <c r="C17" s="301" t="str">
        <f>IF('5. Area Habitats'!D15=0,"",'5. Area Habitats'!D15)</f>
        <v/>
      </c>
      <c r="D17" s="307"/>
      <c r="E17" s="308"/>
      <c r="F17" s="27"/>
      <c r="G17" s="27"/>
      <c r="H17" s="27"/>
      <c r="I17" s="27"/>
      <c r="J17" s="27"/>
      <c r="K17" s="63"/>
      <c r="L17" s="63"/>
      <c r="M17" s="63"/>
      <c r="N17" s="63"/>
      <c r="O17" s="63"/>
      <c r="P17" s="63"/>
      <c r="Q17" s="63"/>
      <c r="R17" s="63"/>
      <c r="S17" s="63"/>
      <c r="T17" s="63"/>
      <c r="U17" s="63"/>
      <c r="V17" s="63"/>
      <c r="W17" s="63"/>
      <c r="X17" s="63"/>
      <c r="Y17" s="63"/>
      <c r="Z17" s="63"/>
      <c r="AA17" s="63"/>
      <c r="AB17" s="63"/>
      <c r="AC17" s="63"/>
      <c r="AD17" s="63"/>
      <c r="AE17" s="63"/>
      <c r="AF17" s="63"/>
      <c r="AG17" s="63"/>
      <c r="AH17" s="63"/>
    </row>
    <row r="18" spans="1:34" ht="33" customHeight="1">
      <c r="A18" s="27"/>
      <c r="B18" s="500">
        <v>6</v>
      </c>
      <c r="C18" s="265" t="s">
        <v>71</v>
      </c>
      <c r="D18" s="417"/>
      <c r="E18" s="418"/>
      <c r="F18" s="27"/>
      <c r="G18" s="27"/>
      <c r="H18" s="27"/>
      <c r="I18" s="27"/>
      <c r="J18" s="27"/>
      <c r="K18" s="63"/>
      <c r="L18" s="63"/>
      <c r="M18" s="63"/>
      <c r="N18" s="63"/>
      <c r="O18" s="63"/>
      <c r="P18" s="63"/>
      <c r="Q18" s="63"/>
      <c r="R18" s="63"/>
      <c r="S18" s="63"/>
      <c r="T18" s="63"/>
      <c r="U18" s="63"/>
      <c r="V18" s="63"/>
      <c r="W18" s="63"/>
      <c r="X18" s="63"/>
      <c r="Y18" s="63"/>
      <c r="Z18" s="63"/>
      <c r="AA18" s="63"/>
      <c r="AB18" s="63"/>
      <c r="AC18" s="63"/>
      <c r="AD18" s="63"/>
      <c r="AE18" s="63"/>
      <c r="AF18" s="63"/>
      <c r="AG18" s="63"/>
      <c r="AH18" s="63"/>
    </row>
    <row r="19" spans="1:34" ht="303.75" customHeight="1" thickBot="1">
      <c r="A19" s="27"/>
      <c r="B19" s="501"/>
      <c r="C19" s="301" t="str">
        <f>IF('5. Area Habitats'!D16=0,"",'5. Area Habitats'!D16)</f>
        <v/>
      </c>
      <c r="D19" s="307"/>
      <c r="E19" s="308"/>
      <c r="F19" s="27"/>
      <c r="G19" s="27"/>
      <c r="H19" s="27"/>
      <c r="I19" s="27"/>
      <c r="J19" s="27"/>
      <c r="K19" s="63"/>
      <c r="L19" s="63"/>
      <c r="M19" s="63"/>
      <c r="N19" s="63"/>
      <c r="O19" s="63"/>
      <c r="P19" s="63"/>
      <c r="Q19" s="63"/>
      <c r="R19" s="63"/>
      <c r="S19" s="63"/>
      <c r="T19" s="63"/>
      <c r="U19" s="63"/>
      <c r="V19" s="63"/>
      <c r="W19" s="63"/>
      <c r="X19" s="63"/>
      <c r="Y19" s="63"/>
      <c r="Z19" s="63"/>
      <c r="AA19" s="63"/>
      <c r="AB19" s="63"/>
      <c r="AC19" s="63"/>
      <c r="AD19" s="63"/>
      <c r="AE19" s="63"/>
      <c r="AF19" s="63"/>
      <c r="AG19" s="63"/>
      <c r="AH19" s="63"/>
    </row>
    <row r="20" spans="1:34" ht="33" customHeight="1">
      <c r="A20" s="27"/>
      <c r="B20" s="500">
        <v>7</v>
      </c>
      <c r="C20" s="265" t="s">
        <v>71</v>
      </c>
      <c r="D20" s="417"/>
      <c r="E20" s="418"/>
      <c r="F20" s="27"/>
      <c r="G20" s="27"/>
      <c r="H20" s="27"/>
      <c r="I20" s="27"/>
      <c r="J20" s="27"/>
      <c r="K20" s="63"/>
      <c r="L20" s="63"/>
      <c r="M20" s="63"/>
      <c r="N20" s="63"/>
      <c r="O20" s="63"/>
      <c r="P20" s="63"/>
      <c r="Q20" s="63"/>
      <c r="R20" s="63"/>
      <c r="S20" s="63"/>
      <c r="T20" s="63"/>
      <c r="U20" s="63"/>
      <c r="V20" s="63"/>
      <c r="W20" s="63"/>
      <c r="X20" s="63"/>
      <c r="Y20" s="63"/>
      <c r="Z20" s="63"/>
      <c r="AA20" s="63"/>
      <c r="AB20" s="63"/>
      <c r="AC20" s="63"/>
      <c r="AD20" s="63"/>
      <c r="AE20" s="63"/>
      <c r="AF20" s="63"/>
      <c r="AG20" s="63"/>
      <c r="AH20" s="63"/>
    </row>
    <row r="21" spans="1:34" ht="303.75" customHeight="1" thickBot="1">
      <c r="A21" s="27"/>
      <c r="B21" s="501"/>
      <c r="C21" s="301" t="str">
        <f>IF('5. Area Habitats'!D17=0,"",'5. Area Habitats'!D17)</f>
        <v/>
      </c>
      <c r="D21" s="307"/>
      <c r="E21" s="308"/>
      <c r="F21" s="27"/>
      <c r="G21" s="27"/>
      <c r="H21" s="27"/>
      <c r="I21" s="27"/>
      <c r="J21" s="27"/>
      <c r="K21" s="63"/>
      <c r="L21" s="63"/>
      <c r="M21" s="63"/>
      <c r="N21" s="63"/>
      <c r="O21" s="63"/>
      <c r="P21" s="63"/>
      <c r="Q21" s="63"/>
      <c r="R21" s="63"/>
      <c r="S21" s="63"/>
      <c r="T21" s="63"/>
      <c r="U21" s="63"/>
      <c r="V21" s="63"/>
      <c r="W21" s="63"/>
      <c r="X21" s="63"/>
      <c r="Y21" s="63"/>
      <c r="Z21" s="63"/>
      <c r="AA21" s="63"/>
      <c r="AB21" s="63"/>
      <c r="AC21" s="63"/>
      <c r="AD21" s="63"/>
      <c r="AE21" s="63"/>
      <c r="AF21" s="63"/>
      <c r="AG21" s="63"/>
      <c r="AH21" s="63"/>
    </row>
    <row r="22" spans="1:34" ht="33" customHeight="1">
      <c r="A22" s="27"/>
      <c r="B22" s="500">
        <v>8</v>
      </c>
      <c r="C22" s="265" t="s">
        <v>71</v>
      </c>
      <c r="D22" s="417"/>
      <c r="E22" s="418"/>
      <c r="F22" s="27"/>
      <c r="G22" s="27"/>
      <c r="H22" s="27"/>
      <c r="I22" s="27"/>
      <c r="J22" s="27"/>
      <c r="K22" s="63"/>
      <c r="L22" s="63"/>
      <c r="M22" s="63"/>
      <c r="N22" s="63"/>
      <c r="O22" s="63"/>
      <c r="P22" s="63"/>
      <c r="Q22" s="63"/>
      <c r="R22" s="63"/>
      <c r="S22" s="63"/>
      <c r="T22" s="63"/>
      <c r="U22" s="63"/>
      <c r="V22" s="63"/>
      <c r="W22" s="63"/>
      <c r="X22" s="63"/>
      <c r="Y22" s="63"/>
      <c r="Z22" s="63"/>
      <c r="AA22" s="63"/>
      <c r="AB22" s="63"/>
      <c r="AC22" s="63"/>
      <c r="AD22" s="63"/>
      <c r="AE22" s="63"/>
      <c r="AF22" s="63"/>
      <c r="AG22" s="63"/>
      <c r="AH22" s="63"/>
    </row>
    <row r="23" spans="1:34" ht="303.75" customHeight="1" thickBot="1">
      <c r="A23" s="27"/>
      <c r="B23" s="501"/>
      <c r="C23" s="301" t="str">
        <f>IF('5. Area Habitats'!D18=0,"",'5. Area Habitats'!D18)</f>
        <v/>
      </c>
      <c r="D23" s="307"/>
      <c r="E23" s="308"/>
      <c r="F23" s="27"/>
      <c r="G23" s="27"/>
      <c r="H23" s="27"/>
      <c r="I23" s="27"/>
      <c r="J23" s="27"/>
      <c r="K23" s="63"/>
      <c r="L23" s="63"/>
      <c r="M23" s="63"/>
      <c r="N23" s="63"/>
      <c r="O23" s="63"/>
      <c r="P23" s="63"/>
      <c r="Q23" s="63"/>
      <c r="R23" s="63"/>
      <c r="S23" s="63"/>
      <c r="T23" s="63"/>
      <c r="U23" s="63"/>
      <c r="V23" s="63"/>
      <c r="W23" s="63"/>
      <c r="X23" s="63"/>
      <c r="Y23" s="63"/>
      <c r="Z23" s="63"/>
      <c r="AA23" s="63"/>
      <c r="AB23" s="63"/>
      <c r="AC23" s="63"/>
      <c r="AD23" s="63"/>
      <c r="AE23" s="63"/>
      <c r="AF23" s="63"/>
      <c r="AG23" s="63"/>
      <c r="AH23" s="63"/>
    </row>
    <row r="24" spans="1:34" ht="33" customHeight="1">
      <c r="A24" s="27"/>
      <c r="B24" s="500">
        <v>9</v>
      </c>
      <c r="C24" s="265" t="s">
        <v>71</v>
      </c>
      <c r="D24" s="417"/>
      <c r="E24" s="418"/>
      <c r="F24" s="27"/>
      <c r="G24" s="27"/>
      <c r="H24" s="27"/>
      <c r="I24" s="27"/>
      <c r="J24" s="27"/>
      <c r="K24" s="63"/>
      <c r="L24" s="63"/>
      <c r="M24" s="63"/>
      <c r="N24" s="63"/>
      <c r="O24" s="63"/>
      <c r="P24" s="63"/>
      <c r="Q24" s="63"/>
      <c r="R24" s="63"/>
      <c r="S24" s="63"/>
      <c r="T24" s="63"/>
      <c r="U24" s="63"/>
      <c r="V24" s="63"/>
      <c r="W24" s="63"/>
      <c r="X24" s="63"/>
      <c r="Y24" s="63"/>
      <c r="Z24" s="63"/>
      <c r="AA24" s="63"/>
      <c r="AB24" s="63"/>
      <c r="AC24" s="63"/>
      <c r="AD24" s="63"/>
      <c r="AE24" s="63"/>
      <c r="AF24" s="63"/>
      <c r="AG24" s="63"/>
      <c r="AH24" s="63"/>
    </row>
    <row r="25" spans="1:34" ht="303.75" customHeight="1" thickBot="1">
      <c r="A25" s="27"/>
      <c r="B25" s="501"/>
      <c r="C25" s="301" t="str">
        <f>IF('5. Area Habitats'!D19=0,"",'5. Area Habitats'!D19)</f>
        <v/>
      </c>
      <c r="D25" s="307"/>
      <c r="E25" s="308"/>
      <c r="F25" s="27"/>
      <c r="G25" s="27"/>
      <c r="H25" s="27"/>
      <c r="I25" s="27"/>
      <c r="J25" s="27"/>
      <c r="K25" s="63"/>
      <c r="L25" s="63"/>
      <c r="M25" s="63"/>
      <c r="N25" s="63"/>
      <c r="O25" s="63"/>
      <c r="P25" s="63"/>
      <c r="Q25" s="63"/>
      <c r="R25" s="63"/>
      <c r="S25" s="63"/>
      <c r="T25" s="63"/>
      <c r="U25" s="63"/>
      <c r="V25" s="63"/>
      <c r="W25" s="63"/>
      <c r="X25" s="63"/>
      <c r="Y25" s="63"/>
      <c r="Z25" s="63"/>
      <c r="AA25" s="63"/>
      <c r="AB25" s="63"/>
      <c r="AC25" s="63"/>
      <c r="AD25" s="63"/>
      <c r="AE25" s="63"/>
      <c r="AF25" s="63"/>
      <c r="AG25" s="63"/>
      <c r="AH25" s="63"/>
    </row>
    <row r="26" spans="1:34" ht="33" customHeight="1">
      <c r="A26" s="27"/>
      <c r="B26" s="500">
        <v>10</v>
      </c>
      <c r="C26" s="265" t="s">
        <v>71</v>
      </c>
      <c r="D26" s="417"/>
      <c r="E26" s="418"/>
      <c r="F26" s="27"/>
      <c r="G26" s="27"/>
      <c r="H26" s="27"/>
      <c r="I26" s="27"/>
      <c r="J26" s="27"/>
      <c r="K26" s="63"/>
      <c r="L26" s="63"/>
      <c r="M26" s="63"/>
      <c r="N26" s="63"/>
      <c r="O26" s="63"/>
      <c r="P26" s="63"/>
      <c r="Q26" s="63"/>
      <c r="R26" s="63"/>
      <c r="S26" s="63"/>
      <c r="T26" s="63"/>
      <c r="U26" s="63"/>
      <c r="V26" s="63"/>
      <c r="W26" s="63"/>
      <c r="X26" s="63"/>
      <c r="Y26" s="63"/>
      <c r="Z26" s="63"/>
      <c r="AA26" s="63"/>
      <c r="AB26" s="63"/>
      <c r="AC26" s="63"/>
      <c r="AD26" s="63"/>
      <c r="AE26" s="63"/>
      <c r="AF26" s="63"/>
      <c r="AG26" s="63"/>
      <c r="AH26" s="63"/>
    </row>
    <row r="27" spans="1:34" ht="303.75" customHeight="1" thickBot="1">
      <c r="A27" s="27"/>
      <c r="B27" s="501"/>
      <c r="C27" s="301" t="str">
        <f>IF('5. Area Habitats'!D20=0,"",'5. Area Habitats'!D20)</f>
        <v/>
      </c>
      <c r="D27" s="307"/>
      <c r="E27" s="308"/>
      <c r="F27" s="27"/>
      <c r="G27" s="27"/>
      <c r="H27" s="27"/>
      <c r="I27" s="27"/>
      <c r="J27" s="27"/>
      <c r="K27" s="63"/>
      <c r="L27" s="63"/>
      <c r="M27" s="63"/>
      <c r="N27" s="63"/>
      <c r="O27" s="63"/>
      <c r="P27" s="63"/>
      <c r="Q27" s="63"/>
      <c r="R27" s="63"/>
      <c r="S27" s="63"/>
      <c r="T27" s="63"/>
      <c r="U27" s="63"/>
      <c r="V27" s="63"/>
      <c r="W27" s="63"/>
      <c r="X27" s="63"/>
      <c r="Y27" s="63"/>
      <c r="Z27" s="63"/>
      <c r="AA27" s="63"/>
      <c r="AB27" s="63"/>
      <c r="AC27" s="63"/>
      <c r="AD27" s="63"/>
      <c r="AE27" s="63"/>
      <c r="AF27" s="63"/>
      <c r="AG27" s="63"/>
      <c r="AH27" s="63"/>
    </row>
    <row r="28" spans="1:34" ht="33" customHeight="1">
      <c r="A28" s="27"/>
      <c r="B28" s="500">
        <v>11</v>
      </c>
      <c r="C28" s="265" t="s">
        <v>71</v>
      </c>
      <c r="D28" s="417"/>
      <c r="E28" s="418"/>
      <c r="F28" s="27"/>
      <c r="G28" s="27"/>
      <c r="H28" s="27"/>
      <c r="I28" s="27"/>
      <c r="J28" s="27"/>
      <c r="K28" s="63"/>
      <c r="L28" s="63"/>
      <c r="M28" s="63"/>
      <c r="N28" s="63"/>
      <c r="O28" s="63"/>
      <c r="P28" s="63"/>
      <c r="Q28" s="63"/>
      <c r="R28" s="63"/>
      <c r="S28" s="63"/>
      <c r="T28" s="63"/>
      <c r="U28" s="63"/>
      <c r="V28" s="63"/>
      <c r="W28" s="63"/>
      <c r="X28" s="63"/>
      <c r="Y28" s="63"/>
      <c r="Z28" s="63"/>
      <c r="AA28" s="63"/>
      <c r="AB28" s="63"/>
      <c r="AC28" s="63"/>
      <c r="AD28" s="63"/>
      <c r="AE28" s="63"/>
      <c r="AF28" s="63"/>
      <c r="AG28" s="63"/>
      <c r="AH28" s="63"/>
    </row>
    <row r="29" spans="1:34" ht="303.75" customHeight="1" thickBot="1">
      <c r="A29" s="27"/>
      <c r="B29" s="501"/>
      <c r="C29" s="301" t="str">
        <f>IF('5. Area Habitats'!D21=0,"",'5. Area Habitats'!D21)</f>
        <v/>
      </c>
      <c r="D29" s="307"/>
      <c r="E29" s="308"/>
      <c r="F29" s="27"/>
      <c r="G29" s="27"/>
      <c r="H29" s="27"/>
      <c r="I29" s="27"/>
      <c r="J29" s="27"/>
      <c r="K29" s="63"/>
      <c r="L29" s="63"/>
      <c r="M29" s="63"/>
      <c r="N29" s="63"/>
      <c r="O29" s="63"/>
      <c r="P29" s="63"/>
      <c r="Q29" s="63"/>
      <c r="R29" s="63"/>
      <c r="S29" s="63"/>
      <c r="T29" s="63"/>
      <c r="U29" s="63"/>
      <c r="V29" s="63"/>
      <c r="W29" s="63"/>
      <c r="X29" s="63"/>
      <c r="Y29" s="63"/>
      <c r="Z29" s="63"/>
      <c r="AA29" s="63"/>
      <c r="AB29" s="63"/>
      <c r="AC29" s="63"/>
      <c r="AD29" s="63"/>
      <c r="AE29" s="63"/>
      <c r="AF29" s="63"/>
      <c r="AG29" s="63"/>
      <c r="AH29" s="63"/>
    </row>
    <row r="30" spans="1:34" ht="33" customHeight="1">
      <c r="A30" s="27"/>
      <c r="B30" s="500">
        <v>12</v>
      </c>
      <c r="C30" s="265" t="s">
        <v>71</v>
      </c>
      <c r="D30" s="417"/>
      <c r="E30" s="418"/>
      <c r="F30" s="27"/>
      <c r="G30" s="27"/>
      <c r="H30" s="27"/>
      <c r="I30" s="27"/>
      <c r="J30" s="27"/>
      <c r="K30" s="63"/>
      <c r="L30" s="63"/>
      <c r="M30" s="63"/>
      <c r="N30" s="63"/>
      <c r="O30" s="63"/>
      <c r="P30" s="63"/>
      <c r="Q30" s="63"/>
      <c r="R30" s="63"/>
      <c r="S30" s="63"/>
      <c r="T30" s="63"/>
      <c r="U30" s="63"/>
      <c r="V30" s="63"/>
      <c r="W30" s="63"/>
      <c r="X30" s="63"/>
      <c r="Y30" s="63"/>
      <c r="Z30" s="63"/>
      <c r="AA30" s="63"/>
      <c r="AB30" s="63"/>
      <c r="AC30" s="63"/>
      <c r="AD30" s="63"/>
      <c r="AE30" s="63"/>
      <c r="AF30" s="63"/>
      <c r="AG30" s="63"/>
      <c r="AH30" s="63"/>
    </row>
    <row r="31" spans="1:34" ht="303.75" customHeight="1" thickBot="1">
      <c r="A31" s="27"/>
      <c r="B31" s="501"/>
      <c r="C31" s="301" t="str">
        <f>IF('5. Area Habitats'!D22=0,"",'5. Area Habitats'!D22)</f>
        <v/>
      </c>
      <c r="D31" s="307"/>
      <c r="E31" s="308"/>
      <c r="F31" s="27"/>
      <c r="G31" s="27"/>
      <c r="H31" s="27"/>
      <c r="I31" s="27"/>
      <c r="J31" s="27"/>
      <c r="K31" s="63"/>
      <c r="L31" s="63"/>
      <c r="M31" s="63"/>
      <c r="N31" s="63"/>
      <c r="O31" s="63"/>
      <c r="P31" s="63"/>
      <c r="Q31" s="63"/>
      <c r="R31" s="63"/>
      <c r="S31" s="63"/>
      <c r="T31" s="63"/>
      <c r="U31" s="63"/>
      <c r="V31" s="63"/>
      <c r="W31" s="63"/>
      <c r="X31" s="63"/>
      <c r="Y31" s="63"/>
      <c r="Z31" s="63"/>
      <c r="AA31" s="63"/>
      <c r="AB31" s="63"/>
      <c r="AC31" s="63"/>
      <c r="AD31" s="63"/>
      <c r="AE31" s="63"/>
      <c r="AF31" s="63"/>
      <c r="AG31" s="63"/>
      <c r="AH31" s="63"/>
    </row>
    <row r="32" spans="1:34" ht="33" customHeight="1">
      <c r="A32" s="27"/>
      <c r="B32" s="500">
        <v>13</v>
      </c>
      <c r="C32" s="265" t="s">
        <v>71</v>
      </c>
      <c r="D32" s="417"/>
      <c r="E32" s="418"/>
      <c r="F32" s="27"/>
      <c r="G32" s="27"/>
      <c r="H32" s="27"/>
      <c r="I32" s="27"/>
      <c r="J32" s="27"/>
      <c r="K32" s="63"/>
      <c r="L32" s="63"/>
      <c r="M32" s="63"/>
      <c r="N32" s="63"/>
      <c r="O32" s="63"/>
      <c r="P32" s="63"/>
      <c r="Q32" s="63"/>
      <c r="R32" s="63"/>
      <c r="S32" s="63"/>
      <c r="T32" s="63"/>
      <c r="U32" s="63"/>
      <c r="V32" s="63"/>
      <c r="W32" s="63"/>
      <c r="X32" s="63"/>
      <c r="Y32" s="63"/>
      <c r="Z32" s="63"/>
      <c r="AA32" s="63"/>
      <c r="AB32" s="63"/>
      <c r="AC32" s="63"/>
      <c r="AD32" s="63"/>
      <c r="AE32" s="63"/>
      <c r="AF32" s="63"/>
      <c r="AG32" s="63"/>
      <c r="AH32" s="63"/>
    </row>
    <row r="33" spans="1:34" ht="303.75" customHeight="1" thickBot="1">
      <c r="A33" s="27"/>
      <c r="B33" s="501"/>
      <c r="C33" s="301" t="str">
        <f>IF('5. Area Habitats'!D23=0,"",'5. Area Habitats'!D23)</f>
        <v/>
      </c>
      <c r="D33" s="307"/>
      <c r="E33" s="308"/>
      <c r="F33" s="27"/>
      <c r="G33" s="27"/>
      <c r="H33" s="27"/>
      <c r="I33" s="27"/>
      <c r="J33" s="27"/>
      <c r="K33" s="63"/>
      <c r="L33" s="63"/>
      <c r="M33" s="63"/>
      <c r="N33" s="63"/>
      <c r="O33" s="63"/>
      <c r="P33" s="63"/>
      <c r="Q33" s="63"/>
      <c r="R33" s="63"/>
      <c r="S33" s="63"/>
      <c r="T33" s="63"/>
      <c r="U33" s="63"/>
      <c r="V33" s="63"/>
      <c r="W33" s="63"/>
      <c r="X33" s="63"/>
      <c r="Y33" s="63"/>
      <c r="Z33" s="63"/>
      <c r="AA33" s="63"/>
      <c r="AB33" s="63"/>
      <c r="AC33" s="63"/>
      <c r="AD33" s="63"/>
      <c r="AE33" s="63"/>
      <c r="AF33" s="63"/>
      <c r="AG33" s="63"/>
      <c r="AH33" s="63"/>
    </row>
    <row r="34" spans="1:34" ht="33" customHeight="1">
      <c r="A34" s="27"/>
      <c r="B34" s="500">
        <v>14</v>
      </c>
      <c r="C34" s="265" t="s">
        <v>71</v>
      </c>
      <c r="D34" s="417"/>
      <c r="E34" s="418"/>
      <c r="F34" s="27"/>
      <c r="G34" s="27"/>
      <c r="H34" s="27"/>
      <c r="I34" s="27"/>
      <c r="J34" s="27"/>
      <c r="K34" s="63"/>
      <c r="L34" s="63"/>
      <c r="M34" s="63"/>
      <c r="N34" s="63"/>
      <c r="O34" s="63"/>
      <c r="P34" s="63"/>
      <c r="Q34" s="63"/>
      <c r="R34" s="63"/>
      <c r="S34" s="63"/>
      <c r="T34" s="63"/>
      <c r="U34" s="63"/>
      <c r="V34" s="63"/>
      <c r="W34" s="63"/>
      <c r="X34" s="63"/>
      <c r="Y34" s="63"/>
      <c r="Z34" s="63"/>
      <c r="AA34" s="63"/>
      <c r="AB34" s="63"/>
      <c r="AC34" s="63"/>
      <c r="AD34" s="63"/>
      <c r="AE34" s="63"/>
      <c r="AF34" s="63"/>
      <c r="AG34" s="63"/>
      <c r="AH34" s="63"/>
    </row>
    <row r="35" spans="1:34" ht="303.75" customHeight="1" thickBot="1">
      <c r="A35" s="27"/>
      <c r="B35" s="501"/>
      <c r="C35" s="301" t="str">
        <f>IF('5. Area Habitats'!D24=0,"",'5. Area Habitats'!D24)</f>
        <v/>
      </c>
      <c r="D35" s="307"/>
      <c r="E35" s="308"/>
      <c r="F35" s="27"/>
      <c r="G35" s="27"/>
      <c r="H35" s="27"/>
      <c r="I35" s="27"/>
      <c r="J35" s="27"/>
      <c r="K35" s="63"/>
      <c r="L35" s="63"/>
      <c r="M35" s="63"/>
      <c r="N35" s="63"/>
      <c r="O35" s="63"/>
      <c r="P35" s="63"/>
      <c r="Q35" s="63"/>
      <c r="R35" s="63"/>
      <c r="S35" s="63"/>
      <c r="T35" s="63"/>
      <c r="U35" s="63"/>
      <c r="V35" s="63"/>
      <c r="W35" s="63"/>
      <c r="X35" s="63"/>
      <c r="Y35" s="63"/>
      <c r="Z35" s="63"/>
      <c r="AA35" s="63"/>
      <c r="AB35" s="63"/>
      <c r="AC35" s="63"/>
      <c r="AD35" s="63"/>
      <c r="AE35" s="63"/>
      <c r="AF35" s="63"/>
      <c r="AG35" s="63"/>
      <c r="AH35" s="63"/>
    </row>
    <row r="36" spans="1:34" ht="33" customHeight="1">
      <c r="A36" s="27"/>
      <c r="B36" s="500">
        <v>15</v>
      </c>
      <c r="C36" s="265" t="s">
        <v>71</v>
      </c>
      <c r="D36" s="417"/>
      <c r="E36" s="418"/>
      <c r="F36" s="27"/>
      <c r="G36" s="27"/>
      <c r="H36" s="27"/>
      <c r="I36" s="27"/>
      <c r="J36" s="27"/>
      <c r="K36" s="63"/>
      <c r="L36" s="63"/>
      <c r="M36" s="63"/>
      <c r="N36" s="63"/>
      <c r="O36" s="63"/>
      <c r="P36" s="63"/>
      <c r="Q36" s="63"/>
      <c r="R36" s="63"/>
      <c r="S36" s="63"/>
      <c r="T36" s="63"/>
      <c r="U36" s="63"/>
      <c r="V36" s="63"/>
      <c r="W36" s="63"/>
      <c r="X36" s="63"/>
      <c r="Y36" s="63"/>
      <c r="Z36" s="63"/>
      <c r="AA36" s="63"/>
      <c r="AB36" s="63"/>
      <c r="AC36" s="63"/>
      <c r="AD36" s="63"/>
      <c r="AE36" s="63"/>
      <c r="AF36" s="63"/>
      <c r="AG36" s="63"/>
      <c r="AH36" s="63"/>
    </row>
    <row r="37" spans="1:34" ht="303.75" customHeight="1" thickBot="1">
      <c r="A37" s="27"/>
      <c r="B37" s="501"/>
      <c r="C37" s="301" t="str">
        <f>IF('5. Area Habitats'!D25=0,"",'5. Area Habitats'!D25)</f>
        <v/>
      </c>
      <c r="D37" s="307"/>
      <c r="E37" s="308"/>
      <c r="F37" s="27"/>
      <c r="G37" s="27"/>
      <c r="H37" s="27"/>
      <c r="I37" s="27"/>
      <c r="J37" s="27"/>
      <c r="K37" s="63"/>
      <c r="L37" s="63"/>
      <c r="M37" s="63"/>
      <c r="N37" s="63"/>
      <c r="O37" s="63"/>
      <c r="P37" s="63"/>
      <c r="Q37" s="63"/>
      <c r="R37" s="63"/>
      <c r="S37" s="63"/>
      <c r="T37" s="63"/>
      <c r="U37" s="63"/>
      <c r="V37" s="63"/>
      <c r="W37" s="63"/>
      <c r="X37" s="63"/>
      <c r="Y37" s="63"/>
      <c r="Z37" s="63"/>
      <c r="AA37" s="63"/>
      <c r="AB37" s="63"/>
      <c r="AC37" s="63"/>
      <c r="AD37" s="63"/>
      <c r="AE37" s="63"/>
      <c r="AF37" s="63"/>
      <c r="AG37" s="63"/>
      <c r="AH37" s="63"/>
    </row>
    <row r="38" spans="1:34" ht="33" customHeight="1">
      <c r="A38" s="27"/>
      <c r="B38" s="500">
        <v>16</v>
      </c>
      <c r="C38" s="265" t="s">
        <v>71</v>
      </c>
      <c r="D38" s="417"/>
      <c r="E38" s="418"/>
      <c r="F38" s="27"/>
      <c r="G38" s="27"/>
      <c r="H38" s="27"/>
      <c r="I38" s="27"/>
      <c r="J38" s="27"/>
      <c r="K38" s="63"/>
      <c r="L38" s="63"/>
      <c r="M38" s="63"/>
      <c r="N38" s="63"/>
      <c r="O38" s="63"/>
      <c r="P38" s="63"/>
      <c r="Q38" s="63"/>
      <c r="R38" s="63"/>
      <c r="S38" s="63"/>
      <c r="T38" s="63"/>
      <c r="U38" s="63"/>
      <c r="V38" s="63"/>
      <c r="W38" s="63"/>
      <c r="X38" s="63"/>
      <c r="Y38" s="63"/>
      <c r="Z38" s="63"/>
      <c r="AA38" s="63"/>
      <c r="AB38" s="63"/>
      <c r="AC38" s="63"/>
      <c r="AD38" s="63"/>
      <c r="AE38" s="63"/>
      <c r="AF38" s="63"/>
      <c r="AG38" s="63"/>
      <c r="AH38" s="63"/>
    </row>
    <row r="39" spans="1:34" ht="303.75" customHeight="1" thickBot="1">
      <c r="A39" s="27"/>
      <c r="B39" s="501"/>
      <c r="C39" s="301" t="str">
        <f>IF('5. Area Habitats'!D26=0,"",'5. Area Habitats'!D26)</f>
        <v/>
      </c>
      <c r="D39" s="307"/>
      <c r="E39" s="308"/>
      <c r="F39" s="27"/>
      <c r="G39" s="27"/>
      <c r="H39" s="27"/>
      <c r="I39" s="27"/>
      <c r="J39" s="27"/>
      <c r="K39" s="63"/>
      <c r="L39" s="63"/>
      <c r="M39" s="63"/>
      <c r="N39" s="63"/>
      <c r="O39" s="63"/>
      <c r="P39" s="63"/>
      <c r="Q39" s="63"/>
      <c r="R39" s="63"/>
      <c r="S39" s="63"/>
      <c r="T39" s="63"/>
      <c r="U39" s="63"/>
      <c r="V39" s="63"/>
      <c r="W39" s="63"/>
      <c r="X39" s="63"/>
      <c r="Y39" s="63"/>
      <c r="Z39" s="63"/>
      <c r="AA39" s="63"/>
      <c r="AB39" s="63"/>
      <c r="AC39" s="63"/>
      <c r="AD39" s="63"/>
      <c r="AE39" s="63"/>
      <c r="AF39" s="63"/>
      <c r="AG39" s="63"/>
      <c r="AH39" s="63"/>
    </row>
    <row r="40" spans="1:34" ht="33" customHeight="1">
      <c r="A40" s="27"/>
      <c r="B40" s="500">
        <v>17</v>
      </c>
      <c r="C40" s="265" t="s">
        <v>71</v>
      </c>
      <c r="D40" s="417"/>
      <c r="E40" s="418"/>
      <c r="F40" s="27"/>
      <c r="G40" s="27"/>
      <c r="H40" s="27"/>
      <c r="I40" s="27"/>
      <c r="J40" s="27"/>
      <c r="K40" s="63"/>
      <c r="L40" s="63"/>
      <c r="M40" s="63"/>
      <c r="N40" s="63"/>
      <c r="O40" s="63"/>
      <c r="P40" s="63"/>
      <c r="Q40" s="63"/>
      <c r="R40" s="63"/>
      <c r="S40" s="63"/>
      <c r="T40" s="63"/>
      <c r="U40" s="63"/>
      <c r="V40" s="63"/>
      <c r="W40" s="63"/>
      <c r="X40" s="63"/>
      <c r="Y40" s="63"/>
      <c r="Z40" s="63"/>
      <c r="AA40" s="63"/>
      <c r="AB40" s="63"/>
      <c r="AC40" s="63"/>
      <c r="AD40" s="63"/>
      <c r="AE40" s="63"/>
      <c r="AF40" s="63"/>
      <c r="AG40" s="63"/>
      <c r="AH40" s="63"/>
    </row>
    <row r="41" spans="1:34" ht="303.75" customHeight="1" thickBot="1">
      <c r="A41" s="27"/>
      <c r="B41" s="501"/>
      <c r="C41" s="301" t="str">
        <f>IF('5. Area Habitats'!D27=0,"",'5. Area Habitats'!D27)</f>
        <v/>
      </c>
      <c r="D41" s="307"/>
      <c r="E41" s="308"/>
      <c r="F41" s="27"/>
      <c r="G41" s="27"/>
      <c r="H41" s="27"/>
      <c r="I41" s="27"/>
      <c r="J41" s="27"/>
      <c r="K41" s="63"/>
      <c r="L41" s="63"/>
      <c r="M41" s="63"/>
      <c r="N41" s="63"/>
      <c r="O41" s="63"/>
      <c r="P41" s="63"/>
      <c r="Q41" s="63"/>
      <c r="R41" s="63"/>
      <c r="S41" s="63"/>
      <c r="T41" s="63"/>
      <c r="U41" s="63"/>
      <c r="V41" s="63"/>
      <c r="W41" s="63"/>
      <c r="X41" s="63"/>
      <c r="Y41" s="63"/>
      <c r="Z41" s="63"/>
      <c r="AA41" s="63"/>
      <c r="AB41" s="63"/>
      <c r="AC41" s="63"/>
      <c r="AD41" s="63"/>
      <c r="AE41" s="63"/>
      <c r="AF41" s="63"/>
      <c r="AG41" s="63"/>
      <c r="AH41" s="63"/>
    </row>
    <row r="42" spans="1:34" ht="33" customHeight="1">
      <c r="A42" s="27"/>
      <c r="B42" s="500">
        <v>18</v>
      </c>
      <c r="C42" s="265" t="s">
        <v>71</v>
      </c>
      <c r="D42" s="417"/>
      <c r="E42" s="418"/>
      <c r="F42" s="27"/>
      <c r="G42" s="27"/>
      <c r="H42" s="27"/>
      <c r="I42" s="27"/>
      <c r="J42" s="27"/>
      <c r="K42" s="63"/>
      <c r="L42" s="63"/>
      <c r="M42" s="63"/>
      <c r="N42" s="63"/>
      <c r="O42" s="63"/>
      <c r="P42" s="63"/>
      <c r="Q42" s="63"/>
      <c r="R42" s="63"/>
      <c r="S42" s="63"/>
      <c r="T42" s="63"/>
      <c r="U42" s="63"/>
      <c r="V42" s="63"/>
      <c r="W42" s="63"/>
      <c r="X42" s="63"/>
      <c r="Y42" s="63"/>
      <c r="Z42" s="63"/>
      <c r="AA42" s="63"/>
      <c r="AB42" s="63"/>
      <c r="AC42" s="63"/>
      <c r="AD42" s="63"/>
      <c r="AE42" s="63"/>
      <c r="AF42" s="63"/>
      <c r="AG42" s="63"/>
      <c r="AH42" s="63"/>
    </row>
    <row r="43" spans="1:34" ht="303.75" customHeight="1" thickBot="1">
      <c r="A43" s="27"/>
      <c r="B43" s="501"/>
      <c r="C43" s="301" t="str">
        <f>IF('5. Area Habitats'!D28=0,"",'5. Area Habitats'!D28)</f>
        <v/>
      </c>
      <c r="D43" s="307"/>
      <c r="E43" s="308"/>
      <c r="F43" s="27"/>
      <c r="G43" s="27"/>
      <c r="H43" s="27"/>
      <c r="I43" s="27"/>
      <c r="J43" s="27"/>
      <c r="K43" s="63"/>
      <c r="L43" s="63"/>
      <c r="M43" s="63"/>
      <c r="N43" s="63"/>
      <c r="O43" s="63"/>
      <c r="P43" s="63"/>
      <c r="Q43" s="63"/>
      <c r="R43" s="63"/>
      <c r="S43" s="63"/>
      <c r="T43" s="63"/>
      <c r="U43" s="63"/>
      <c r="V43" s="63"/>
      <c r="W43" s="63"/>
      <c r="X43" s="63"/>
      <c r="Y43" s="63"/>
      <c r="Z43" s="63"/>
      <c r="AA43" s="63"/>
      <c r="AB43" s="63"/>
      <c r="AC43" s="63"/>
      <c r="AD43" s="63"/>
      <c r="AE43" s="63"/>
      <c r="AF43" s="63"/>
      <c r="AG43" s="63"/>
      <c r="AH43" s="63"/>
    </row>
    <row r="44" spans="1:34" ht="33" customHeight="1">
      <c r="A44" s="27"/>
      <c r="B44" s="500">
        <v>19</v>
      </c>
      <c r="C44" s="265" t="s">
        <v>71</v>
      </c>
      <c r="D44" s="417"/>
      <c r="E44" s="418"/>
      <c r="F44" s="27"/>
      <c r="G44" s="27"/>
      <c r="H44" s="27"/>
      <c r="I44" s="27"/>
      <c r="J44" s="27"/>
      <c r="K44" s="63"/>
      <c r="L44" s="63"/>
      <c r="M44" s="63"/>
      <c r="N44" s="63"/>
      <c r="O44" s="63"/>
      <c r="P44" s="63"/>
      <c r="Q44" s="63"/>
      <c r="R44" s="63"/>
      <c r="S44" s="63"/>
      <c r="T44" s="63"/>
      <c r="U44" s="63"/>
      <c r="V44" s="63"/>
      <c r="W44" s="63"/>
      <c r="X44" s="63"/>
      <c r="Y44" s="63"/>
      <c r="Z44" s="63"/>
      <c r="AA44" s="63"/>
      <c r="AB44" s="63"/>
      <c r="AC44" s="63"/>
      <c r="AD44" s="63"/>
      <c r="AE44" s="63"/>
      <c r="AF44" s="63"/>
      <c r="AG44" s="63"/>
      <c r="AH44" s="63"/>
    </row>
    <row r="45" spans="1:34" ht="303.75" customHeight="1" thickBot="1">
      <c r="A45" s="27"/>
      <c r="B45" s="501"/>
      <c r="C45" s="301" t="str">
        <f>IF('5. Area Habitats'!D29=0,"",'5. Area Habitats'!D29)</f>
        <v/>
      </c>
      <c r="D45" s="307"/>
      <c r="E45" s="308"/>
      <c r="F45" s="27"/>
      <c r="G45" s="27"/>
      <c r="H45" s="27"/>
      <c r="I45" s="27"/>
      <c r="J45" s="27"/>
      <c r="K45" s="63"/>
      <c r="L45" s="63"/>
      <c r="M45" s="63"/>
      <c r="N45" s="63"/>
      <c r="O45" s="63"/>
      <c r="P45" s="63"/>
      <c r="Q45" s="63"/>
      <c r="R45" s="63"/>
      <c r="S45" s="63"/>
      <c r="T45" s="63"/>
      <c r="U45" s="63"/>
      <c r="V45" s="63"/>
      <c r="W45" s="63"/>
      <c r="X45" s="63"/>
      <c r="Y45" s="63"/>
      <c r="Z45" s="63"/>
      <c r="AA45" s="63"/>
      <c r="AB45" s="63"/>
      <c r="AC45" s="63"/>
      <c r="AD45" s="63"/>
      <c r="AE45" s="63"/>
      <c r="AF45" s="63"/>
      <c r="AG45" s="63"/>
      <c r="AH45" s="63"/>
    </row>
    <row r="46" spans="1:34" ht="33" customHeight="1">
      <c r="A46" s="27"/>
      <c r="B46" s="500">
        <v>20</v>
      </c>
      <c r="C46" s="265" t="s">
        <v>71</v>
      </c>
      <c r="D46" s="417"/>
      <c r="E46" s="418"/>
      <c r="F46" s="27"/>
      <c r="G46" s="27"/>
      <c r="H46" s="27"/>
      <c r="I46" s="27"/>
      <c r="J46" s="27"/>
      <c r="K46" s="63"/>
      <c r="L46" s="63"/>
      <c r="M46" s="63"/>
      <c r="N46" s="63"/>
      <c r="O46" s="63"/>
      <c r="P46" s="63"/>
      <c r="Q46" s="63"/>
      <c r="R46" s="63"/>
      <c r="S46" s="63"/>
      <c r="T46" s="63"/>
      <c r="U46" s="63"/>
      <c r="V46" s="63"/>
      <c r="W46" s="63"/>
      <c r="X46" s="63"/>
      <c r="Y46" s="63"/>
      <c r="Z46" s="63"/>
      <c r="AA46" s="63"/>
      <c r="AB46" s="63"/>
      <c r="AC46" s="63"/>
      <c r="AD46" s="63"/>
      <c r="AE46" s="63"/>
      <c r="AF46" s="63"/>
      <c r="AG46" s="63"/>
      <c r="AH46" s="63"/>
    </row>
    <row r="47" spans="1:34" ht="303.75" customHeight="1" thickBot="1">
      <c r="A47" s="27"/>
      <c r="B47" s="501"/>
      <c r="C47" s="301" t="str">
        <f>IF('5. Area Habitats'!D30=0,"",'5. Area Habitats'!D30)</f>
        <v/>
      </c>
      <c r="D47" s="307"/>
      <c r="E47" s="308"/>
      <c r="F47" s="27"/>
      <c r="G47" s="27"/>
      <c r="H47" s="27"/>
      <c r="I47" s="27"/>
      <c r="J47" s="27"/>
      <c r="K47" s="63"/>
      <c r="L47" s="63"/>
      <c r="M47" s="63"/>
      <c r="N47" s="63"/>
      <c r="O47" s="63"/>
      <c r="P47" s="63"/>
      <c r="Q47" s="63"/>
      <c r="R47" s="63"/>
      <c r="S47" s="63"/>
      <c r="T47" s="63"/>
      <c r="U47" s="63"/>
      <c r="V47" s="63"/>
      <c r="W47" s="63"/>
      <c r="X47" s="63"/>
      <c r="Y47" s="63"/>
      <c r="Z47" s="63"/>
      <c r="AA47" s="63"/>
      <c r="AB47" s="63"/>
      <c r="AC47" s="63"/>
      <c r="AD47" s="63"/>
      <c r="AE47" s="63"/>
      <c r="AF47" s="63"/>
      <c r="AG47" s="63"/>
      <c r="AH47" s="63"/>
    </row>
    <row r="48" spans="1:34">
      <c r="A48" s="27"/>
      <c r="B48" s="27"/>
      <c r="C48" s="27"/>
      <c r="D48" s="27"/>
      <c r="E48" s="27"/>
      <c r="F48" s="27"/>
      <c r="G48" s="27"/>
      <c r="H48" s="27"/>
      <c r="I48" s="27"/>
      <c r="J48" s="27"/>
      <c r="K48" s="63"/>
      <c r="L48" s="63"/>
      <c r="M48" s="63"/>
      <c r="N48" s="63"/>
      <c r="O48" s="63"/>
      <c r="P48" s="63"/>
      <c r="Q48" s="63"/>
      <c r="R48" s="63"/>
      <c r="S48" s="63"/>
      <c r="T48" s="63"/>
      <c r="U48" s="63"/>
      <c r="V48" s="63"/>
      <c r="W48" s="63"/>
      <c r="X48" s="63"/>
      <c r="Y48" s="63"/>
      <c r="Z48" s="63"/>
      <c r="AA48" s="63"/>
      <c r="AB48" s="63"/>
      <c r="AC48" s="63"/>
      <c r="AD48" s="63"/>
      <c r="AE48" s="63"/>
      <c r="AF48" s="63"/>
      <c r="AG48" s="63"/>
      <c r="AH48" s="63"/>
    </row>
    <row r="49" spans="1:34">
      <c r="A49" s="27"/>
      <c r="B49" s="27"/>
      <c r="C49" s="27"/>
      <c r="D49" s="27"/>
      <c r="E49" s="27"/>
      <c r="F49" s="27"/>
      <c r="G49" s="27"/>
      <c r="H49" s="27"/>
      <c r="I49" s="27"/>
      <c r="J49" s="27"/>
      <c r="K49" s="63"/>
      <c r="L49" s="63"/>
      <c r="M49" s="63"/>
      <c r="N49" s="63"/>
      <c r="O49" s="63"/>
      <c r="P49" s="63"/>
      <c r="Q49" s="63"/>
      <c r="R49" s="63"/>
      <c r="S49" s="63"/>
      <c r="T49" s="63"/>
      <c r="U49" s="63"/>
      <c r="V49" s="63"/>
      <c r="W49" s="63"/>
      <c r="X49" s="63"/>
      <c r="Y49" s="63"/>
      <c r="Z49" s="63"/>
      <c r="AA49" s="63"/>
      <c r="AB49" s="63"/>
      <c r="AC49" s="63"/>
      <c r="AD49" s="63"/>
      <c r="AE49" s="63"/>
      <c r="AF49" s="63"/>
      <c r="AG49" s="63"/>
      <c r="AH49" s="63"/>
    </row>
    <row r="50" spans="1:34">
      <c r="A50" s="27"/>
      <c r="B50" s="27"/>
      <c r="C50" s="27"/>
      <c r="D50" s="27"/>
      <c r="E50" s="27"/>
      <c r="F50" s="27"/>
      <c r="G50" s="27"/>
      <c r="H50" s="27"/>
      <c r="I50" s="27"/>
      <c r="J50" s="27"/>
      <c r="K50" s="63"/>
      <c r="L50" s="63"/>
      <c r="M50" s="63"/>
      <c r="N50" s="63"/>
      <c r="O50" s="63"/>
      <c r="P50" s="63"/>
      <c r="Q50" s="63"/>
      <c r="R50" s="63"/>
      <c r="S50" s="63"/>
      <c r="T50" s="63"/>
      <c r="U50" s="63"/>
      <c r="V50" s="63"/>
      <c r="W50" s="63"/>
      <c r="X50" s="63"/>
      <c r="Y50" s="63"/>
      <c r="Z50" s="63"/>
      <c r="AA50" s="63"/>
      <c r="AB50" s="63"/>
      <c r="AC50" s="63"/>
      <c r="AD50" s="63"/>
      <c r="AE50" s="63"/>
      <c r="AF50" s="63"/>
      <c r="AG50" s="63"/>
      <c r="AH50" s="63"/>
    </row>
    <row r="51" spans="1:34">
      <c r="A51" s="27"/>
      <c r="B51" s="27"/>
      <c r="C51" s="27"/>
      <c r="D51" s="27"/>
      <c r="E51" s="27"/>
      <c r="F51" s="27"/>
      <c r="G51" s="27"/>
      <c r="H51" s="27"/>
      <c r="I51" s="27"/>
      <c r="J51" s="27"/>
      <c r="K51" s="63"/>
      <c r="L51" s="63"/>
      <c r="M51" s="63"/>
      <c r="N51" s="63"/>
      <c r="O51" s="63"/>
      <c r="P51" s="63"/>
      <c r="Q51" s="63"/>
      <c r="R51" s="63"/>
      <c r="S51" s="63"/>
      <c r="T51" s="63"/>
      <c r="U51" s="63"/>
      <c r="V51" s="63"/>
      <c r="W51" s="63"/>
      <c r="X51" s="63"/>
      <c r="Y51" s="63"/>
      <c r="Z51" s="63"/>
      <c r="AA51" s="63"/>
      <c r="AB51" s="63"/>
      <c r="AC51" s="63"/>
      <c r="AD51" s="63"/>
      <c r="AE51" s="63"/>
      <c r="AF51" s="63"/>
      <c r="AG51" s="63"/>
      <c r="AH51" s="63"/>
    </row>
    <row r="52" spans="1:34" hidden="1">
      <c r="A52" s="27"/>
      <c r="B52" s="27"/>
      <c r="C52" s="27"/>
      <c r="D52" s="27"/>
      <c r="E52" s="27"/>
      <c r="F52" s="27"/>
      <c r="G52" s="27"/>
      <c r="H52" s="27"/>
      <c r="I52" s="27"/>
      <c r="J52" s="27"/>
      <c r="K52" s="63"/>
      <c r="L52" s="63"/>
      <c r="M52" s="63"/>
      <c r="N52" s="63"/>
      <c r="O52" s="63"/>
      <c r="P52" s="63"/>
      <c r="Q52" s="63"/>
      <c r="R52" s="63"/>
      <c r="S52" s="63"/>
      <c r="T52" s="63"/>
      <c r="U52" s="63"/>
      <c r="V52" s="63"/>
      <c r="W52" s="63"/>
      <c r="X52" s="63"/>
      <c r="Y52" s="63"/>
      <c r="Z52" s="63"/>
      <c r="AA52" s="63"/>
      <c r="AB52" s="63"/>
      <c r="AC52" s="63"/>
      <c r="AD52" s="63"/>
      <c r="AE52" s="63"/>
      <c r="AF52" s="63"/>
      <c r="AG52" s="63"/>
      <c r="AH52" s="63"/>
    </row>
    <row r="53" spans="1:34" hidden="1">
      <c r="A53" s="27"/>
      <c r="B53" s="27"/>
      <c r="C53" s="27"/>
      <c r="D53" s="27"/>
      <c r="E53" s="27"/>
      <c r="F53" s="27"/>
      <c r="G53" s="27"/>
      <c r="H53" s="27"/>
      <c r="I53" s="27"/>
      <c r="J53" s="27"/>
      <c r="K53" s="63"/>
      <c r="L53" s="63"/>
      <c r="M53" s="63"/>
      <c r="N53" s="63"/>
      <c r="O53" s="63"/>
      <c r="P53" s="63"/>
      <c r="Q53" s="63"/>
      <c r="R53" s="63"/>
      <c r="S53" s="63"/>
      <c r="T53" s="63"/>
      <c r="U53" s="63"/>
      <c r="V53" s="63"/>
      <c r="W53" s="63"/>
      <c r="X53" s="63"/>
      <c r="Y53" s="63"/>
      <c r="Z53" s="63"/>
      <c r="AA53" s="63"/>
      <c r="AB53" s="63"/>
      <c r="AC53" s="63"/>
      <c r="AD53" s="63"/>
      <c r="AE53" s="63"/>
      <c r="AF53" s="63"/>
      <c r="AG53" s="63"/>
      <c r="AH53" s="63"/>
    </row>
    <row r="54" spans="1:34" hidden="1">
      <c r="A54" s="27"/>
      <c r="B54" s="27"/>
      <c r="C54" s="27"/>
      <c r="D54" s="27"/>
      <c r="E54" s="27"/>
      <c r="F54" s="27"/>
      <c r="G54" s="27"/>
      <c r="H54" s="27"/>
      <c r="I54" s="27"/>
      <c r="J54" s="27"/>
      <c r="K54" s="63"/>
      <c r="L54" s="63"/>
      <c r="M54" s="63"/>
      <c r="N54" s="63"/>
      <c r="O54" s="63"/>
      <c r="P54" s="63"/>
      <c r="Q54" s="63"/>
      <c r="R54" s="63"/>
      <c r="S54" s="63"/>
      <c r="T54" s="63"/>
      <c r="U54" s="63"/>
      <c r="V54" s="63"/>
      <c r="W54" s="63"/>
      <c r="X54" s="63"/>
      <c r="Y54" s="63"/>
      <c r="Z54" s="63"/>
      <c r="AA54" s="63"/>
      <c r="AB54" s="63"/>
      <c r="AC54" s="63"/>
      <c r="AD54" s="63"/>
      <c r="AE54" s="63"/>
      <c r="AF54" s="63"/>
      <c r="AG54" s="63"/>
      <c r="AH54" s="63"/>
    </row>
    <row r="55" spans="1:34" hidden="1">
      <c r="A55" s="27"/>
      <c r="B55" s="27"/>
      <c r="C55" s="27"/>
      <c r="D55" s="27"/>
      <c r="E55" s="27"/>
      <c r="F55" s="27"/>
      <c r="G55" s="27"/>
      <c r="H55" s="27"/>
      <c r="I55" s="27"/>
      <c r="J55" s="27"/>
      <c r="K55" s="63"/>
      <c r="L55" s="63"/>
      <c r="M55" s="63"/>
      <c r="N55" s="63"/>
      <c r="O55" s="63"/>
      <c r="P55" s="63"/>
      <c r="Q55" s="63"/>
      <c r="R55" s="63"/>
      <c r="S55" s="63"/>
      <c r="T55" s="63"/>
      <c r="U55" s="63"/>
      <c r="V55" s="63"/>
      <c r="W55" s="63"/>
      <c r="X55" s="63"/>
      <c r="Y55" s="63"/>
      <c r="Z55" s="63"/>
      <c r="AA55" s="63"/>
      <c r="AB55" s="63"/>
      <c r="AC55" s="63"/>
      <c r="AD55" s="63"/>
      <c r="AE55" s="63"/>
      <c r="AF55" s="63"/>
      <c r="AG55" s="63"/>
      <c r="AH55" s="63"/>
    </row>
    <row r="56" spans="1:34" hidden="1">
      <c r="A56" s="27"/>
      <c r="B56" s="27"/>
      <c r="C56" s="27"/>
      <c r="D56" s="27"/>
      <c r="E56" s="27"/>
      <c r="F56" s="27"/>
      <c r="G56" s="27"/>
      <c r="H56" s="27"/>
      <c r="I56" s="27"/>
      <c r="J56" s="27"/>
      <c r="K56" s="63"/>
      <c r="L56" s="63"/>
      <c r="M56" s="63"/>
      <c r="N56" s="63"/>
      <c r="O56" s="63"/>
      <c r="P56" s="63"/>
      <c r="Q56" s="63"/>
      <c r="R56" s="63"/>
      <c r="S56" s="63"/>
      <c r="T56" s="63"/>
      <c r="U56" s="63"/>
      <c r="V56" s="63"/>
      <c r="W56" s="63"/>
      <c r="X56" s="63"/>
      <c r="Y56" s="63"/>
      <c r="Z56" s="63"/>
      <c r="AA56" s="63"/>
      <c r="AB56" s="63"/>
      <c r="AC56" s="63"/>
      <c r="AD56" s="63"/>
      <c r="AE56" s="63"/>
      <c r="AF56" s="63"/>
      <c r="AG56" s="63"/>
      <c r="AH56" s="63"/>
    </row>
    <row r="57" spans="1:34" hidden="1">
      <c r="A57" s="27"/>
      <c r="B57" s="27"/>
      <c r="C57" s="27"/>
      <c r="D57" s="27"/>
      <c r="E57" s="27"/>
      <c r="F57" s="27"/>
      <c r="G57" s="27"/>
      <c r="H57" s="27"/>
      <c r="I57" s="27"/>
      <c r="J57" s="27"/>
      <c r="K57" s="63"/>
      <c r="L57" s="63"/>
      <c r="M57" s="63"/>
      <c r="N57" s="63"/>
      <c r="O57" s="63"/>
      <c r="P57" s="63"/>
      <c r="Q57" s="63"/>
      <c r="R57" s="63"/>
      <c r="S57" s="63"/>
      <c r="T57" s="63"/>
      <c r="U57" s="63"/>
      <c r="V57" s="63"/>
      <c r="W57" s="63"/>
      <c r="X57" s="63"/>
      <c r="Y57" s="63"/>
      <c r="Z57" s="63"/>
      <c r="AA57" s="63"/>
      <c r="AB57" s="63"/>
      <c r="AC57" s="63"/>
      <c r="AD57" s="63"/>
      <c r="AE57" s="63"/>
      <c r="AF57" s="63"/>
      <c r="AG57" s="63"/>
      <c r="AH57" s="63"/>
    </row>
    <row r="58" spans="1:34" hidden="1">
      <c r="A58" s="27"/>
      <c r="B58" s="27"/>
      <c r="C58" s="27"/>
      <c r="D58" s="27"/>
      <c r="E58" s="27"/>
      <c r="F58" s="27"/>
      <c r="G58" s="27"/>
      <c r="H58" s="27"/>
      <c r="I58" s="27"/>
      <c r="J58" s="27"/>
      <c r="K58" s="63"/>
      <c r="L58" s="63"/>
      <c r="M58" s="63"/>
      <c r="N58" s="63"/>
      <c r="O58" s="63"/>
      <c r="P58" s="63"/>
      <c r="Q58" s="63"/>
      <c r="R58" s="63"/>
      <c r="S58" s="63"/>
      <c r="T58" s="63"/>
      <c r="U58" s="63"/>
      <c r="V58" s="63"/>
      <c r="W58" s="63"/>
      <c r="X58" s="63"/>
      <c r="Y58" s="63"/>
      <c r="Z58" s="63"/>
      <c r="AA58" s="63"/>
      <c r="AB58" s="63"/>
      <c r="AC58" s="63"/>
      <c r="AD58" s="63"/>
      <c r="AE58" s="63"/>
      <c r="AF58" s="63"/>
      <c r="AG58" s="63"/>
      <c r="AH58" s="63"/>
    </row>
    <row r="59" spans="1:34" hidden="1">
      <c r="A59" s="27"/>
      <c r="B59" s="27"/>
      <c r="C59" s="27"/>
      <c r="D59" s="27"/>
      <c r="E59" s="27"/>
      <c r="F59" s="27"/>
      <c r="G59" s="27"/>
      <c r="H59" s="27"/>
      <c r="I59" s="27"/>
      <c r="J59" s="27"/>
      <c r="K59" s="63"/>
      <c r="L59" s="63"/>
      <c r="M59" s="63"/>
      <c r="N59" s="63"/>
      <c r="O59" s="63"/>
      <c r="P59" s="63"/>
      <c r="Q59" s="63"/>
      <c r="R59" s="63"/>
      <c r="S59" s="63"/>
      <c r="T59" s="63"/>
      <c r="U59" s="63"/>
      <c r="V59" s="63"/>
      <c r="W59" s="63"/>
      <c r="X59" s="63"/>
      <c r="Y59" s="63"/>
      <c r="Z59" s="63"/>
      <c r="AA59" s="63"/>
      <c r="AB59" s="63"/>
      <c r="AC59" s="63"/>
      <c r="AD59" s="63"/>
      <c r="AE59" s="63"/>
      <c r="AF59" s="63"/>
      <c r="AG59" s="63"/>
      <c r="AH59" s="63"/>
    </row>
    <row r="60" spans="1:34" hidden="1">
      <c r="A60" s="27"/>
      <c r="B60" s="27"/>
      <c r="C60" s="27"/>
      <c r="D60" s="27"/>
      <c r="E60" s="27"/>
      <c r="F60" s="27"/>
      <c r="G60" s="27"/>
      <c r="H60" s="27"/>
      <c r="I60" s="27"/>
      <c r="J60" s="27"/>
      <c r="K60" s="63"/>
      <c r="L60" s="63"/>
      <c r="M60" s="63"/>
      <c r="N60" s="63"/>
      <c r="O60" s="63"/>
      <c r="P60" s="63"/>
      <c r="Q60" s="63"/>
      <c r="R60" s="63"/>
      <c r="S60" s="63"/>
      <c r="T60" s="63"/>
      <c r="U60" s="63"/>
      <c r="V60" s="63"/>
      <c r="W60" s="63"/>
      <c r="X60" s="63"/>
      <c r="Y60" s="63"/>
      <c r="Z60" s="63"/>
      <c r="AA60" s="63"/>
      <c r="AB60" s="63"/>
      <c r="AC60" s="63"/>
      <c r="AD60" s="63"/>
      <c r="AE60" s="63"/>
      <c r="AF60" s="63"/>
      <c r="AG60" s="63"/>
      <c r="AH60" s="63"/>
    </row>
    <row r="61" spans="1:34" hidden="1">
      <c r="A61" s="27"/>
      <c r="B61" s="27"/>
      <c r="C61" s="27"/>
      <c r="D61" s="27"/>
      <c r="E61" s="27"/>
      <c r="F61" s="27"/>
      <c r="G61" s="27"/>
      <c r="H61" s="27"/>
      <c r="I61" s="27"/>
      <c r="J61" s="27"/>
      <c r="K61" s="63"/>
      <c r="L61" s="63"/>
      <c r="M61" s="63"/>
      <c r="N61" s="63"/>
      <c r="O61" s="63"/>
      <c r="P61" s="63"/>
      <c r="Q61" s="63"/>
      <c r="R61" s="63"/>
      <c r="S61" s="63"/>
      <c r="T61" s="63"/>
      <c r="U61" s="63"/>
      <c r="V61" s="63"/>
      <c r="W61" s="63"/>
      <c r="X61" s="63"/>
      <c r="Y61" s="63"/>
      <c r="Z61" s="63"/>
      <c r="AA61" s="63"/>
      <c r="AB61" s="63"/>
      <c r="AC61" s="63"/>
      <c r="AD61" s="63"/>
      <c r="AE61" s="63"/>
      <c r="AF61" s="63"/>
      <c r="AG61" s="63"/>
      <c r="AH61" s="63"/>
    </row>
    <row r="62" spans="1:34" hidden="1">
      <c r="A62" s="27"/>
      <c r="B62" s="27"/>
      <c r="C62" s="27"/>
      <c r="D62" s="27"/>
      <c r="E62" s="27"/>
      <c r="F62" s="27"/>
      <c r="G62" s="27"/>
      <c r="H62" s="27"/>
      <c r="I62" s="27"/>
      <c r="J62" s="27"/>
      <c r="K62" s="63"/>
      <c r="L62" s="63"/>
      <c r="M62" s="63"/>
      <c r="N62" s="63"/>
      <c r="O62" s="63"/>
      <c r="P62" s="63"/>
      <c r="Q62" s="63"/>
      <c r="R62" s="63"/>
      <c r="S62" s="63"/>
      <c r="T62" s="63"/>
      <c r="U62" s="63"/>
      <c r="V62" s="63"/>
      <c r="W62" s="63"/>
      <c r="X62" s="63"/>
      <c r="Y62" s="63"/>
      <c r="Z62" s="63"/>
      <c r="AA62" s="63"/>
      <c r="AB62" s="63"/>
      <c r="AC62" s="63"/>
      <c r="AD62" s="63"/>
      <c r="AE62" s="63"/>
      <c r="AF62" s="63"/>
      <c r="AG62" s="63"/>
      <c r="AH62" s="63"/>
    </row>
    <row r="63" spans="1:34" hidden="1">
      <c r="A63" s="27"/>
      <c r="B63" s="27"/>
      <c r="C63" s="27"/>
      <c r="D63" s="27"/>
      <c r="E63" s="27"/>
      <c r="F63" s="27"/>
      <c r="G63" s="27"/>
      <c r="H63" s="27"/>
      <c r="I63" s="27"/>
      <c r="J63" s="27"/>
      <c r="K63" s="63"/>
      <c r="L63" s="63"/>
      <c r="M63" s="63"/>
      <c r="N63" s="63"/>
      <c r="O63" s="63"/>
      <c r="P63" s="63"/>
      <c r="Q63" s="63"/>
      <c r="R63" s="63"/>
      <c r="S63" s="63"/>
      <c r="T63" s="63"/>
      <c r="U63" s="63"/>
      <c r="V63" s="63"/>
      <c r="W63" s="63"/>
      <c r="X63" s="63"/>
      <c r="Y63" s="63"/>
      <c r="Z63" s="63"/>
      <c r="AA63" s="63"/>
      <c r="AB63" s="63"/>
      <c r="AC63" s="63"/>
      <c r="AD63" s="63"/>
      <c r="AE63" s="63"/>
      <c r="AF63" s="63"/>
      <c r="AG63" s="63"/>
      <c r="AH63" s="63"/>
    </row>
    <row r="64" spans="1:34" hidden="1">
      <c r="A64" s="27"/>
      <c r="B64" s="27"/>
      <c r="C64" s="27"/>
      <c r="D64" s="27"/>
      <c r="E64" s="27"/>
      <c r="F64" s="27"/>
      <c r="G64" s="27"/>
      <c r="H64" s="27"/>
      <c r="I64" s="27"/>
      <c r="J64" s="27"/>
      <c r="K64" s="63"/>
      <c r="L64" s="63"/>
      <c r="M64" s="63"/>
      <c r="N64" s="63"/>
      <c r="O64" s="63"/>
      <c r="P64" s="63"/>
      <c r="Q64" s="63"/>
      <c r="R64" s="63"/>
      <c r="S64" s="63"/>
      <c r="T64" s="63"/>
      <c r="U64" s="63"/>
      <c r="V64" s="63"/>
      <c r="W64" s="63"/>
      <c r="X64" s="63"/>
      <c r="Y64" s="63"/>
      <c r="Z64" s="63"/>
      <c r="AA64" s="63"/>
      <c r="AB64" s="63"/>
      <c r="AC64" s="63"/>
      <c r="AD64" s="63"/>
      <c r="AE64" s="63"/>
      <c r="AF64" s="63"/>
      <c r="AG64" s="63"/>
      <c r="AH64" s="63"/>
    </row>
    <row r="65" spans="1:34" hidden="1">
      <c r="A65" s="27"/>
      <c r="B65" s="27"/>
      <c r="C65" s="27"/>
      <c r="D65" s="27"/>
      <c r="E65" s="27"/>
      <c r="F65" s="27"/>
      <c r="G65" s="27"/>
      <c r="H65" s="27"/>
      <c r="I65" s="27"/>
      <c r="J65" s="27"/>
      <c r="K65" s="63"/>
      <c r="L65" s="63"/>
      <c r="M65" s="63"/>
      <c r="N65" s="63"/>
      <c r="O65" s="63"/>
      <c r="P65" s="63"/>
      <c r="Q65" s="63"/>
      <c r="R65" s="63"/>
      <c r="S65" s="63"/>
      <c r="T65" s="63"/>
      <c r="U65" s="63"/>
      <c r="V65" s="63"/>
      <c r="W65" s="63"/>
      <c r="X65" s="63"/>
      <c r="Y65" s="63"/>
      <c r="Z65" s="63"/>
      <c r="AA65" s="63"/>
      <c r="AB65" s="63"/>
      <c r="AC65" s="63"/>
      <c r="AD65" s="63"/>
      <c r="AE65" s="63"/>
      <c r="AF65" s="63"/>
      <c r="AG65" s="63"/>
      <c r="AH65" s="63"/>
    </row>
    <row r="66" spans="1:34" hidden="1">
      <c r="A66" s="27"/>
      <c r="B66" s="27"/>
      <c r="C66" s="27"/>
      <c r="D66" s="27"/>
      <c r="E66" s="27"/>
      <c r="F66" s="27"/>
      <c r="G66" s="27"/>
      <c r="H66" s="27"/>
      <c r="I66" s="27"/>
      <c r="J66" s="27"/>
      <c r="K66" s="63"/>
      <c r="L66" s="63"/>
      <c r="M66" s="63"/>
      <c r="N66" s="63"/>
      <c r="O66" s="63"/>
      <c r="P66" s="63"/>
      <c r="Q66" s="63"/>
      <c r="R66" s="63"/>
      <c r="S66" s="63"/>
      <c r="T66" s="63"/>
      <c r="U66" s="63"/>
      <c r="V66" s="63"/>
      <c r="W66" s="63"/>
      <c r="X66" s="63"/>
      <c r="Y66" s="63"/>
      <c r="Z66" s="63"/>
      <c r="AA66" s="63"/>
      <c r="AB66" s="63"/>
      <c r="AC66" s="63"/>
      <c r="AD66" s="63"/>
      <c r="AE66" s="63"/>
      <c r="AF66" s="63"/>
      <c r="AG66" s="63"/>
      <c r="AH66" s="63"/>
    </row>
    <row r="67" spans="1:34" hidden="1">
      <c r="A67" s="27"/>
      <c r="B67" s="27"/>
      <c r="C67" s="27"/>
      <c r="D67" s="27"/>
      <c r="E67" s="27"/>
      <c r="F67" s="27"/>
      <c r="G67" s="27"/>
      <c r="H67" s="27"/>
      <c r="I67" s="27"/>
      <c r="J67" s="27"/>
      <c r="K67" s="63"/>
      <c r="L67" s="63"/>
      <c r="M67" s="63"/>
      <c r="N67" s="63"/>
      <c r="O67" s="63"/>
      <c r="P67" s="63"/>
      <c r="Q67" s="63"/>
      <c r="R67" s="63"/>
      <c r="S67" s="63"/>
      <c r="T67" s="63"/>
      <c r="U67" s="63"/>
      <c r="V67" s="63"/>
      <c r="W67" s="63"/>
      <c r="X67" s="63"/>
      <c r="Y67" s="63"/>
      <c r="Z67" s="63"/>
      <c r="AA67" s="63"/>
      <c r="AB67" s="63"/>
      <c r="AC67" s="63"/>
      <c r="AD67" s="63"/>
      <c r="AE67" s="63"/>
      <c r="AF67" s="63"/>
      <c r="AG67" s="63"/>
      <c r="AH67" s="63"/>
    </row>
    <row r="68" spans="1:34" hidden="1">
      <c r="A68" s="27"/>
      <c r="B68" s="27"/>
      <c r="C68" s="27"/>
      <c r="D68" s="27"/>
      <c r="E68" s="27"/>
      <c r="F68" s="27"/>
      <c r="G68" s="27"/>
      <c r="H68" s="27"/>
      <c r="I68" s="27"/>
      <c r="J68" s="27"/>
      <c r="K68" s="63"/>
      <c r="L68" s="63"/>
      <c r="M68" s="63"/>
      <c r="N68" s="63"/>
      <c r="O68" s="63"/>
      <c r="P68" s="63"/>
      <c r="Q68" s="63"/>
      <c r="R68" s="63"/>
      <c r="S68" s="63"/>
      <c r="T68" s="63"/>
      <c r="U68" s="63"/>
      <c r="V68" s="63"/>
      <c r="W68" s="63"/>
      <c r="X68" s="63"/>
      <c r="Y68" s="63"/>
      <c r="Z68" s="63"/>
      <c r="AA68" s="63"/>
      <c r="AB68" s="63"/>
      <c r="AC68" s="63"/>
      <c r="AD68" s="63"/>
      <c r="AE68" s="63"/>
      <c r="AF68" s="63"/>
      <c r="AG68" s="63"/>
      <c r="AH68" s="63"/>
    </row>
    <row r="69" spans="1:34" hidden="1">
      <c r="A69" s="27"/>
      <c r="B69" s="27"/>
      <c r="C69" s="27"/>
      <c r="D69" s="27"/>
      <c r="E69" s="27"/>
      <c r="F69" s="27"/>
      <c r="G69" s="27"/>
      <c r="H69" s="27"/>
      <c r="I69" s="27"/>
      <c r="J69" s="27"/>
      <c r="K69" s="63"/>
      <c r="L69" s="63"/>
      <c r="M69" s="63"/>
      <c r="N69" s="63"/>
      <c r="O69" s="63"/>
      <c r="P69" s="63"/>
      <c r="Q69" s="63"/>
      <c r="R69" s="63"/>
      <c r="S69" s="63"/>
      <c r="T69" s="63"/>
      <c r="U69" s="63"/>
      <c r="V69" s="63"/>
      <c r="W69" s="63"/>
      <c r="X69" s="63"/>
      <c r="Y69" s="63"/>
      <c r="Z69" s="63"/>
      <c r="AA69" s="63"/>
      <c r="AB69" s="63"/>
      <c r="AC69" s="63"/>
      <c r="AD69" s="63"/>
      <c r="AE69" s="63"/>
      <c r="AF69" s="63"/>
      <c r="AG69" s="63"/>
      <c r="AH69" s="63"/>
    </row>
    <row r="70" spans="1:34" hidden="1">
      <c r="A70" s="27"/>
      <c r="B70" s="27"/>
      <c r="C70" s="27"/>
      <c r="D70" s="27"/>
      <c r="E70" s="27"/>
      <c r="F70" s="27"/>
      <c r="G70" s="27"/>
      <c r="H70" s="27"/>
      <c r="I70" s="27"/>
      <c r="J70" s="27"/>
      <c r="K70" s="63"/>
      <c r="L70" s="63"/>
      <c r="M70" s="63"/>
      <c r="N70" s="63"/>
      <c r="O70" s="63"/>
      <c r="P70" s="63"/>
      <c r="Q70" s="63"/>
      <c r="R70" s="63"/>
      <c r="S70" s="63"/>
      <c r="T70" s="63"/>
      <c r="U70" s="63"/>
      <c r="V70" s="63"/>
      <c r="W70" s="63"/>
      <c r="X70" s="63"/>
      <c r="Y70" s="63"/>
      <c r="Z70" s="63"/>
      <c r="AA70" s="63"/>
      <c r="AB70" s="63"/>
      <c r="AC70" s="63"/>
      <c r="AD70" s="63"/>
      <c r="AE70" s="63"/>
      <c r="AF70" s="63"/>
      <c r="AG70" s="63"/>
      <c r="AH70" s="63"/>
    </row>
    <row r="71" spans="1:34" hidden="1">
      <c r="A71" s="27"/>
      <c r="B71" s="27"/>
      <c r="C71" s="27"/>
      <c r="D71" s="27"/>
      <c r="E71" s="27"/>
      <c r="F71" s="27"/>
      <c r="G71" s="27"/>
      <c r="H71" s="27"/>
      <c r="I71" s="27"/>
      <c r="J71" s="27"/>
      <c r="K71" s="63"/>
      <c r="L71" s="63"/>
      <c r="M71" s="63"/>
      <c r="N71" s="63"/>
      <c r="O71" s="63"/>
      <c r="P71" s="63"/>
      <c r="Q71" s="63"/>
      <c r="R71" s="63"/>
      <c r="S71" s="63"/>
      <c r="T71" s="63"/>
      <c r="U71" s="63"/>
      <c r="V71" s="63"/>
      <c r="W71" s="63"/>
      <c r="X71" s="63"/>
      <c r="Y71" s="63"/>
      <c r="Z71" s="63"/>
      <c r="AA71" s="63"/>
      <c r="AB71" s="63"/>
      <c r="AC71" s="63"/>
      <c r="AD71" s="63"/>
      <c r="AE71" s="63"/>
      <c r="AF71" s="63"/>
      <c r="AG71" s="63"/>
      <c r="AH71" s="63"/>
    </row>
    <row r="72" spans="1:34" hidden="1">
      <c r="A72" s="27"/>
      <c r="B72" s="27"/>
      <c r="C72" s="27"/>
      <c r="D72" s="27"/>
      <c r="E72" s="27"/>
      <c r="F72" s="27"/>
      <c r="G72" s="27"/>
      <c r="H72" s="27"/>
      <c r="I72" s="27"/>
      <c r="J72" s="27"/>
      <c r="K72" s="63"/>
      <c r="L72" s="63"/>
      <c r="M72" s="63"/>
      <c r="N72" s="63"/>
      <c r="O72" s="63"/>
      <c r="P72" s="63"/>
      <c r="Q72" s="63"/>
      <c r="R72" s="63"/>
      <c r="S72" s="63"/>
      <c r="T72" s="63"/>
      <c r="U72" s="63"/>
      <c r="V72" s="63"/>
      <c r="W72" s="63"/>
      <c r="X72" s="63"/>
      <c r="Y72" s="63"/>
      <c r="Z72" s="63"/>
      <c r="AA72" s="63"/>
      <c r="AB72" s="63"/>
      <c r="AC72" s="63"/>
      <c r="AD72" s="63"/>
      <c r="AE72" s="63"/>
      <c r="AF72" s="63"/>
      <c r="AG72" s="63"/>
      <c r="AH72" s="63"/>
    </row>
    <row r="73" spans="1:34" hidden="1">
      <c r="A73" s="27"/>
      <c r="B73" s="27"/>
      <c r="C73" s="27"/>
      <c r="D73" s="27"/>
      <c r="E73" s="27"/>
      <c r="F73" s="27"/>
      <c r="G73" s="27"/>
      <c r="H73" s="27"/>
      <c r="I73" s="27"/>
      <c r="J73" s="27"/>
      <c r="K73" s="63"/>
      <c r="L73" s="63"/>
      <c r="M73" s="63"/>
      <c r="N73" s="63"/>
      <c r="O73" s="63"/>
      <c r="P73" s="63"/>
      <c r="Q73" s="63"/>
      <c r="R73" s="63"/>
      <c r="S73" s="63"/>
      <c r="T73" s="63"/>
      <c r="U73" s="63"/>
      <c r="V73" s="63"/>
      <c r="W73" s="63"/>
      <c r="X73" s="63"/>
      <c r="Y73" s="63"/>
      <c r="Z73" s="63"/>
      <c r="AA73" s="63"/>
      <c r="AB73" s="63"/>
      <c r="AC73" s="63"/>
      <c r="AD73" s="63"/>
      <c r="AE73" s="63"/>
      <c r="AF73" s="63"/>
      <c r="AG73" s="63"/>
      <c r="AH73" s="63"/>
    </row>
    <row r="74" spans="1:34" hidden="1">
      <c r="A74" s="27"/>
      <c r="B74" s="63"/>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row>
    <row r="75" spans="1:34" hidden="1">
      <c r="A75" s="27"/>
      <c r="B75" s="63"/>
      <c r="C75" s="63"/>
      <c r="D75" s="63"/>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3"/>
    </row>
    <row r="76" spans="1:34" hidden="1">
      <c r="A76" s="27"/>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c r="AF76" s="63"/>
      <c r="AG76" s="63"/>
      <c r="AH76" s="63"/>
    </row>
    <row r="77" spans="1:34" hidden="1">
      <c r="A77" s="27"/>
      <c r="B77" s="63"/>
      <c r="C77" s="63"/>
      <c r="D77" s="63"/>
      <c r="E77" s="63"/>
      <c r="F77" s="63"/>
      <c r="G77" s="63"/>
      <c r="H77" s="63"/>
      <c r="I77" s="63"/>
      <c r="J77" s="63"/>
      <c r="K77" s="63"/>
      <c r="L77" s="63"/>
      <c r="M77" s="63"/>
      <c r="N77" s="63"/>
      <c r="O77" s="63"/>
      <c r="P77" s="63"/>
      <c r="Q77" s="63"/>
      <c r="R77" s="63"/>
      <c r="S77" s="63"/>
      <c r="T77" s="63"/>
      <c r="U77" s="63"/>
      <c r="V77" s="63"/>
      <c r="W77" s="63"/>
      <c r="X77" s="63"/>
      <c r="Y77" s="63"/>
      <c r="Z77" s="63"/>
      <c r="AA77" s="63"/>
      <c r="AB77" s="63"/>
      <c r="AC77" s="63"/>
      <c r="AD77" s="63"/>
      <c r="AE77" s="63"/>
      <c r="AF77" s="63"/>
      <c r="AG77" s="63"/>
      <c r="AH77" s="63"/>
    </row>
    <row r="78" spans="1:34" hidden="1">
      <c r="A78" s="27"/>
      <c r="B78" s="63"/>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3"/>
      <c r="AE78" s="63"/>
      <c r="AF78" s="63"/>
      <c r="AG78" s="63"/>
      <c r="AH78" s="63"/>
    </row>
    <row r="79" spans="1:34" hidden="1">
      <c r="A79" s="27"/>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c r="AF79" s="63"/>
      <c r="AG79" s="63"/>
      <c r="AH79" s="63"/>
    </row>
    <row r="80" spans="1:34" hidden="1">
      <c r="A80" s="27"/>
      <c r="B80" s="63"/>
      <c r="C80" s="63"/>
      <c r="D80" s="63"/>
      <c r="E80" s="63"/>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63"/>
    </row>
    <row r="81" spans="1:34" hidden="1">
      <c r="A81" s="27"/>
      <c r="B81" s="63"/>
      <c r="C81" s="63"/>
      <c r="D81" s="63"/>
      <c r="E81" s="63"/>
      <c r="F81" s="63"/>
      <c r="G81" s="63"/>
      <c r="H81" s="63"/>
      <c r="I81" s="63"/>
      <c r="J81" s="63"/>
      <c r="K81" s="63"/>
      <c r="L81" s="63"/>
      <c r="M81" s="63"/>
      <c r="N81" s="63"/>
      <c r="O81" s="63"/>
      <c r="P81" s="63"/>
      <c r="Q81" s="63"/>
      <c r="R81" s="63"/>
      <c r="S81" s="63"/>
      <c r="T81" s="63"/>
      <c r="U81" s="63"/>
      <c r="V81" s="63"/>
      <c r="W81" s="63"/>
      <c r="X81" s="63"/>
      <c r="Y81" s="63"/>
      <c r="Z81" s="63"/>
      <c r="AA81" s="63"/>
      <c r="AB81" s="63"/>
      <c r="AC81" s="63"/>
      <c r="AD81" s="63"/>
      <c r="AE81" s="63"/>
      <c r="AF81" s="63"/>
      <c r="AG81" s="63"/>
      <c r="AH81" s="63"/>
    </row>
    <row r="82" spans="1:34" hidden="1">
      <c r="A82" s="63"/>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c r="AF82" s="63"/>
      <c r="AG82" s="63"/>
      <c r="AH82" s="63"/>
    </row>
    <row r="83" spans="1:34" hidden="1">
      <c r="A83" s="63"/>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row>
    <row r="84" spans="1:34" hidden="1">
      <c r="A84" s="63"/>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row>
    <row r="85" spans="1:34" hidden="1">
      <c r="A85" s="63"/>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c r="AF85" s="63"/>
      <c r="AG85" s="63"/>
      <c r="AH85" s="63"/>
    </row>
    <row r="86" spans="1:34" hidden="1">
      <c r="A86" s="63"/>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row>
    <row r="87" spans="1:34" hidden="1">
      <c r="A87" s="63"/>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c r="AH87" s="63"/>
    </row>
    <row r="88" spans="1:34" hidden="1">
      <c r="A88" s="63"/>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row>
    <row r="89" spans="1:34" hidden="1">
      <c r="A89" s="63"/>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row>
    <row r="90" spans="1:34" hidden="1">
      <c r="A90" s="63"/>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row>
    <row r="91" spans="1:34" hidden="1">
      <c r="A91" s="63"/>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row>
    <row r="92" spans="1:34" hidden="1">
      <c r="A92" s="63"/>
      <c r="B92" s="63"/>
      <c r="C92" s="63"/>
      <c r="D92" s="63"/>
      <c r="E92" s="63"/>
      <c r="F92" s="63"/>
      <c r="G92" s="63"/>
      <c r="H92" s="63"/>
      <c r="I92" s="63"/>
      <c r="J92" s="63"/>
      <c r="K92" s="63"/>
      <c r="L92" s="63"/>
      <c r="M92" s="63"/>
      <c r="N92" s="63"/>
      <c r="O92" s="63"/>
      <c r="P92" s="63"/>
      <c r="Q92" s="63"/>
      <c r="R92" s="63"/>
      <c r="S92" s="63"/>
      <c r="T92" s="63"/>
      <c r="U92" s="63"/>
      <c r="V92" s="63"/>
      <c r="W92" s="63"/>
      <c r="X92" s="63"/>
      <c r="Y92" s="63"/>
      <c r="Z92" s="63"/>
      <c r="AA92" s="63"/>
      <c r="AB92" s="63"/>
      <c r="AC92" s="63"/>
      <c r="AD92" s="63"/>
      <c r="AE92" s="63"/>
      <c r="AF92" s="63"/>
      <c r="AG92" s="63"/>
      <c r="AH92" s="63"/>
    </row>
    <row r="93" spans="1:34" hidden="1">
      <c r="A93" s="63"/>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c r="AF93" s="63"/>
      <c r="AG93" s="63"/>
      <c r="AH93" s="63"/>
    </row>
    <row r="94" spans="1:34" hidden="1">
      <c r="A94" s="63"/>
      <c r="B94" s="63"/>
      <c r="C94" s="63"/>
      <c r="D94" s="63"/>
      <c r="E94" s="63"/>
      <c r="F94" s="63"/>
      <c r="G94" s="63"/>
      <c r="H94" s="63"/>
      <c r="I94" s="63"/>
      <c r="J94" s="63"/>
      <c r="K94" s="63"/>
      <c r="L94" s="63"/>
      <c r="M94" s="63"/>
      <c r="N94" s="63"/>
      <c r="O94" s="63"/>
      <c r="P94" s="63"/>
      <c r="Q94" s="63"/>
      <c r="R94" s="63"/>
      <c r="S94" s="63"/>
      <c r="T94" s="63"/>
      <c r="U94" s="63"/>
      <c r="V94" s="63"/>
      <c r="W94" s="63"/>
      <c r="X94" s="63"/>
      <c r="Y94" s="63"/>
      <c r="Z94" s="63"/>
      <c r="AA94" s="63"/>
      <c r="AB94" s="63"/>
      <c r="AC94" s="63"/>
      <c r="AD94" s="63"/>
      <c r="AE94" s="63"/>
      <c r="AF94" s="63"/>
      <c r="AG94" s="63"/>
      <c r="AH94" s="63"/>
    </row>
    <row r="95" spans="1:34" hidden="1">
      <c r="A95" s="63"/>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63"/>
      <c r="AB95" s="63"/>
      <c r="AC95" s="63"/>
      <c r="AD95" s="63"/>
      <c r="AE95" s="63"/>
      <c r="AF95" s="63"/>
      <c r="AG95" s="63"/>
      <c r="AH95" s="63"/>
    </row>
    <row r="96" spans="1:34" hidden="1">
      <c r="A96" s="63"/>
      <c r="B96" s="63"/>
      <c r="C96" s="63"/>
      <c r="D96" s="63"/>
      <c r="E96" s="63"/>
      <c r="F96" s="63"/>
      <c r="G96" s="63"/>
      <c r="H96" s="63"/>
      <c r="I96" s="63"/>
      <c r="J96" s="63"/>
      <c r="K96" s="63"/>
      <c r="L96" s="63"/>
      <c r="M96" s="63"/>
      <c r="N96" s="63"/>
      <c r="O96" s="63"/>
      <c r="P96" s="63"/>
      <c r="Q96" s="63"/>
      <c r="R96" s="63"/>
      <c r="S96" s="63"/>
      <c r="T96" s="63"/>
      <c r="U96" s="63"/>
      <c r="V96" s="63"/>
      <c r="W96" s="63"/>
      <c r="X96" s="63"/>
      <c r="Y96" s="63"/>
      <c r="Z96" s="63"/>
      <c r="AA96" s="63"/>
      <c r="AB96" s="63"/>
      <c r="AC96" s="63"/>
      <c r="AD96" s="63"/>
      <c r="AE96" s="63"/>
      <c r="AF96" s="63"/>
      <c r="AG96" s="63"/>
      <c r="AH96" s="63"/>
    </row>
    <row r="97" spans="1:34" hidden="1">
      <c r="A97" s="63"/>
      <c r="B97" s="63"/>
      <c r="C97" s="63"/>
      <c r="D97" s="63"/>
      <c r="E97" s="63"/>
      <c r="F97" s="63"/>
      <c r="G97" s="63"/>
      <c r="H97" s="63"/>
      <c r="I97" s="63"/>
      <c r="J97" s="63"/>
      <c r="K97" s="63"/>
      <c r="L97" s="63"/>
      <c r="M97" s="63"/>
      <c r="N97" s="63"/>
      <c r="O97" s="63"/>
      <c r="P97" s="63"/>
      <c r="Q97" s="63"/>
      <c r="R97" s="63"/>
      <c r="S97" s="63"/>
      <c r="T97" s="63"/>
      <c r="U97" s="63"/>
      <c r="V97" s="63"/>
      <c r="W97" s="63"/>
      <c r="X97" s="63"/>
      <c r="Y97" s="63"/>
      <c r="Z97" s="63"/>
      <c r="AA97" s="63"/>
      <c r="AB97" s="63"/>
      <c r="AC97" s="63"/>
      <c r="AD97" s="63"/>
      <c r="AE97" s="63"/>
      <c r="AF97" s="63"/>
      <c r="AG97" s="63"/>
      <c r="AH97" s="63"/>
    </row>
    <row r="98" spans="1:34" hidden="1">
      <c r="A98" s="63"/>
      <c r="B98" s="63"/>
      <c r="C98" s="63"/>
      <c r="D98" s="63"/>
      <c r="E98" s="63"/>
      <c r="F98" s="63"/>
      <c r="G98" s="63"/>
      <c r="H98" s="63"/>
      <c r="I98" s="63"/>
      <c r="J98" s="63"/>
      <c r="K98" s="63"/>
      <c r="L98" s="63"/>
      <c r="M98" s="63"/>
      <c r="N98" s="63"/>
      <c r="O98" s="63"/>
      <c r="P98" s="63"/>
      <c r="Q98" s="63"/>
      <c r="R98" s="63"/>
      <c r="S98" s="63"/>
      <c r="T98" s="63"/>
      <c r="U98" s="63"/>
      <c r="V98" s="63"/>
      <c r="W98" s="63"/>
      <c r="X98" s="63"/>
      <c r="Y98" s="63"/>
      <c r="Z98" s="63"/>
      <c r="AA98" s="63"/>
      <c r="AB98" s="63"/>
      <c r="AC98" s="63"/>
      <c r="AD98" s="63"/>
      <c r="AE98" s="63"/>
      <c r="AF98" s="63"/>
      <c r="AG98" s="63"/>
      <c r="AH98" s="63"/>
    </row>
    <row r="99" spans="1:34" hidden="1">
      <c r="A99" s="63"/>
      <c r="B99" s="63"/>
      <c r="C99" s="63"/>
      <c r="D99" s="63"/>
      <c r="E99" s="63"/>
      <c r="F99" s="63"/>
      <c r="G99" s="63"/>
      <c r="H99" s="63"/>
      <c r="I99" s="63"/>
      <c r="J99" s="63"/>
      <c r="K99" s="63"/>
      <c r="L99" s="63"/>
      <c r="M99" s="63"/>
      <c r="N99" s="63"/>
      <c r="O99" s="63"/>
      <c r="P99" s="63"/>
      <c r="Q99" s="63"/>
      <c r="R99" s="63"/>
      <c r="S99" s="63"/>
      <c r="T99" s="63"/>
      <c r="U99" s="63"/>
      <c r="V99" s="63"/>
      <c r="W99" s="63"/>
      <c r="X99" s="63"/>
      <c r="Y99" s="63"/>
      <c r="Z99" s="63"/>
      <c r="AA99" s="63"/>
      <c r="AB99" s="63"/>
      <c r="AC99" s="63"/>
      <c r="AD99" s="63"/>
      <c r="AE99" s="63"/>
      <c r="AF99" s="63"/>
      <c r="AG99" s="63"/>
      <c r="AH99" s="63"/>
    </row>
    <row r="100" spans="1:34" hidden="1">
      <c r="A100" s="63"/>
      <c r="B100" s="63"/>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c r="AC100" s="63"/>
      <c r="AD100" s="63"/>
      <c r="AE100" s="63"/>
      <c r="AF100" s="63"/>
      <c r="AG100" s="63"/>
      <c r="AH100" s="63"/>
    </row>
    <row r="101" spans="1:34" hidden="1">
      <c r="A101" s="63"/>
      <c r="B101" s="63"/>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c r="AA101" s="63"/>
      <c r="AB101" s="63"/>
      <c r="AC101" s="63"/>
      <c r="AD101" s="63"/>
      <c r="AE101" s="63"/>
      <c r="AF101" s="63"/>
      <c r="AG101" s="63"/>
      <c r="AH101" s="63"/>
    </row>
    <row r="102" spans="1:34" hidden="1">
      <c r="A102" s="63"/>
      <c r="B102" s="63"/>
      <c r="C102" s="63"/>
      <c r="D102" s="63"/>
      <c r="E102" s="63"/>
      <c r="F102" s="63"/>
      <c r="G102" s="63"/>
      <c r="H102" s="63"/>
      <c r="I102" s="63"/>
      <c r="J102" s="63"/>
      <c r="K102" s="63"/>
      <c r="L102" s="63"/>
      <c r="M102" s="63"/>
      <c r="N102" s="63"/>
      <c r="O102" s="63"/>
      <c r="P102" s="63"/>
      <c r="Q102" s="63"/>
      <c r="R102" s="63"/>
      <c r="S102" s="63"/>
      <c r="T102" s="63"/>
      <c r="U102" s="63"/>
      <c r="V102" s="63"/>
      <c r="W102" s="63"/>
      <c r="X102" s="63"/>
      <c r="Y102" s="63"/>
      <c r="Z102" s="63"/>
      <c r="AA102" s="63"/>
      <c r="AB102" s="63"/>
      <c r="AC102" s="63"/>
      <c r="AD102" s="63"/>
      <c r="AE102" s="63"/>
      <c r="AF102" s="63"/>
      <c r="AG102" s="63"/>
      <c r="AH102" s="63"/>
    </row>
    <row r="103" spans="1:34" hidden="1">
      <c r="A103" s="63"/>
      <c r="B103" s="63"/>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A103" s="63"/>
      <c r="AB103" s="63"/>
      <c r="AC103" s="63"/>
      <c r="AD103" s="63"/>
      <c r="AE103" s="63"/>
      <c r="AF103" s="63"/>
      <c r="AG103" s="63"/>
      <c r="AH103" s="63"/>
    </row>
    <row r="104" spans="1:34" hidden="1">
      <c r="A104" s="63"/>
      <c r="B104" s="63"/>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c r="AC104" s="63"/>
      <c r="AD104" s="63"/>
      <c r="AE104" s="63"/>
      <c r="AF104" s="63"/>
      <c r="AG104" s="63"/>
      <c r="AH104" s="63"/>
    </row>
    <row r="105" spans="1:34" hidden="1">
      <c r="A105" s="63"/>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c r="AC105" s="63"/>
      <c r="AD105" s="63"/>
      <c r="AE105" s="63"/>
      <c r="AF105" s="63"/>
      <c r="AG105" s="63"/>
      <c r="AH105" s="63"/>
    </row>
    <row r="106" spans="1:34" hidden="1">
      <c r="A106" s="63"/>
      <c r="B106" s="63"/>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c r="AA106" s="63"/>
      <c r="AB106" s="63"/>
      <c r="AC106" s="63"/>
      <c r="AD106" s="63"/>
      <c r="AE106" s="63"/>
      <c r="AF106" s="63"/>
      <c r="AG106" s="63"/>
      <c r="AH106" s="63"/>
    </row>
    <row r="107" spans="1:34" hidden="1">
      <c r="A107" s="63"/>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row>
    <row r="108" spans="1:34" hidden="1">
      <c r="A108" s="63"/>
      <c r="B108" s="63"/>
      <c r="C108" s="63"/>
      <c r="D108" s="63"/>
      <c r="E108" s="63"/>
      <c r="F108" s="63"/>
      <c r="G108" s="63"/>
      <c r="H108" s="63"/>
      <c r="I108" s="63"/>
      <c r="J108" s="63"/>
      <c r="K108" s="63"/>
      <c r="L108" s="63"/>
      <c r="M108" s="63"/>
      <c r="N108" s="63"/>
      <c r="O108" s="63"/>
      <c r="P108" s="63"/>
      <c r="Q108" s="63"/>
      <c r="R108" s="63"/>
      <c r="S108" s="63"/>
      <c r="T108" s="63"/>
      <c r="U108" s="63"/>
      <c r="V108" s="63"/>
      <c r="W108" s="63"/>
      <c r="X108" s="63"/>
      <c r="Y108" s="63"/>
      <c r="Z108" s="63"/>
      <c r="AA108" s="63"/>
      <c r="AB108" s="63"/>
      <c r="AC108" s="63"/>
      <c r="AD108" s="63"/>
      <c r="AE108" s="63"/>
      <c r="AF108" s="63"/>
      <c r="AG108" s="63"/>
      <c r="AH108" s="63"/>
    </row>
    <row r="109" spans="1:34" hidden="1">
      <c r="A109" s="63"/>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c r="AA109" s="63"/>
      <c r="AB109" s="63"/>
      <c r="AC109" s="63"/>
      <c r="AD109" s="63"/>
      <c r="AE109" s="63"/>
      <c r="AF109" s="63"/>
      <c r="AG109" s="63"/>
      <c r="AH109" s="63"/>
    </row>
    <row r="110" spans="1:34" hidden="1">
      <c r="A110" s="63"/>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c r="AA110" s="63"/>
      <c r="AB110" s="63"/>
      <c r="AC110" s="63"/>
      <c r="AD110" s="63"/>
      <c r="AE110" s="63"/>
      <c r="AF110" s="63"/>
      <c r="AG110" s="63"/>
      <c r="AH110" s="63"/>
    </row>
    <row r="111" spans="1:34" hidden="1">
      <c r="A111" s="63"/>
      <c r="B111" s="63"/>
      <c r="C111" s="63"/>
      <c r="D111" s="63"/>
      <c r="E111" s="63"/>
      <c r="F111" s="63"/>
      <c r="G111" s="63"/>
      <c r="H111" s="63"/>
      <c r="I111" s="63"/>
      <c r="J111" s="63"/>
      <c r="K111" s="63"/>
      <c r="L111" s="63"/>
      <c r="M111" s="63"/>
      <c r="N111" s="63"/>
      <c r="O111" s="63"/>
      <c r="P111" s="63"/>
      <c r="Q111" s="63"/>
      <c r="R111" s="63"/>
      <c r="S111" s="63"/>
      <c r="T111" s="63"/>
      <c r="U111" s="63"/>
      <c r="V111" s="63"/>
      <c r="W111" s="63"/>
      <c r="X111" s="63"/>
      <c r="Y111" s="63"/>
      <c r="Z111" s="63"/>
      <c r="AA111" s="63"/>
      <c r="AB111" s="63"/>
      <c r="AC111" s="63"/>
      <c r="AD111" s="63"/>
      <c r="AE111" s="63"/>
      <c r="AF111" s="63"/>
      <c r="AG111" s="63"/>
      <c r="AH111" s="63"/>
    </row>
    <row r="112" spans="1:34" hidden="1">
      <c r="A112" s="63"/>
      <c r="B112" s="63"/>
      <c r="C112" s="63"/>
      <c r="D112" s="63"/>
      <c r="E112" s="63"/>
      <c r="F112" s="63"/>
      <c r="G112" s="63"/>
      <c r="H112" s="63"/>
      <c r="I112" s="63"/>
      <c r="J112" s="63"/>
      <c r="K112" s="63"/>
      <c r="L112" s="63"/>
      <c r="M112" s="63"/>
      <c r="N112" s="63"/>
      <c r="O112" s="63"/>
      <c r="P112" s="63"/>
      <c r="Q112" s="63"/>
      <c r="R112" s="63"/>
      <c r="S112" s="63"/>
      <c r="T112" s="63"/>
      <c r="U112" s="63"/>
      <c r="V112" s="63"/>
      <c r="W112" s="63"/>
      <c r="X112" s="63"/>
      <c r="Y112" s="63"/>
      <c r="Z112" s="63"/>
      <c r="AA112" s="63"/>
      <c r="AB112" s="63"/>
      <c r="AC112" s="63"/>
      <c r="AD112" s="63"/>
      <c r="AE112" s="63"/>
      <c r="AF112" s="63"/>
      <c r="AG112" s="63"/>
      <c r="AH112" s="63"/>
    </row>
    <row r="113" spans="1:34" hidden="1">
      <c r="A113" s="63"/>
      <c r="B113" s="63"/>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c r="AA113" s="63"/>
      <c r="AB113" s="63"/>
      <c r="AC113" s="63"/>
      <c r="AD113" s="63"/>
      <c r="AE113" s="63"/>
      <c r="AF113" s="63"/>
      <c r="AG113" s="63"/>
      <c r="AH113" s="63"/>
    </row>
    <row r="114" spans="1:34" hidden="1">
      <c r="A114" s="63"/>
      <c r="B114" s="63"/>
      <c r="C114" s="63"/>
      <c r="D114" s="63"/>
      <c r="E114" s="63"/>
      <c r="F114" s="63"/>
      <c r="G114" s="63"/>
      <c r="H114" s="63"/>
      <c r="I114" s="63"/>
      <c r="J114" s="63"/>
      <c r="K114" s="63"/>
      <c r="L114" s="63"/>
      <c r="M114" s="63"/>
      <c r="N114" s="63"/>
      <c r="O114" s="63"/>
      <c r="P114" s="63"/>
      <c r="Q114" s="63"/>
      <c r="R114" s="63"/>
      <c r="S114" s="63"/>
      <c r="T114" s="63"/>
      <c r="U114" s="63"/>
      <c r="V114" s="63"/>
      <c r="W114" s="63"/>
      <c r="X114" s="63"/>
      <c r="Y114" s="63"/>
      <c r="Z114" s="63"/>
      <c r="AA114" s="63"/>
      <c r="AB114" s="63"/>
      <c r="AC114" s="63"/>
      <c r="AD114" s="63"/>
      <c r="AE114" s="63"/>
      <c r="AF114" s="63"/>
      <c r="AG114" s="63"/>
      <c r="AH114" s="63"/>
    </row>
    <row r="115" spans="1:34" hidden="1">
      <c r="A115" s="63"/>
      <c r="B115" s="63"/>
      <c r="C115" s="63"/>
      <c r="D115" s="63"/>
      <c r="E115" s="63"/>
      <c r="F115" s="63"/>
      <c r="G115" s="63"/>
      <c r="H115" s="63"/>
      <c r="I115" s="63"/>
      <c r="J115" s="63"/>
      <c r="K115" s="63"/>
      <c r="L115" s="63"/>
      <c r="M115" s="63"/>
      <c r="N115" s="63"/>
      <c r="O115" s="63"/>
      <c r="P115" s="63"/>
      <c r="Q115" s="63"/>
      <c r="R115" s="63"/>
      <c r="S115" s="63"/>
      <c r="T115" s="63"/>
      <c r="U115" s="63"/>
      <c r="V115" s="63"/>
      <c r="W115" s="63"/>
      <c r="X115" s="63"/>
      <c r="Y115" s="63"/>
      <c r="Z115" s="63"/>
      <c r="AA115" s="63"/>
      <c r="AB115" s="63"/>
      <c r="AC115" s="63"/>
      <c r="AD115" s="63"/>
      <c r="AE115" s="63"/>
      <c r="AF115" s="63"/>
      <c r="AG115" s="63"/>
      <c r="AH115" s="63"/>
    </row>
    <row r="116" spans="1:34" hidden="1">
      <c r="A116" s="63"/>
      <c r="B116" s="63"/>
      <c r="C116" s="63"/>
      <c r="D116" s="63"/>
      <c r="E116" s="63"/>
      <c r="F116" s="63"/>
      <c r="G116" s="63"/>
      <c r="H116" s="63"/>
      <c r="I116" s="63"/>
      <c r="J116" s="63"/>
      <c r="K116" s="63"/>
      <c r="L116" s="63"/>
      <c r="M116" s="63"/>
      <c r="N116" s="63"/>
      <c r="O116" s="63"/>
      <c r="P116" s="63"/>
      <c r="Q116" s="63"/>
      <c r="R116" s="63"/>
      <c r="S116" s="63"/>
      <c r="T116" s="63"/>
      <c r="U116" s="63"/>
      <c r="V116" s="63"/>
      <c r="W116" s="63"/>
      <c r="X116" s="63"/>
      <c r="Y116" s="63"/>
      <c r="Z116" s="63"/>
      <c r="AA116" s="63"/>
      <c r="AB116" s="63"/>
      <c r="AC116" s="63"/>
      <c r="AD116" s="63"/>
      <c r="AE116" s="63"/>
      <c r="AF116" s="63"/>
      <c r="AG116" s="63"/>
      <c r="AH116" s="63"/>
    </row>
    <row r="117" spans="1:34" hidden="1">
      <c r="A117" s="63"/>
      <c r="B117" s="63"/>
      <c r="C117" s="63"/>
      <c r="D117" s="63"/>
      <c r="E117" s="63"/>
      <c r="F117" s="63"/>
      <c r="G117" s="63"/>
      <c r="H117" s="63"/>
      <c r="I117" s="63"/>
      <c r="J117" s="63"/>
      <c r="K117" s="63"/>
      <c r="L117" s="63"/>
      <c r="M117" s="63"/>
      <c r="N117" s="63"/>
      <c r="O117" s="63"/>
      <c r="P117" s="63"/>
      <c r="Q117" s="63"/>
      <c r="R117" s="63"/>
      <c r="S117" s="63"/>
      <c r="T117" s="63"/>
      <c r="U117" s="63"/>
      <c r="V117" s="63"/>
      <c r="W117" s="63"/>
      <c r="X117" s="63"/>
      <c r="Y117" s="63"/>
      <c r="Z117" s="63"/>
      <c r="AA117" s="63"/>
      <c r="AB117" s="63"/>
      <c r="AC117" s="63"/>
      <c r="AD117" s="63"/>
      <c r="AE117" s="63"/>
      <c r="AF117" s="63"/>
      <c r="AG117" s="63"/>
      <c r="AH117" s="63"/>
    </row>
    <row r="118" spans="1:34" hidden="1">
      <c r="A118" s="63"/>
      <c r="B118" s="63"/>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c r="AA118" s="63"/>
      <c r="AB118" s="63"/>
      <c r="AC118" s="63"/>
      <c r="AD118" s="63"/>
      <c r="AE118" s="63"/>
      <c r="AF118" s="63"/>
      <c r="AG118" s="63"/>
      <c r="AH118" s="63"/>
    </row>
    <row r="119" spans="1:34" hidden="1">
      <c r="A119" s="63"/>
      <c r="B119" s="63"/>
      <c r="C119" s="63"/>
      <c r="D119" s="63"/>
      <c r="E119" s="63"/>
      <c r="F119" s="63"/>
      <c r="G119" s="63"/>
      <c r="H119" s="63"/>
      <c r="I119" s="63"/>
      <c r="J119" s="63"/>
      <c r="K119" s="63"/>
      <c r="L119" s="63"/>
      <c r="M119" s="63"/>
      <c r="N119" s="63"/>
      <c r="O119" s="63"/>
      <c r="P119" s="63"/>
      <c r="Q119" s="63"/>
      <c r="R119" s="63"/>
      <c r="S119" s="63"/>
      <c r="T119" s="63"/>
      <c r="U119" s="63"/>
      <c r="V119" s="63"/>
      <c r="W119" s="63"/>
      <c r="X119" s="63"/>
      <c r="Y119" s="63"/>
      <c r="Z119" s="63"/>
      <c r="AA119" s="63"/>
      <c r="AB119" s="63"/>
      <c r="AC119" s="63"/>
      <c r="AD119" s="63"/>
      <c r="AE119" s="63"/>
      <c r="AF119" s="63"/>
      <c r="AG119" s="63"/>
      <c r="AH119" s="63"/>
    </row>
    <row r="120" spans="1:34" hidden="1">
      <c r="A120" s="63"/>
      <c r="B120" s="63"/>
      <c r="C120" s="63"/>
      <c r="D120" s="63"/>
      <c r="E120" s="63"/>
      <c r="F120" s="63"/>
      <c r="G120" s="63"/>
      <c r="H120" s="63"/>
      <c r="I120" s="63"/>
      <c r="J120" s="63"/>
      <c r="K120" s="63"/>
      <c r="L120" s="63"/>
      <c r="M120" s="63"/>
      <c r="N120" s="63"/>
      <c r="O120" s="63"/>
      <c r="P120" s="63"/>
      <c r="Q120" s="63"/>
      <c r="R120" s="63"/>
      <c r="S120" s="63"/>
      <c r="T120" s="63"/>
      <c r="U120" s="63"/>
      <c r="V120" s="63"/>
      <c r="W120" s="63"/>
      <c r="X120" s="63"/>
      <c r="Y120" s="63"/>
      <c r="Z120" s="63"/>
      <c r="AA120" s="63"/>
      <c r="AB120" s="63"/>
      <c r="AC120" s="63"/>
      <c r="AD120" s="63"/>
      <c r="AE120" s="63"/>
      <c r="AF120" s="63"/>
      <c r="AG120" s="63"/>
      <c r="AH120" s="63"/>
    </row>
    <row r="121" spans="1:34" hidden="1">
      <c r="A121" s="63"/>
      <c r="B121" s="63"/>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c r="AA121" s="63"/>
      <c r="AB121" s="63"/>
      <c r="AC121" s="63"/>
      <c r="AD121" s="63"/>
      <c r="AE121" s="63"/>
      <c r="AF121" s="63"/>
      <c r="AG121" s="63"/>
      <c r="AH121" s="63"/>
    </row>
    <row r="122" spans="1:34" hidden="1">
      <c r="A122" s="63"/>
      <c r="B122" s="63"/>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c r="AA122" s="63"/>
      <c r="AB122" s="63"/>
      <c r="AC122" s="63"/>
      <c r="AD122" s="63"/>
      <c r="AE122" s="63"/>
      <c r="AF122" s="63"/>
      <c r="AG122" s="63"/>
      <c r="AH122" s="63"/>
    </row>
    <row r="123" spans="1:34" hidden="1">
      <c r="A123" s="63"/>
      <c r="B123" s="63"/>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c r="AA123" s="63"/>
      <c r="AB123" s="63"/>
      <c r="AC123" s="63"/>
      <c r="AD123" s="63"/>
      <c r="AE123" s="63"/>
      <c r="AF123" s="63"/>
      <c r="AG123" s="63"/>
      <c r="AH123" s="63"/>
    </row>
    <row r="124" spans="1:34" hidden="1">
      <c r="A124" s="63"/>
      <c r="B124" s="63"/>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c r="AA124" s="63"/>
      <c r="AB124" s="63"/>
      <c r="AC124" s="63"/>
      <c r="AD124" s="63"/>
      <c r="AE124" s="63"/>
      <c r="AF124" s="63"/>
      <c r="AG124" s="63"/>
      <c r="AH124" s="63"/>
    </row>
    <row r="125" spans="1:34" hidden="1">
      <c r="A125" s="63"/>
      <c r="B125" s="63"/>
      <c r="C125" s="63"/>
      <c r="D125" s="63"/>
      <c r="E125" s="63"/>
      <c r="F125" s="63"/>
      <c r="G125" s="63"/>
      <c r="H125" s="63"/>
      <c r="I125" s="63"/>
      <c r="J125" s="63"/>
      <c r="K125" s="63"/>
      <c r="L125" s="63"/>
      <c r="M125" s="63"/>
      <c r="N125" s="63"/>
      <c r="O125" s="63"/>
      <c r="P125" s="63"/>
      <c r="Q125" s="63"/>
      <c r="R125" s="63"/>
      <c r="S125" s="63"/>
      <c r="T125" s="63"/>
      <c r="U125" s="63"/>
      <c r="V125" s="63"/>
      <c r="W125" s="63"/>
      <c r="X125" s="63"/>
      <c r="Y125" s="63"/>
      <c r="Z125" s="63"/>
      <c r="AA125" s="63"/>
      <c r="AB125" s="63"/>
      <c r="AC125" s="63"/>
      <c r="AD125" s="63"/>
      <c r="AE125" s="63"/>
      <c r="AF125" s="63"/>
      <c r="AG125" s="63"/>
      <c r="AH125" s="63"/>
    </row>
    <row r="126" spans="1:34" hidden="1">
      <c r="A126" s="63"/>
      <c r="B126" s="63"/>
      <c r="C126" s="63"/>
      <c r="D126" s="63"/>
      <c r="E126" s="63"/>
      <c r="F126" s="63"/>
      <c r="G126" s="63"/>
      <c r="H126" s="63"/>
      <c r="I126" s="63"/>
      <c r="J126" s="63"/>
      <c r="K126" s="63"/>
      <c r="L126" s="63"/>
      <c r="M126" s="63"/>
      <c r="N126" s="63"/>
      <c r="O126" s="63"/>
      <c r="P126" s="63"/>
      <c r="Q126" s="63"/>
      <c r="R126" s="63"/>
      <c r="S126" s="63"/>
      <c r="T126" s="63"/>
      <c r="U126" s="63"/>
      <c r="V126" s="63"/>
      <c r="W126" s="63"/>
      <c r="X126" s="63"/>
      <c r="Y126" s="63"/>
      <c r="Z126" s="63"/>
      <c r="AA126" s="63"/>
      <c r="AB126" s="63"/>
      <c r="AC126" s="63"/>
      <c r="AD126" s="63"/>
      <c r="AE126" s="63"/>
      <c r="AF126" s="63"/>
      <c r="AG126" s="63"/>
      <c r="AH126" s="63"/>
    </row>
    <row r="127" spans="1:34" hidden="1">
      <c r="A127" s="63"/>
      <c r="B127" s="63"/>
      <c r="C127" s="63"/>
      <c r="D127" s="63"/>
      <c r="E127" s="63"/>
      <c r="F127" s="63"/>
      <c r="G127" s="63"/>
      <c r="H127" s="63"/>
      <c r="I127" s="63"/>
      <c r="J127" s="63"/>
      <c r="K127" s="63"/>
      <c r="L127" s="63"/>
      <c r="M127" s="63"/>
      <c r="N127" s="63"/>
      <c r="O127" s="63"/>
      <c r="P127" s="63"/>
      <c r="Q127" s="63"/>
      <c r="R127" s="63"/>
      <c r="S127" s="63"/>
      <c r="T127" s="63"/>
      <c r="U127" s="63"/>
      <c r="V127" s="63"/>
      <c r="W127" s="63"/>
      <c r="X127" s="63"/>
      <c r="Y127" s="63"/>
      <c r="Z127" s="63"/>
      <c r="AA127" s="63"/>
      <c r="AB127" s="63"/>
      <c r="AC127" s="63"/>
      <c r="AD127" s="63"/>
      <c r="AE127" s="63"/>
      <c r="AF127" s="63"/>
      <c r="AG127" s="63"/>
      <c r="AH127" s="63"/>
    </row>
    <row r="128" spans="1:34" hidden="1">
      <c r="A128" s="63"/>
      <c r="B128" s="63"/>
      <c r="C128" s="63"/>
      <c r="D128" s="63"/>
      <c r="E128" s="63"/>
      <c r="F128" s="63"/>
      <c r="G128" s="63"/>
      <c r="H128" s="63"/>
      <c r="I128" s="63"/>
      <c r="J128" s="63"/>
      <c r="K128" s="63"/>
      <c r="L128" s="63"/>
      <c r="M128" s="63"/>
      <c r="N128" s="63"/>
      <c r="O128" s="63"/>
      <c r="P128" s="63"/>
      <c r="Q128" s="63"/>
      <c r="R128" s="63"/>
      <c r="S128" s="63"/>
      <c r="T128" s="63"/>
      <c r="U128" s="63"/>
      <c r="V128" s="63"/>
      <c r="W128" s="63"/>
      <c r="X128" s="63"/>
      <c r="Y128" s="63"/>
      <c r="Z128" s="63"/>
      <c r="AA128" s="63"/>
      <c r="AB128" s="63"/>
      <c r="AC128" s="63"/>
      <c r="AD128" s="63"/>
      <c r="AE128" s="63"/>
      <c r="AF128" s="63"/>
      <c r="AG128" s="63"/>
      <c r="AH128" s="63"/>
    </row>
    <row r="129" spans="1:34" hidden="1">
      <c r="A129" s="63"/>
      <c r="B129" s="63"/>
      <c r="C129" s="63"/>
      <c r="D129" s="63"/>
      <c r="E129" s="63"/>
      <c r="F129" s="63"/>
      <c r="G129" s="63"/>
      <c r="H129" s="63"/>
      <c r="I129" s="63"/>
      <c r="J129" s="63"/>
      <c r="K129" s="63"/>
      <c r="L129" s="63"/>
      <c r="M129" s="63"/>
      <c r="N129" s="63"/>
      <c r="O129" s="63"/>
      <c r="P129" s="63"/>
      <c r="Q129" s="63"/>
      <c r="R129" s="63"/>
      <c r="S129" s="63"/>
      <c r="T129" s="63"/>
      <c r="U129" s="63"/>
      <c r="V129" s="63"/>
      <c r="W129" s="63"/>
      <c r="X129" s="63"/>
      <c r="Y129" s="63"/>
      <c r="Z129" s="63"/>
      <c r="AA129" s="63"/>
      <c r="AB129" s="63"/>
      <c r="AC129" s="63"/>
      <c r="AD129" s="63"/>
      <c r="AE129" s="63"/>
      <c r="AF129" s="63"/>
      <c r="AG129" s="63"/>
      <c r="AH129" s="63"/>
    </row>
    <row r="130" spans="1:34" hidden="1">
      <c r="A130" s="63"/>
      <c r="B130" s="63"/>
      <c r="C130" s="63"/>
      <c r="D130" s="63"/>
      <c r="E130" s="63"/>
      <c r="F130" s="63"/>
      <c r="G130" s="63"/>
      <c r="H130" s="63"/>
      <c r="I130" s="63"/>
      <c r="J130" s="63"/>
      <c r="K130" s="63"/>
      <c r="L130" s="63"/>
      <c r="M130" s="63"/>
      <c r="N130" s="63"/>
      <c r="O130" s="63"/>
      <c r="P130" s="63"/>
      <c r="Q130" s="63"/>
      <c r="R130" s="63"/>
      <c r="S130" s="63"/>
      <c r="T130" s="63"/>
      <c r="U130" s="63"/>
      <c r="V130" s="63"/>
      <c r="W130" s="63"/>
      <c r="X130" s="63"/>
      <c r="Y130" s="63"/>
      <c r="Z130" s="63"/>
      <c r="AA130" s="63"/>
      <c r="AB130" s="63"/>
      <c r="AC130" s="63"/>
      <c r="AD130" s="63"/>
      <c r="AE130" s="63"/>
      <c r="AF130" s="63"/>
      <c r="AG130" s="63"/>
      <c r="AH130" s="63"/>
    </row>
    <row r="131" spans="1:34" hidden="1">
      <c r="A131" s="63"/>
      <c r="B131" s="63"/>
      <c r="C131" s="63"/>
      <c r="D131" s="63"/>
      <c r="E131" s="63"/>
      <c r="F131" s="63"/>
      <c r="G131" s="63"/>
      <c r="H131" s="63"/>
      <c r="I131" s="63"/>
      <c r="J131" s="63"/>
      <c r="K131" s="63"/>
      <c r="L131" s="63"/>
      <c r="M131" s="63"/>
      <c r="N131" s="63"/>
      <c r="O131" s="63"/>
      <c r="P131" s="63"/>
      <c r="Q131" s="63"/>
      <c r="R131" s="63"/>
      <c r="S131" s="63"/>
      <c r="T131" s="63"/>
      <c r="U131" s="63"/>
      <c r="V131" s="63"/>
      <c r="W131" s="63"/>
      <c r="X131" s="63"/>
      <c r="Y131" s="63"/>
      <c r="Z131" s="63"/>
      <c r="AA131" s="63"/>
      <c r="AB131" s="63"/>
      <c r="AC131" s="63"/>
      <c r="AD131" s="63"/>
      <c r="AE131" s="63"/>
      <c r="AF131" s="63"/>
      <c r="AG131" s="63"/>
      <c r="AH131" s="63"/>
    </row>
    <row r="132" spans="1:34" hidden="1">
      <c r="A132" s="63"/>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3"/>
      <c r="Z132" s="63"/>
      <c r="AA132" s="63"/>
      <c r="AB132" s="63"/>
      <c r="AC132" s="63"/>
      <c r="AD132" s="63"/>
      <c r="AE132" s="63"/>
      <c r="AF132" s="63"/>
      <c r="AG132" s="63"/>
      <c r="AH132" s="63"/>
    </row>
    <row r="133" spans="1:34" hidden="1">
      <c r="A133" s="63"/>
      <c r="B133" s="63"/>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c r="AA133" s="63"/>
      <c r="AB133" s="63"/>
      <c r="AC133" s="63"/>
      <c r="AD133" s="63"/>
      <c r="AE133" s="63"/>
      <c r="AF133" s="63"/>
      <c r="AG133" s="63"/>
      <c r="AH133" s="63"/>
    </row>
    <row r="134" spans="1:34" hidden="1">
      <c r="A134" s="63"/>
      <c r="B134" s="63"/>
      <c r="C134" s="63"/>
      <c r="D134" s="63"/>
      <c r="E134" s="63"/>
      <c r="F134" s="63"/>
      <c r="G134" s="63"/>
      <c r="H134" s="63"/>
      <c r="I134" s="63"/>
      <c r="J134" s="63"/>
      <c r="K134" s="63"/>
      <c r="L134" s="63"/>
      <c r="M134" s="63"/>
      <c r="N134" s="63"/>
      <c r="O134" s="63"/>
      <c r="P134" s="63"/>
      <c r="Q134" s="63"/>
      <c r="R134" s="63"/>
      <c r="S134" s="63"/>
      <c r="T134" s="63"/>
      <c r="U134" s="63"/>
      <c r="V134" s="63"/>
      <c r="W134" s="63"/>
      <c r="X134" s="63"/>
      <c r="Y134" s="63"/>
      <c r="Z134" s="63"/>
      <c r="AA134" s="63"/>
      <c r="AB134" s="63"/>
      <c r="AC134" s="63"/>
      <c r="AD134" s="63"/>
      <c r="AE134" s="63"/>
      <c r="AF134" s="63"/>
      <c r="AG134" s="63"/>
      <c r="AH134" s="63"/>
    </row>
    <row r="135" spans="1:34" hidden="1">
      <c r="A135" s="63"/>
      <c r="B135" s="63"/>
      <c r="C135" s="63"/>
      <c r="D135" s="63"/>
      <c r="E135" s="63"/>
      <c r="F135" s="63"/>
      <c r="G135" s="63"/>
      <c r="H135" s="63"/>
      <c r="I135" s="63"/>
      <c r="J135" s="63"/>
      <c r="K135" s="63"/>
      <c r="L135" s="63"/>
      <c r="M135" s="63"/>
      <c r="N135" s="63"/>
      <c r="O135" s="63"/>
      <c r="P135" s="63"/>
      <c r="Q135" s="63"/>
      <c r="R135" s="63"/>
      <c r="S135" s="63"/>
      <c r="T135" s="63"/>
      <c r="U135" s="63"/>
      <c r="V135" s="63"/>
      <c r="W135" s="63"/>
      <c r="X135" s="63"/>
      <c r="Y135" s="63"/>
      <c r="Z135" s="63"/>
      <c r="AA135" s="63"/>
      <c r="AB135" s="63"/>
      <c r="AC135" s="63"/>
      <c r="AD135" s="63"/>
      <c r="AE135" s="63"/>
      <c r="AF135" s="63"/>
      <c r="AG135" s="63"/>
      <c r="AH135" s="63"/>
    </row>
    <row r="136" spans="1:34" hidden="1">
      <c r="A136" s="63"/>
      <c r="B136" s="63"/>
      <c r="C136" s="63"/>
      <c r="D136" s="63"/>
      <c r="E136" s="63"/>
      <c r="F136" s="63"/>
      <c r="G136" s="63"/>
      <c r="H136" s="63"/>
      <c r="I136" s="63"/>
      <c r="J136" s="63"/>
      <c r="K136" s="63"/>
      <c r="L136" s="63"/>
      <c r="M136" s="63"/>
      <c r="N136" s="63"/>
      <c r="O136" s="63"/>
      <c r="P136" s="63"/>
      <c r="Q136" s="63"/>
      <c r="R136" s="63"/>
      <c r="S136" s="63"/>
      <c r="T136" s="63"/>
      <c r="U136" s="63"/>
      <c r="V136" s="63"/>
      <c r="W136" s="63"/>
      <c r="X136" s="63"/>
      <c r="Y136" s="63"/>
      <c r="Z136" s="63"/>
      <c r="AA136" s="63"/>
      <c r="AB136" s="63"/>
      <c r="AC136" s="63"/>
      <c r="AD136" s="63"/>
      <c r="AE136" s="63"/>
      <c r="AF136" s="63"/>
      <c r="AG136" s="63"/>
      <c r="AH136" s="63"/>
    </row>
    <row r="137" spans="1:34" hidden="1">
      <c r="A137" s="63"/>
      <c r="B137" s="63"/>
      <c r="C137" s="63"/>
      <c r="D137" s="63"/>
      <c r="E137" s="63"/>
      <c r="F137" s="63"/>
      <c r="G137" s="63"/>
      <c r="H137" s="63"/>
      <c r="I137" s="63"/>
      <c r="J137" s="63"/>
      <c r="K137" s="63"/>
      <c r="L137" s="63"/>
      <c r="M137" s="63"/>
      <c r="N137" s="63"/>
      <c r="O137" s="63"/>
      <c r="P137" s="63"/>
      <c r="Q137" s="63"/>
      <c r="R137" s="63"/>
      <c r="S137" s="63"/>
      <c r="T137" s="63"/>
      <c r="U137" s="63"/>
      <c r="V137" s="63"/>
      <c r="W137" s="63"/>
      <c r="X137" s="63"/>
      <c r="Y137" s="63"/>
      <c r="Z137" s="63"/>
      <c r="AA137" s="63"/>
      <c r="AB137" s="63"/>
      <c r="AC137" s="63"/>
      <c r="AD137" s="63"/>
      <c r="AE137" s="63"/>
      <c r="AF137" s="63"/>
      <c r="AG137" s="63"/>
      <c r="AH137" s="63"/>
    </row>
    <row r="138" spans="1:34" hidden="1">
      <c r="A138" s="63"/>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3"/>
      <c r="Z138" s="63"/>
      <c r="AA138" s="63"/>
      <c r="AB138" s="63"/>
      <c r="AC138" s="63"/>
      <c r="AD138" s="63"/>
      <c r="AE138" s="63"/>
      <c r="AF138" s="63"/>
      <c r="AG138" s="63"/>
      <c r="AH138" s="63"/>
    </row>
    <row r="139" spans="1:34" hidden="1">
      <c r="A139" s="63"/>
      <c r="B139" s="63"/>
      <c r="C139" s="63"/>
      <c r="D139" s="63"/>
      <c r="E139" s="63"/>
      <c r="F139" s="63"/>
      <c r="G139" s="63"/>
      <c r="H139" s="63"/>
      <c r="I139" s="63"/>
      <c r="J139" s="63"/>
      <c r="K139" s="63"/>
      <c r="L139" s="63"/>
      <c r="M139" s="63"/>
      <c r="N139" s="63"/>
      <c r="O139" s="63"/>
      <c r="P139" s="63"/>
      <c r="Q139" s="63"/>
      <c r="R139" s="63"/>
      <c r="S139" s="63"/>
      <c r="T139" s="63"/>
      <c r="U139" s="63"/>
      <c r="V139" s="63"/>
      <c r="W139" s="63"/>
      <c r="X139" s="63"/>
      <c r="Y139" s="63"/>
      <c r="Z139" s="63"/>
      <c r="AA139" s="63"/>
      <c r="AB139" s="63"/>
      <c r="AC139" s="63"/>
      <c r="AD139" s="63"/>
      <c r="AE139" s="63"/>
      <c r="AF139" s="63"/>
      <c r="AG139" s="63"/>
      <c r="AH139" s="63"/>
    </row>
    <row r="140" spans="1:34" hidden="1">
      <c r="A140" s="63"/>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3"/>
      <c r="Z140" s="63"/>
      <c r="AA140" s="63"/>
      <c r="AB140" s="63"/>
      <c r="AC140" s="63"/>
      <c r="AD140" s="63"/>
      <c r="AE140" s="63"/>
      <c r="AF140" s="63"/>
      <c r="AG140" s="63"/>
      <c r="AH140" s="63"/>
    </row>
    <row r="141" spans="1:34" hidden="1">
      <c r="A141" s="63"/>
      <c r="B141" s="63"/>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c r="AA141" s="63"/>
      <c r="AB141" s="63"/>
      <c r="AC141" s="63"/>
      <c r="AD141" s="63"/>
      <c r="AE141" s="63"/>
      <c r="AF141" s="63"/>
      <c r="AG141" s="63"/>
      <c r="AH141" s="63"/>
    </row>
    <row r="142" spans="1:34" hidden="1">
      <c r="A142" s="63"/>
      <c r="B142" s="63"/>
      <c r="C142" s="63"/>
      <c r="D142" s="63"/>
      <c r="E142" s="63"/>
      <c r="F142" s="63"/>
      <c r="G142" s="63"/>
      <c r="H142" s="63"/>
      <c r="I142" s="63"/>
      <c r="J142" s="63"/>
      <c r="K142" s="63"/>
      <c r="L142" s="63"/>
      <c r="M142" s="63"/>
      <c r="N142" s="63"/>
      <c r="O142" s="63"/>
      <c r="P142" s="63"/>
      <c r="Q142" s="63"/>
      <c r="R142" s="63"/>
      <c r="S142" s="63"/>
      <c r="T142" s="63"/>
      <c r="U142" s="63"/>
      <c r="V142" s="63"/>
      <c r="W142" s="63"/>
      <c r="X142" s="63"/>
      <c r="Y142" s="63"/>
      <c r="Z142" s="63"/>
      <c r="AA142" s="63"/>
      <c r="AB142" s="63"/>
      <c r="AC142" s="63"/>
      <c r="AD142" s="63"/>
      <c r="AE142" s="63"/>
      <c r="AF142" s="63"/>
      <c r="AG142" s="63"/>
      <c r="AH142" s="63"/>
    </row>
    <row r="143" spans="1:34" hidden="1">
      <c r="A143" s="63"/>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63"/>
      <c r="AB143" s="63"/>
      <c r="AC143" s="63"/>
      <c r="AD143" s="63"/>
      <c r="AE143" s="63"/>
      <c r="AF143" s="63"/>
      <c r="AG143" s="63"/>
      <c r="AH143" s="63"/>
    </row>
    <row r="144" spans="1:34" hidden="1">
      <c r="A144" s="63"/>
      <c r="B144" s="63"/>
      <c r="C144" s="63"/>
      <c r="D144" s="63"/>
      <c r="E144" s="63"/>
      <c r="F144" s="63"/>
      <c r="G144" s="63"/>
      <c r="H144" s="63"/>
      <c r="I144" s="63"/>
      <c r="J144" s="63"/>
      <c r="K144" s="63"/>
      <c r="L144" s="63"/>
      <c r="M144" s="63"/>
      <c r="N144" s="63"/>
      <c r="O144" s="63"/>
      <c r="P144" s="63"/>
      <c r="Q144" s="63"/>
      <c r="R144" s="63"/>
      <c r="S144" s="63"/>
      <c r="T144" s="63"/>
      <c r="U144" s="63"/>
      <c r="V144" s="63"/>
      <c r="W144" s="63"/>
      <c r="X144" s="63"/>
      <c r="Y144" s="63"/>
      <c r="Z144" s="63"/>
      <c r="AA144" s="63"/>
      <c r="AB144" s="63"/>
      <c r="AC144" s="63"/>
      <c r="AD144" s="63"/>
      <c r="AE144" s="63"/>
      <c r="AF144" s="63"/>
      <c r="AG144" s="63"/>
      <c r="AH144" s="63"/>
    </row>
    <row r="145" spans="1:34" hidden="1">
      <c r="A145" s="63"/>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3"/>
      <c r="Z145" s="63"/>
      <c r="AA145" s="63"/>
      <c r="AB145" s="63"/>
      <c r="AC145" s="63"/>
      <c r="AD145" s="63"/>
      <c r="AE145" s="63"/>
      <c r="AF145" s="63"/>
      <c r="AG145" s="63"/>
      <c r="AH145" s="63"/>
    </row>
    <row r="146" spans="1:34" hidden="1">
      <c r="A146" s="63"/>
      <c r="B146" s="63"/>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c r="AA146" s="63"/>
      <c r="AB146" s="63"/>
      <c r="AC146" s="63"/>
      <c r="AD146" s="63"/>
      <c r="AE146" s="63"/>
      <c r="AF146" s="63"/>
      <c r="AG146" s="63"/>
      <c r="AH146" s="63"/>
    </row>
    <row r="147" spans="1:34" hidden="1">
      <c r="A147" s="63"/>
      <c r="B147" s="63"/>
      <c r="C147" s="63"/>
      <c r="D147" s="63"/>
      <c r="E147" s="63"/>
      <c r="F147" s="63"/>
      <c r="G147" s="63"/>
      <c r="H147" s="63"/>
      <c r="I147" s="63"/>
      <c r="J147" s="63"/>
      <c r="K147" s="63"/>
      <c r="L147" s="63"/>
      <c r="M147" s="63"/>
      <c r="N147" s="63"/>
      <c r="O147" s="63"/>
      <c r="P147" s="63"/>
      <c r="Q147" s="63"/>
      <c r="R147" s="63"/>
      <c r="S147" s="63"/>
      <c r="T147" s="63"/>
      <c r="U147" s="63"/>
      <c r="V147" s="63"/>
      <c r="W147" s="63"/>
      <c r="X147" s="63"/>
      <c r="Y147" s="63"/>
      <c r="Z147" s="63"/>
      <c r="AA147" s="63"/>
      <c r="AB147" s="63"/>
      <c r="AC147" s="63"/>
      <c r="AD147" s="63"/>
      <c r="AE147" s="63"/>
      <c r="AF147" s="63"/>
      <c r="AG147" s="63"/>
      <c r="AH147" s="63"/>
    </row>
    <row r="148" spans="1:34" hidden="1">
      <c r="A148" s="63"/>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3"/>
      <c r="Z148" s="63"/>
      <c r="AA148" s="63"/>
      <c r="AB148" s="63"/>
      <c r="AC148" s="63"/>
      <c r="AD148" s="63"/>
      <c r="AE148" s="63"/>
      <c r="AF148" s="63"/>
      <c r="AG148" s="63"/>
      <c r="AH148" s="63"/>
    </row>
    <row r="149" spans="1:34" hidden="1">
      <c r="A149" s="63"/>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c r="AA149" s="63"/>
      <c r="AB149" s="63"/>
      <c r="AC149" s="63"/>
      <c r="AD149" s="63"/>
      <c r="AE149" s="63"/>
      <c r="AF149" s="63"/>
      <c r="AG149" s="63"/>
      <c r="AH149" s="63"/>
    </row>
    <row r="150" spans="1:34" hidden="1">
      <c r="A150" s="63"/>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c r="AA150" s="63"/>
      <c r="AB150" s="63"/>
      <c r="AC150" s="63"/>
      <c r="AD150" s="63"/>
      <c r="AE150" s="63"/>
      <c r="AF150" s="63"/>
      <c r="AG150" s="63"/>
      <c r="AH150" s="63"/>
    </row>
    <row r="151" spans="1:34" hidden="1">
      <c r="A151" s="63"/>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c r="AA151" s="63"/>
      <c r="AB151" s="63"/>
      <c r="AC151" s="63"/>
      <c r="AD151" s="63"/>
      <c r="AE151" s="63"/>
      <c r="AF151" s="63"/>
      <c r="AG151" s="63"/>
      <c r="AH151" s="63"/>
    </row>
    <row r="152" spans="1:34" hidden="1">
      <c r="A152" s="63"/>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3"/>
      <c r="Z152" s="63"/>
      <c r="AA152" s="63"/>
      <c r="AB152" s="63"/>
      <c r="AC152" s="63"/>
      <c r="AD152" s="63"/>
      <c r="AE152" s="63"/>
      <c r="AF152" s="63"/>
      <c r="AG152" s="63"/>
      <c r="AH152" s="63"/>
    </row>
    <row r="153" spans="1:34" hidden="1">
      <c r="A153" s="63"/>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c r="AA153" s="63"/>
      <c r="AB153" s="63"/>
      <c r="AC153" s="63"/>
      <c r="AD153" s="63"/>
      <c r="AE153" s="63"/>
      <c r="AF153" s="63"/>
      <c r="AG153" s="63"/>
      <c r="AH153" s="63"/>
    </row>
    <row r="154" spans="1:34" hidden="1">
      <c r="A154" s="63"/>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3"/>
      <c r="Z154" s="63"/>
      <c r="AA154" s="63"/>
      <c r="AB154" s="63"/>
      <c r="AC154" s="63"/>
      <c r="AD154" s="63"/>
      <c r="AE154" s="63"/>
      <c r="AF154" s="63"/>
      <c r="AG154" s="63"/>
      <c r="AH154" s="63"/>
    </row>
    <row r="155" spans="1:34" hidden="1">
      <c r="A155" s="63"/>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c r="AA155" s="63"/>
      <c r="AB155" s="63"/>
      <c r="AC155" s="63"/>
      <c r="AD155" s="63"/>
      <c r="AE155" s="63"/>
      <c r="AF155" s="63"/>
      <c r="AG155" s="63"/>
      <c r="AH155" s="63"/>
    </row>
    <row r="156" spans="1:34" hidden="1">
      <c r="A156" s="63"/>
      <c r="B156" s="63"/>
      <c r="C156" s="63"/>
      <c r="D156" s="63"/>
      <c r="E156" s="63"/>
      <c r="F156" s="63"/>
      <c r="G156" s="63"/>
      <c r="H156" s="63"/>
      <c r="I156" s="63"/>
      <c r="J156" s="63"/>
      <c r="K156" s="63"/>
      <c r="L156" s="63"/>
      <c r="M156" s="63"/>
      <c r="N156" s="63"/>
      <c r="O156" s="63"/>
      <c r="P156" s="63"/>
      <c r="Q156" s="63"/>
      <c r="R156" s="63"/>
      <c r="S156" s="63"/>
      <c r="T156" s="63"/>
      <c r="U156" s="63"/>
      <c r="V156" s="63"/>
      <c r="W156" s="63"/>
      <c r="X156" s="63"/>
      <c r="Y156" s="63"/>
      <c r="Z156" s="63"/>
      <c r="AA156" s="63"/>
      <c r="AB156" s="63"/>
      <c r="AC156" s="63"/>
      <c r="AD156" s="63"/>
      <c r="AE156" s="63"/>
      <c r="AF156" s="63"/>
      <c r="AG156" s="63"/>
      <c r="AH156" s="63"/>
    </row>
    <row r="157" spans="1:34" hidden="1">
      <c r="A157" s="63"/>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c r="AA157" s="63"/>
      <c r="AB157" s="63"/>
      <c r="AC157" s="63"/>
      <c r="AD157" s="63"/>
      <c r="AE157" s="63"/>
      <c r="AF157" s="63"/>
      <c r="AG157" s="63"/>
      <c r="AH157" s="63"/>
    </row>
    <row r="158" spans="1:34" hidden="1">
      <c r="A158" s="63"/>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63"/>
      <c r="AB158" s="63"/>
      <c r="AC158" s="63"/>
      <c r="AD158" s="63"/>
      <c r="AE158" s="63"/>
      <c r="AF158" s="63"/>
      <c r="AG158" s="63"/>
      <c r="AH158" s="63"/>
    </row>
  </sheetData>
  <sheetProtection algorithmName="SHA-512" hashValue="O82V/M3WX6DZCmIDuxML3QWuQNDtujwa5wL3z9L0nGBm3i7M4NAcYT2O6WxhGTApoheBktPS3aJdzPnHxzrlxQ==" saltValue="Qe0T4ytHlfAueMV2QkTMZw==" spinCount="100000" sheet="1" objects="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360"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92D050"/>
    <pageSetUpPr fitToPage="1"/>
  </sheetPr>
  <dimension ref="A1:DX167"/>
  <sheetViews>
    <sheetView topLeftCell="E35" zoomScale="60" zoomScaleNormal="60" workbookViewId="0">
      <selection activeCell="I98" sqref="I98:K98"/>
    </sheetView>
  </sheetViews>
  <sheetFormatPr defaultColWidth="0" defaultRowHeight="14.45" zeroHeight="1"/>
  <cols>
    <col min="1" max="1" width="4.5703125" customWidth="1"/>
    <col min="2" max="2" width="14.85546875" customWidth="1"/>
    <col min="3" max="3" width="26.42578125" bestFit="1" customWidth="1"/>
    <col min="4" max="4" width="79.85546875" bestFit="1"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7.85546875" customWidth="1"/>
    <col min="13" max="14" width="11.42578125" customWidth="1"/>
    <col min="15" max="16" width="27" customWidth="1"/>
    <col min="17" max="18" width="11.42578125" customWidth="1"/>
    <col min="19" max="19" width="7.140625" customWidth="1"/>
    <col min="20" max="20" width="6" customWidth="1"/>
    <col min="21" max="21" width="14.85546875" customWidth="1"/>
    <col min="22" max="22" width="20.7109375" bestFit="1" customWidth="1"/>
    <col min="23" max="23" width="23.7109375" customWidth="1"/>
    <col min="24" max="24" width="16.85546875" bestFit="1" customWidth="1"/>
    <col min="25" max="25" width="14" customWidth="1"/>
    <col min="26" max="26" width="21.28515625" customWidth="1"/>
    <col min="27" max="27" width="14"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7" width="23.5703125" customWidth="1"/>
    <col min="38" max="38" width="16.7109375" bestFit="1" customWidth="1"/>
    <col min="39" max="39" width="13.28515625"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140625" customWidth="1"/>
    <col min="74" max="74" width="11.5703125" customWidth="1"/>
    <col min="75" max="79" width="8.85546875" customWidth="1"/>
    <col min="80" max="128" width="0" hidden="1" customWidth="1"/>
    <col min="129" max="16384" width="8.85546875" hidden="1"/>
  </cols>
  <sheetData>
    <row r="1" spans="1:128" ht="15.75" customHeight="1" thickBot="1">
      <c r="A1" s="27"/>
      <c r="B1" s="27"/>
      <c r="C1" s="27"/>
      <c r="D1" s="27"/>
      <c r="E1" s="27"/>
      <c r="F1" s="27"/>
      <c r="G1" s="27"/>
      <c r="H1" s="27"/>
      <c r="I1" s="55"/>
      <c r="J1" s="55"/>
      <c r="K1" s="55"/>
      <c r="L1" s="55"/>
      <c r="M1" s="55"/>
      <c r="N1" s="55"/>
      <c r="O1" s="204" t="s">
        <v>72</v>
      </c>
      <c r="P1" s="232">
        <f>SUM(AE11:AE31)</f>
        <v>0.13983999999999999</v>
      </c>
      <c r="Q1" s="27"/>
      <c r="R1" s="568" t="s">
        <v>73</v>
      </c>
      <c r="S1" s="27"/>
      <c r="T1" s="28"/>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c r="BM1" s="27"/>
      <c r="BN1" s="27"/>
      <c r="BO1" s="27"/>
      <c r="BP1" s="27"/>
      <c r="BQ1" s="27"/>
      <c r="BR1" s="27"/>
      <c r="BS1" s="27"/>
      <c r="BT1" s="27"/>
      <c r="BU1" s="27"/>
      <c r="BV1" s="27"/>
      <c r="BW1" s="27"/>
      <c r="BX1" s="27"/>
      <c r="BY1" s="27"/>
      <c r="BZ1" s="27"/>
      <c r="CA1" s="27"/>
      <c r="CB1" s="27"/>
      <c r="CC1" s="27"/>
      <c r="CD1" s="27"/>
      <c r="CE1" s="27"/>
      <c r="CF1" s="27"/>
      <c r="CG1" s="27"/>
      <c r="CH1" s="27"/>
      <c r="CI1" s="27"/>
      <c r="CJ1" s="27"/>
      <c r="CK1" s="27"/>
      <c r="CL1" s="27"/>
      <c r="CM1" s="27"/>
      <c r="CN1" s="27"/>
      <c r="CO1" s="27"/>
      <c r="CP1" s="27"/>
      <c r="CQ1" s="27"/>
      <c r="CR1" s="27"/>
      <c r="CS1" s="27"/>
      <c r="CT1" s="27"/>
      <c r="CU1" s="27"/>
      <c r="CV1" s="27"/>
      <c r="CW1" s="27"/>
      <c r="CX1" s="27"/>
      <c r="CY1" s="27"/>
      <c r="CZ1" s="27"/>
      <c r="DA1" s="27"/>
      <c r="DB1" s="27"/>
      <c r="DC1" s="27"/>
      <c r="DD1" s="27"/>
      <c r="DE1" s="27"/>
      <c r="DF1" s="27"/>
      <c r="DG1" s="27"/>
      <c r="DH1" s="27"/>
      <c r="DI1" s="27"/>
      <c r="DJ1" s="27"/>
      <c r="DK1" s="27"/>
      <c r="DL1" s="27"/>
      <c r="DM1" s="27"/>
      <c r="DN1" s="27"/>
      <c r="DO1" s="27"/>
      <c r="DP1" s="27"/>
      <c r="DQ1" s="27"/>
      <c r="DR1" s="27"/>
      <c r="DS1" s="27"/>
      <c r="DT1" s="27"/>
      <c r="DU1" s="27"/>
      <c r="DV1" s="27"/>
      <c r="DW1" s="27"/>
      <c r="DX1" s="27"/>
    </row>
    <row r="2" spans="1:128" ht="19.899999999999999" customHeight="1">
      <c r="A2" s="27"/>
      <c r="B2" s="85" t="s">
        <v>45</v>
      </c>
      <c r="C2" s="662" t="str">
        <f>IF('2. Site Details'!D5="","Enter site name on 2. Site Details",'2. Site Details'!D5)</f>
        <v>Land off Barnsley Rd, Darton</v>
      </c>
      <c r="D2" s="663"/>
      <c r="E2" s="27"/>
      <c r="F2" s="611" t="s">
        <v>74</v>
      </c>
      <c r="G2" s="612"/>
      <c r="H2" s="613"/>
      <c r="I2" s="86"/>
      <c r="J2" s="624" t="str">
        <f>IFERROR(IF(SUM(O33:O35,O62,O90,J114:J133,J136:J140,O36)&gt;0,"Rule Based Errors Present On Sheet - Red Cells Highlight Errors","All Key Rules Satisfied"),"Technical Errors On Sheet")</f>
        <v>Rule Based Errors Present On Sheet - Red Cells Highlight Errors</v>
      </c>
      <c r="K2" s="624"/>
      <c r="L2" s="624"/>
      <c r="M2" s="624"/>
      <c r="N2" s="86"/>
      <c r="O2" s="88" t="s">
        <v>75</v>
      </c>
      <c r="P2" s="232">
        <f>N32</f>
        <v>0.33579999999999993</v>
      </c>
      <c r="Q2" s="27"/>
      <c r="R2" s="568"/>
      <c r="S2" s="27"/>
      <c r="T2" s="28"/>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row>
    <row r="3" spans="1:128" ht="19.899999999999999" customHeight="1" thickBot="1">
      <c r="A3" s="27"/>
      <c r="B3" s="87" t="s">
        <v>16</v>
      </c>
      <c r="C3" s="664" t="s">
        <v>76</v>
      </c>
      <c r="D3" s="665"/>
      <c r="E3" s="27"/>
      <c r="F3" s="614"/>
      <c r="G3" s="615"/>
      <c r="H3" s="616"/>
      <c r="I3" s="86"/>
      <c r="J3" s="624"/>
      <c r="K3" s="624"/>
      <c r="L3" s="624"/>
      <c r="M3" s="624"/>
      <c r="N3" s="86"/>
      <c r="O3" s="88" t="s">
        <v>77</v>
      </c>
      <c r="P3" s="232">
        <f>L61</f>
        <v>0.63883811708510396</v>
      </c>
      <c r="Q3" s="27"/>
      <c r="R3" s="568"/>
      <c r="S3" s="27"/>
      <c r="T3" s="28"/>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row>
    <row r="4" spans="1:128" ht="19.899999999999999" customHeight="1">
      <c r="A4" s="27"/>
      <c r="B4" s="89"/>
      <c r="C4" s="89"/>
      <c r="D4" s="89"/>
      <c r="E4" s="27"/>
      <c r="F4" s="614"/>
      <c r="G4" s="615"/>
      <c r="H4" s="616"/>
      <c r="I4" s="86"/>
      <c r="J4" s="624"/>
      <c r="K4" s="624"/>
      <c r="L4" s="624"/>
      <c r="M4" s="624"/>
      <c r="N4" s="86"/>
      <c r="O4" s="88" t="s">
        <v>78</v>
      </c>
      <c r="P4" s="232">
        <f>L89</f>
        <v>0</v>
      </c>
      <c r="Q4" s="27"/>
      <c r="R4" s="568"/>
      <c r="S4" s="27"/>
      <c r="T4" s="28"/>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row>
    <row r="5" spans="1:128" ht="19.899999999999999" customHeight="1" thickBot="1">
      <c r="A5" s="90"/>
      <c r="B5" s="27"/>
      <c r="C5" s="27"/>
      <c r="D5" s="27"/>
      <c r="E5" s="27"/>
      <c r="F5" s="614"/>
      <c r="G5" s="615"/>
      <c r="H5" s="616"/>
      <c r="I5" s="86"/>
      <c r="J5" s="624"/>
      <c r="K5" s="624"/>
      <c r="L5" s="624"/>
      <c r="M5" s="624"/>
      <c r="N5" s="86"/>
      <c r="O5" s="91" t="s">
        <v>79</v>
      </c>
      <c r="P5" s="233">
        <f>P1+L61+L89-L32</f>
        <v>0.30303811708510398</v>
      </c>
      <c r="Q5" s="27"/>
      <c r="R5" s="568"/>
      <c r="S5" s="27"/>
      <c r="T5" s="28"/>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row>
    <row r="6" spans="1:128" ht="13.15" customHeight="1" thickBot="1">
      <c r="A6" s="90"/>
      <c r="B6" s="27"/>
      <c r="C6" s="27"/>
      <c r="D6" s="27"/>
      <c r="E6" s="27"/>
      <c r="F6" s="617"/>
      <c r="G6" s="618"/>
      <c r="H6" s="619"/>
      <c r="I6" s="55"/>
      <c r="J6" s="55"/>
      <c r="K6" s="55"/>
      <c r="L6" s="55"/>
      <c r="M6" s="55"/>
      <c r="N6" s="55"/>
      <c r="O6" s="92"/>
      <c r="P6" s="92"/>
      <c r="Q6" s="27"/>
      <c r="R6" s="568"/>
      <c r="S6" s="27"/>
      <c r="T6" s="28"/>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row>
    <row r="7" spans="1:128" ht="19.149999999999999" customHeight="1">
      <c r="A7" s="27"/>
      <c r="B7" s="62" t="s">
        <v>80</v>
      </c>
      <c r="C7" s="27"/>
      <c r="D7" s="93"/>
      <c r="E7" s="27"/>
      <c r="F7" s="27"/>
      <c r="G7" s="27"/>
      <c r="H7" s="28"/>
      <c r="I7" s="27"/>
      <c r="J7" s="27"/>
      <c r="K7" s="28"/>
      <c r="L7" s="32"/>
      <c r="M7" s="32"/>
      <c r="N7" s="32"/>
      <c r="O7" s="27"/>
      <c r="P7" s="27"/>
      <c r="Q7" s="27"/>
      <c r="R7" s="568"/>
      <c r="S7" s="27"/>
      <c r="T7" s="28"/>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row>
    <row r="8" spans="1:128" ht="10.9" customHeight="1" thickBot="1">
      <c r="A8" s="94"/>
      <c r="B8" s="27"/>
      <c r="C8" s="27"/>
      <c r="D8" s="27"/>
      <c r="E8" s="27"/>
      <c r="F8" s="27"/>
      <c r="G8" s="27"/>
      <c r="H8" s="27"/>
      <c r="I8" s="27"/>
      <c r="J8" s="27"/>
      <c r="K8" s="27"/>
      <c r="L8" s="27"/>
      <c r="M8" s="27"/>
      <c r="N8" s="27"/>
      <c r="O8" s="27"/>
      <c r="P8" s="27"/>
      <c r="Q8" s="27"/>
      <c r="R8" s="568"/>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row>
    <row r="9" spans="1:128" ht="29.45" customHeight="1">
      <c r="A9" s="94"/>
      <c r="B9" s="644" t="s">
        <v>67</v>
      </c>
      <c r="C9" s="578" t="s">
        <v>81</v>
      </c>
      <c r="D9" s="583"/>
      <c r="E9" s="593"/>
      <c r="F9" s="598" t="s">
        <v>82</v>
      </c>
      <c r="G9" s="599"/>
      <c r="H9" s="600"/>
      <c r="I9" s="578" t="s">
        <v>83</v>
      </c>
      <c r="J9" s="583"/>
      <c r="K9" s="593"/>
      <c r="L9" s="597" t="s">
        <v>84</v>
      </c>
      <c r="M9" s="570"/>
      <c r="N9" s="571"/>
      <c r="O9" s="597" t="s">
        <v>85</v>
      </c>
      <c r="P9" s="571"/>
      <c r="Q9" s="27"/>
      <c r="R9" s="568"/>
      <c r="S9" s="27"/>
      <c r="T9" s="27"/>
      <c r="U9" s="591" t="s">
        <v>86</v>
      </c>
      <c r="V9" s="592"/>
      <c r="W9" s="591" t="s">
        <v>87</v>
      </c>
      <c r="X9" s="592"/>
      <c r="Y9" s="591" t="s">
        <v>88</v>
      </c>
      <c r="Z9" s="604"/>
      <c r="AA9" s="592"/>
      <c r="AB9" s="591" t="s">
        <v>89</v>
      </c>
      <c r="AC9" s="604"/>
      <c r="AD9" s="592"/>
      <c r="AE9" s="591" t="s">
        <v>90</v>
      </c>
      <c r="AF9" s="604"/>
      <c r="AG9" s="592"/>
      <c r="AH9" s="591" t="s">
        <v>91</v>
      </c>
      <c r="AI9" s="592" t="s">
        <v>92</v>
      </c>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row>
    <row r="10" spans="1:128" ht="31.9" thickBot="1">
      <c r="A10" s="94"/>
      <c r="B10" s="645"/>
      <c r="C10" s="329" t="s">
        <v>93</v>
      </c>
      <c r="D10" s="669" t="s">
        <v>94</v>
      </c>
      <c r="E10" s="670"/>
      <c r="F10" s="601"/>
      <c r="G10" s="602"/>
      <c r="H10" s="603"/>
      <c r="I10" s="91" t="s">
        <v>95</v>
      </c>
      <c r="J10" s="315" t="s">
        <v>96</v>
      </c>
      <c r="K10" s="95" t="s">
        <v>97</v>
      </c>
      <c r="L10" s="370" t="s">
        <v>98</v>
      </c>
      <c r="M10" s="371" t="s">
        <v>99</v>
      </c>
      <c r="N10" s="372" t="s">
        <v>100</v>
      </c>
      <c r="O10" s="91" t="s">
        <v>101</v>
      </c>
      <c r="P10" s="95" t="s">
        <v>102</v>
      </c>
      <c r="Q10" s="27"/>
      <c r="R10" s="568"/>
      <c r="S10" s="27"/>
      <c r="T10" s="27"/>
      <c r="U10" s="96" t="s">
        <v>103</v>
      </c>
      <c r="V10" s="97" t="s">
        <v>104</v>
      </c>
      <c r="W10" s="96" t="s">
        <v>105</v>
      </c>
      <c r="X10" s="97" t="s">
        <v>104</v>
      </c>
      <c r="Y10" s="96" t="s">
        <v>88</v>
      </c>
      <c r="Z10" s="52" t="s">
        <v>106</v>
      </c>
      <c r="AA10" s="97" t="s">
        <v>107</v>
      </c>
      <c r="AB10" s="96" t="s">
        <v>89</v>
      </c>
      <c r="AC10" s="52" t="s">
        <v>89</v>
      </c>
      <c r="AD10" s="97" t="s">
        <v>108</v>
      </c>
      <c r="AE10" s="96" t="s">
        <v>109</v>
      </c>
      <c r="AF10" s="52" t="s">
        <v>110</v>
      </c>
      <c r="AG10" s="97" t="s">
        <v>111</v>
      </c>
      <c r="AH10" s="688"/>
      <c r="AI10" s="68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row>
    <row r="11" spans="1:128" ht="28.9">
      <c r="A11" s="94"/>
      <c r="B11" s="98">
        <v>1</v>
      </c>
      <c r="C11" s="423" t="s">
        <v>112</v>
      </c>
      <c r="D11" s="544" t="s">
        <v>113</v>
      </c>
      <c r="E11" s="545"/>
      <c r="F11" s="607" t="s">
        <v>114</v>
      </c>
      <c r="G11" s="608"/>
      <c r="H11" s="609"/>
      <c r="I11" s="219">
        <v>730</v>
      </c>
      <c r="J11" s="211"/>
      <c r="K11" s="220"/>
      <c r="L11" s="167">
        <f>IF(C11="","",IFERROR(IF(I11="","Area Error",((I11/10000)*V11*X11)*(AA11*AD11)),"Value Missing"))</f>
        <v>0.33579999999999993</v>
      </c>
      <c r="M11" s="99">
        <f>IF(I11="","",IF(J11+K11&gt;I11,"Area Error",I11-J11-K11))</f>
        <v>730</v>
      </c>
      <c r="N11" s="168">
        <f>IFERROR(IF(I11="","",IF(M11="Area Error","Area Error",((M11/10000)*V11*X11)*(AA11*AD11))),"Value Missing")</f>
        <v>0.33579999999999993</v>
      </c>
      <c r="O11" s="72"/>
      <c r="P11" s="5"/>
      <c r="Q11" s="27"/>
      <c r="R11" s="568"/>
      <c r="S11" s="27"/>
      <c r="T11" s="27"/>
      <c r="U11" s="100" t="str">
        <f>IF(C11="","",VLOOKUP(D11,'10. All Habitats + Multipliers'!$C$4:$K$99,5,FALSE))</f>
        <v>Low</v>
      </c>
      <c r="V11" s="101">
        <f>IF(U11="","",VLOOKUP(U11,'12. Lists'!$B$47:$D$49,2,FALSE))</f>
        <v>2</v>
      </c>
      <c r="W11" s="100" t="str">
        <f>IF(C11="","",VLOOKUP(D11,'11. Condition and Temporal'!$B$6:$C$101,2,FALSE))</f>
        <v>Moderate</v>
      </c>
      <c r="X11" s="101">
        <f>IF(W11="","",VLOOKUP(W11,'12. Lists'!$F$47:$G$51,2,FALSE))</f>
        <v>2</v>
      </c>
      <c r="Y11" s="100" t="str">
        <f>IF(C11="","",VLOOKUP(D11,'10. All Habitats + Multipliers'!$C$4:$K$99,9,FALSE))</f>
        <v>Low</v>
      </c>
      <c r="Z11" s="102" t="str">
        <f>IF(Y11="","",VLOOKUP(Y11,'12. Lists'!$B$36:$D$39,2,FALSE))</f>
        <v>Unconnected habitat</v>
      </c>
      <c r="AA11" s="101">
        <f>IF(Y11="","",VLOOKUP(Y11,'12. Lists'!$B$36:$D$39,3,FALSE))</f>
        <v>1</v>
      </c>
      <c r="AB11" s="100" t="str">
        <f>IF(F11="","",F11)</f>
        <v>Within area formally identified in local strategy</v>
      </c>
      <c r="AC11" s="102" t="str">
        <f>IF(AB11="","",VLOOKUP(AB11,'12. Lists'!$F$36:$H$38,2,FALSE))</f>
        <v xml:space="preserve">High strategic significance </v>
      </c>
      <c r="AD11" s="101">
        <f>IF(AB11="","",VLOOKUP(AB11,'12. Lists'!$F$36:$H$38,3,FALSE))</f>
        <v>1.1499999999999999</v>
      </c>
      <c r="AE11" s="103">
        <f>IF(D11="","",((J11/10000)*V11*X11)*(AA11*AD11))</f>
        <v>0</v>
      </c>
      <c r="AF11" s="104">
        <f>IF(D11="","",((K11/10000)*V11*X11)*(AA11*AD11))</f>
        <v>0</v>
      </c>
      <c r="AG11" s="105">
        <f>IF(D11="","",M11)</f>
        <v>730</v>
      </c>
      <c r="AH11" s="100" t="str">
        <f>IF(U11="","",VLOOKUP(U11,'12. Lists'!$B$47:$D$49,3,FALSE))</f>
        <v>Same distinctiveness or better habitat required</v>
      </c>
      <c r="AI11" s="101" t="str">
        <f>IF(D11="","",VLOOKUP(D11,'11. Condition and Temporal'!$B$6:$J$101,4,FALSE))</f>
        <v>Modified grassland, Other lowland acid grassland, Other neutral grassland, Upland acid grassland</v>
      </c>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row>
    <row r="12" spans="1:128" ht="15.6" customHeight="1">
      <c r="A12" s="27"/>
      <c r="B12" s="106">
        <v>2</v>
      </c>
      <c r="C12" s="424" t="s">
        <v>115</v>
      </c>
      <c r="D12" s="658" t="s">
        <v>116</v>
      </c>
      <c r="E12" s="659"/>
      <c r="F12" s="607" t="s">
        <v>114</v>
      </c>
      <c r="G12" s="608"/>
      <c r="H12" s="609"/>
      <c r="I12" s="219">
        <v>152</v>
      </c>
      <c r="J12" s="213">
        <v>152</v>
      </c>
      <c r="K12" s="220"/>
      <c r="L12" s="166">
        <f t="shared" ref="L12:L30" si="0">IF(C12="","",IFERROR(IF(I12="","Area Error",((I12/10000)*V12*X12)*(AA12*AD12)),"Value Missing"))</f>
        <v>0.13983999999999999</v>
      </c>
      <c r="M12" s="107">
        <f t="shared" ref="M12:M30" si="1">IF(I12="","",IF(J12+K12&gt;I12,"Area Error",I12-J12-K12))</f>
        <v>0</v>
      </c>
      <c r="N12" s="351">
        <f t="shared" ref="N12:N30" si="2">IFERROR(IF(I12="","",IF(M12="Area Error","Area Error",((M12/10000)*V12*X12)*(AA12*AD12))),"Value Missing")</f>
        <v>0</v>
      </c>
      <c r="O12" s="73"/>
      <c r="P12" s="3"/>
      <c r="Q12" s="27"/>
      <c r="R12" s="568"/>
      <c r="S12" s="27"/>
      <c r="T12" s="27"/>
      <c r="U12" s="100" t="str">
        <f>IF(C12="","",VLOOKUP(D12,'10. All Habitats + Multipliers'!$C$4:$K$99,5,FALSE))</f>
        <v>Medium</v>
      </c>
      <c r="V12" s="101">
        <f>IF(U12="","",VLOOKUP(U12,'12. Lists'!$B$47:$D$49,2,FALSE))</f>
        <v>4</v>
      </c>
      <c r="W12" s="100" t="str">
        <f>IF(C12="","",VLOOKUP(D12,'11. Condition and Temporal'!$B$6:$C$101,2,FALSE))</f>
        <v>Moderate</v>
      </c>
      <c r="X12" s="101">
        <f>IF(W12="","",VLOOKUP(W12,'12. Lists'!$F$47:$G$51,2,FALSE))</f>
        <v>2</v>
      </c>
      <c r="Y12" s="100" t="str">
        <f>IF(C12="","",VLOOKUP(D12,'10. All Habitats + Multipliers'!$C$4:$K$99,9,FALSE))</f>
        <v>Low</v>
      </c>
      <c r="Z12" s="102" t="str">
        <f>IF(Y12="","",VLOOKUP(Y12,'12. Lists'!$B$36:$D$39,2,FALSE))</f>
        <v>Unconnected habitat</v>
      </c>
      <c r="AA12" s="101">
        <f>IF(Y12="","",VLOOKUP(Y12,'12. Lists'!$B$36:$D$39,3,FALSE))</f>
        <v>1</v>
      </c>
      <c r="AB12" s="100" t="str">
        <f>IF(F12="","",F12)</f>
        <v>Within area formally identified in local strategy</v>
      </c>
      <c r="AC12" s="102" t="str">
        <f>IF(AB12="","",VLOOKUP(AB12,'12. Lists'!$F$36:$H$38,2,FALSE))</f>
        <v xml:space="preserve">High strategic significance </v>
      </c>
      <c r="AD12" s="101">
        <f>IF(AB12="","",VLOOKUP(AB12,'12. Lists'!$F$36:$H$38,3,FALSE))</f>
        <v>1.1499999999999999</v>
      </c>
      <c r="AE12" s="103">
        <f t="shared" ref="AE12:AE31" si="3">IF(D12="","",((J12/10000)*V12*X12)*(AA12*AD12))</f>
        <v>0.13983999999999999</v>
      </c>
      <c r="AF12" s="104">
        <f t="shared" ref="AF12:AF31" si="4">IF(D12="","",((K12/10000)*V12*X12)*(AA12*AD12))</f>
        <v>0</v>
      </c>
      <c r="AG12" s="105">
        <f t="shared" ref="AG12:AG31" si="5">IF(D12="","",M12)</f>
        <v>0</v>
      </c>
      <c r="AH12" s="100" t="str">
        <f>IF(U12="","",VLOOKUP(U12,'12. Lists'!$B$47:$D$49,3,FALSE))</f>
        <v>Same broad habitat or a higher distinctiveness habitat required</v>
      </c>
      <c r="AI12" s="101" t="str">
        <f>IF(D12="","",VLOOKUP(D12,'11. Condition and Temporal'!$B$6:$J$101,4,FALSE))</f>
        <v>Mixed scrub</v>
      </c>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c r="DO12" s="27"/>
      <c r="DP12" s="27"/>
      <c r="DQ12" s="27"/>
      <c r="DR12" s="27"/>
      <c r="DS12" s="27"/>
      <c r="DT12" s="27"/>
      <c r="DU12" s="27"/>
      <c r="DV12" s="27"/>
      <c r="DW12" s="27"/>
      <c r="DX12" s="27"/>
    </row>
    <row r="13" spans="1:128" ht="15.6" customHeight="1">
      <c r="A13" s="27"/>
      <c r="B13" s="106">
        <v>3</v>
      </c>
      <c r="C13" s="424" t="s">
        <v>117</v>
      </c>
      <c r="D13" s="658" t="s">
        <v>118</v>
      </c>
      <c r="E13" s="659"/>
      <c r="F13" s="607" t="s">
        <v>114</v>
      </c>
      <c r="G13" s="608"/>
      <c r="H13" s="609"/>
      <c r="I13" s="219">
        <v>465</v>
      </c>
      <c r="J13" s="213"/>
      <c r="K13" s="220"/>
      <c r="L13" s="166">
        <f t="shared" si="0"/>
        <v>0</v>
      </c>
      <c r="M13" s="107">
        <f t="shared" si="1"/>
        <v>465</v>
      </c>
      <c r="N13" s="351">
        <f t="shared" si="2"/>
        <v>0</v>
      </c>
      <c r="O13" s="73"/>
      <c r="P13" s="3"/>
      <c r="Q13" s="27"/>
      <c r="R13" s="568"/>
      <c r="S13" s="27"/>
      <c r="T13" s="27"/>
      <c r="U13" s="100" t="str">
        <f>IF(C13="","",VLOOKUP(D13,'10. All Habitats + Multipliers'!$C$4:$K$99,5,FALSE))</f>
        <v>V.Low</v>
      </c>
      <c r="V13" s="101">
        <f>IF(U13="","",VLOOKUP(U13,'12. Lists'!$B$47:$D$49,2,FALSE))</f>
        <v>0</v>
      </c>
      <c r="W13" s="100" t="str">
        <f>IF(C13="","",VLOOKUP(D13,'11. Condition and Temporal'!$B$6:$C$101,2,FALSE))</f>
        <v>N/A - Other</v>
      </c>
      <c r="X13" s="101">
        <f>IF(W13="","",VLOOKUP(W13,'12. Lists'!$F$47:$G$51,2,FALSE))</f>
        <v>0</v>
      </c>
      <c r="Y13" s="100" t="str">
        <f>IF(C13="","",VLOOKUP(D13,'10. All Habitats + Multipliers'!$C$4:$K$99,9,FALSE))</f>
        <v>Low</v>
      </c>
      <c r="Z13" s="102" t="str">
        <f>IF(Y13="","",VLOOKUP(Y13,'12. Lists'!$B$36:$D$39,2,FALSE))</f>
        <v>Unconnected habitat</v>
      </c>
      <c r="AA13" s="101">
        <f>IF(Y13="","",VLOOKUP(Y13,'12. Lists'!$B$36:$D$39,3,FALSE))</f>
        <v>1</v>
      </c>
      <c r="AB13" s="100" t="str">
        <f t="shared" ref="AB13:AB30" si="6">IF(F13="","",F13)</f>
        <v>Within area formally identified in local strategy</v>
      </c>
      <c r="AC13" s="102" t="str">
        <f>IF(AB13="","",VLOOKUP(AB13,'12. Lists'!$F$36:$H$38,2,FALSE))</f>
        <v xml:space="preserve">High strategic significance </v>
      </c>
      <c r="AD13" s="101">
        <f>IF(AB13="","",VLOOKUP(AB13,'12. Lists'!$F$36:$H$38,3,FALSE))</f>
        <v>1.1499999999999999</v>
      </c>
      <c r="AE13" s="103">
        <f t="shared" si="3"/>
        <v>0</v>
      </c>
      <c r="AF13" s="104">
        <f t="shared" si="4"/>
        <v>0</v>
      </c>
      <c r="AG13" s="105">
        <f t="shared" si="5"/>
        <v>465</v>
      </c>
      <c r="AH13" s="100" t="str">
        <f>IF(U13="","",VLOOKUP(U13,'12. Lists'!$B$47:$D$49,3,FALSE))</f>
        <v>Compensation Not Required</v>
      </c>
      <c r="AI13" s="101" t="str">
        <f>IF(D13="","",VLOOKUP(D13,'11. Condition and Temporal'!$B$6:$J$101,4,FALSE))</f>
        <v>Enhancement Not Possible</v>
      </c>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row>
    <row r="14" spans="1:128" ht="15.6" customHeight="1">
      <c r="A14" s="27"/>
      <c r="B14" s="106">
        <v>4</v>
      </c>
      <c r="C14" s="424" t="s">
        <v>117</v>
      </c>
      <c r="D14" s="658" t="s">
        <v>119</v>
      </c>
      <c r="E14" s="659"/>
      <c r="F14" s="607" t="s">
        <v>114</v>
      </c>
      <c r="G14" s="608"/>
      <c r="H14" s="609"/>
      <c r="I14" s="219">
        <v>1172</v>
      </c>
      <c r="J14" s="213"/>
      <c r="K14" s="220"/>
      <c r="L14" s="166">
        <f t="shared" si="0"/>
        <v>0</v>
      </c>
      <c r="M14" s="107">
        <f t="shared" si="1"/>
        <v>1172</v>
      </c>
      <c r="N14" s="351">
        <f t="shared" si="2"/>
        <v>0</v>
      </c>
      <c r="O14" s="73"/>
      <c r="P14" s="3"/>
      <c r="Q14" s="27"/>
      <c r="R14" s="568"/>
      <c r="S14" s="27"/>
      <c r="T14" s="27"/>
      <c r="U14" s="100" t="str">
        <f>IF(C14="","",VLOOKUP(D14,'10. All Habitats + Multipliers'!$C$4:$K$99,5,FALSE))</f>
        <v>V.Low</v>
      </c>
      <c r="V14" s="101">
        <f>IF(U14="","",VLOOKUP(U14,'12. Lists'!$B$47:$D$49,2,FALSE))</f>
        <v>0</v>
      </c>
      <c r="W14" s="100" t="str">
        <f>IF(C14="","",VLOOKUP(D14,'11. Condition and Temporal'!$B$6:$C$101,2,FALSE))</f>
        <v>N/A - Other</v>
      </c>
      <c r="X14" s="101">
        <f>IF(W14="","",VLOOKUP(W14,'12. Lists'!$F$47:$G$51,2,FALSE))</f>
        <v>0</v>
      </c>
      <c r="Y14" s="100" t="str">
        <f>IF(C14="","",VLOOKUP(D14,'10. All Habitats + Multipliers'!$C$4:$K$99,9,FALSE))</f>
        <v>Low</v>
      </c>
      <c r="Z14" s="102" t="str">
        <f>IF(Y14="","",VLOOKUP(Y14,'12. Lists'!$B$36:$D$39,2,FALSE))</f>
        <v>Unconnected habitat</v>
      </c>
      <c r="AA14" s="101">
        <f>IF(Y14="","",VLOOKUP(Y14,'12. Lists'!$B$36:$D$39,3,FALSE))</f>
        <v>1</v>
      </c>
      <c r="AB14" s="100" t="str">
        <f t="shared" si="6"/>
        <v>Within area formally identified in local strategy</v>
      </c>
      <c r="AC14" s="102" t="str">
        <f>IF(AB14="","",VLOOKUP(AB14,'12. Lists'!$F$36:$H$38,2,FALSE))</f>
        <v xml:space="preserve">High strategic significance </v>
      </c>
      <c r="AD14" s="101">
        <f>IF(AB14="","",VLOOKUP(AB14,'12. Lists'!$F$36:$H$38,3,FALSE))</f>
        <v>1.1499999999999999</v>
      </c>
      <c r="AE14" s="103">
        <f t="shared" si="3"/>
        <v>0</v>
      </c>
      <c r="AF14" s="104">
        <f t="shared" si="4"/>
        <v>0</v>
      </c>
      <c r="AG14" s="105">
        <f t="shared" si="5"/>
        <v>1172</v>
      </c>
      <c r="AH14" s="100" t="str">
        <f>IF(U14="","",VLOOKUP(U14,'12. Lists'!$B$47:$D$49,3,FALSE))</f>
        <v>Compensation Not Required</v>
      </c>
      <c r="AI14" s="101" t="str">
        <f>IF(D14="","",VLOOKUP(D14,'11. Condition and Temporal'!$B$6:$J$101,4,FALSE))</f>
        <v>Enhancement Not Possible</v>
      </c>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row>
    <row r="15" spans="1:128" ht="15.6" customHeight="1">
      <c r="A15" s="27"/>
      <c r="B15" s="106">
        <v>5</v>
      </c>
      <c r="C15" s="424"/>
      <c r="D15" s="658"/>
      <c r="E15" s="659"/>
      <c r="F15" s="607"/>
      <c r="G15" s="608"/>
      <c r="H15" s="609"/>
      <c r="I15" s="219"/>
      <c r="J15" s="213"/>
      <c r="K15" s="220"/>
      <c r="L15" s="166" t="str">
        <f t="shared" si="0"/>
        <v/>
      </c>
      <c r="M15" s="107" t="str">
        <f t="shared" si="1"/>
        <v/>
      </c>
      <c r="N15" s="351" t="str">
        <f t="shared" si="2"/>
        <v/>
      </c>
      <c r="O15" s="73"/>
      <c r="P15" s="3"/>
      <c r="Q15" s="27"/>
      <c r="R15" s="568"/>
      <c r="S15" s="27"/>
      <c r="T15" s="27"/>
      <c r="U15" s="100" t="str">
        <f>IF(C15="","",VLOOKUP(D15,'10. All Habitats + Multipliers'!$C$4:$K$99,5,FALSE))</f>
        <v/>
      </c>
      <c r="V15" s="101" t="str">
        <f>IF(U15="","",VLOOKUP(U15,'12. Lists'!$B$47:$D$49,2,FALSE))</f>
        <v/>
      </c>
      <c r="W15" s="100" t="str">
        <f>IF(C15="","",VLOOKUP(D15,'11. Condition and Temporal'!$B$6:$C$101,2,FALSE))</f>
        <v/>
      </c>
      <c r="X15" s="101" t="str">
        <f>IF(W15="","",VLOOKUP(W15,'12. Lists'!$F$47:$G$51,2,FALSE))</f>
        <v/>
      </c>
      <c r="Y15" s="100" t="str">
        <f>IF(C15="","",VLOOKUP(D15,'10. All Habitats + Multipliers'!$C$4:$K$99,9,FALSE))</f>
        <v/>
      </c>
      <c r="Z15" s="102" t="str">
        <f>IF(Y15="","",VLOOKUP(Y15,'12. Lists'!$B$36:$D$39,2,FALSE))</f>
        <v/>
      </c>
      <c r="AA15" s="101" t="str">
        <f>IF(Y15="","",VLOOKUP(Y15,'12. Lists'!$B$36:$D$39,3,FALSE))</f>
        <v/>
      </c>
      <c r="AB15" s="100" t="str">
        <f t="shared" si="6"/>
        <v/>
      </c>
      <c r="AC15" s="102" t="str">
        <f>IF(AB15="","",VLOOKUP(AB15,'12. Lists'!$F$36:$H$38,2,FALSE))</f>
        <v/>
      </c>
      <c r="AD15" s="101" t="str">
        <f>IF(AB15="","",VLOOKUP(AB15,'12. Lists'!$F$36:$H$38,3,FALSE))</f>
        <v/>
      </c>
      <c r="AE15" s="103" t="str">
        <f t="shared" si="3"/>
        <v/>
      </c>
      <c r="AF15" s="104" t="str">
        <f t="shared" si="4"/>
        <v/>
      </c>
      <c r="AG15" s="105" t="str">
        <f t="shared" si="5"/>
        <v/>
      </c>
      <c r="AH15" s="100" t="str">
        <f>IF(U15="","",VLOOKUP(U15,'12. Lists'!$B$47:$D$49,3,FALSE))</f>
        <v/>
      </c>
      <c r="AI15" s="101" t="str">
        <f>IF(D15="","",VLOOKUP(D15,'11. Condition and Temporal'!$B$6:$J$101,4,FALSE))</f>
        <v/>
      </c>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row>
    <row r="16" spans="1:128" ht="15.6" customHeight="1">
      <c r="A16" s="27"/>
      <c r="B16" s="106">
        <v>6</v>
      </c>
      <c r="C16" s="424"/>
      <c r="D16" s="658"/>
      <c r="E16" s="659"/>
      <c r="F16" s="607"/>
      <c r="G16" s="608"/>
      <c r="H16" s="609"/>
      <c r="I16" s="219"/>
      <c r="J16" s="213"/>
      <c r="K16" s="220"/>
      <c r="L16" s="166" t="str">
        <f t="shared" si="0"/>
        <v/>
      </c>
      <c r="M16" s="107" t="str">
        <f t="shared" si="1"/>
        <v/>
      </c>
      <c r="N16" s="351" t="str">
        <f t="shared" si="2"/>
        <v/>
      </c>
      <c r="O16" s="73"/>
      <c r="P16" s="3"/>
      <c r="Q16" s="27"/>
      <c r="R16" s="568"/>
      <c r="S16" s="27"/>
      <c r="T16" s="27"/>
      <c r="U16" s="100" t="str">
        <f>IF(C16="","",VLOOKUP(D16,'10. All Habitats + Multipliers'!$C$4:$K$99,5,FALSE))</f>
        <v/>
      </c>
      <c r="V16" s="101" t="str">
        <f>IF(U16="","",VLOOKUP(U16,'12. Lists'!$B$47:$D$49,2,FALSE))</f>
        <v/>
      </c>
      <c r="W16" s="100" t="str">
        <f>IF(C16="","",VLOOKUP(D16,'11. Condition and Temporal'!$B$6:$C$101,2,FALSE))</f>
        <v/>
      </c>
      <c r="X16" s="101" t="str">
        <f>IF(W16="","",VLOOKUP(W16,'12. Lists'!$F$47:$G$51,2,FALSE))</f>
        <v/>
      </c>
      <c r="Y16" s="100" t="str">
        <f>IF(C16="","",VLOOKUP(D16,'10. All Habitats + Multipliers'!$C$4:$K$99,9,FALSE))</f>
        <v/>
      </c>
      <c r="Z16" s="102" t="str">
        <f>IF(Y16="","",VLOOKUP(Y16,'12. Lists'!$B$36:$D$39,2,FALSE))</f>
        <v/>
      </c>
      <c r="AA16" s="101" t="str">
        <f>IF(Y16="","",VLOOKUP(Y16,'12. Lists'!$B$36:$D$39,3,FALSE))</f>
        <v/>
      </c>
      <c r="AB16" s="100" t="str">
        <f t="shared" si="6"/>
        <v/>
      </c>
      <c r="AC16" s="102" t="str">
        <f>IF(AB16="","",VLOOKUP(AB16,'12. Lists'!$F$36:$H$38,2,FALSE))</f>
        <v/>
      </c>
      <c r="AD16" s="101" t="str">
        <f>IF(AB16="","",VLOOKUP(AB16,'12. Lists'!$F$36:$H$38,3,FALSE))</f>
        <v/>
      </c>
      <c r="AE16" s="103" t="str">
        <f t="shared" si="3"/>
        <v/>
      </c>
      <c r="AF16" s="104" t="str">
        <f t="shared" si="4"/>
        <v/>
      </c>
      <c r="AG16" s="105" t="str">
        <f t="shared" si="5"/>
        <v/>
      </c>
      <c r="AH16" s="100" t="str">
        <f>IF(U16="","",VLOOKUP(U16,'12. Lists'!$B$47:$D$49,3,FALSE))</f>
        <v/>
      </c>
      <c r="AI16" s="101" t="str">
        <f>IF(D16="","",VLOOKUP(D16,'11. Condition and Temporal'!$B$6:$J$101,4,FALSE))</f>
        <v/>
      </c>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row>
    <row r="17" spans="1:128" ht="15.6" customHeight="1">
      <c r="A17" s="27"/>
      <c r="B17" s="106">
        <v>7</v>
      </c>
      <c r="C17" s="424"/>
      <c r="D17" s="658"/>
      <c r="E17" s="659"/>
      <c r="F17" s="607"/>
      <c r="G17" s="608"/>
      <c r="H17" s="609"/>
      <c r="I17" s="219"/>
      <c r="J17" s="213"/>
      <c r="K17" s="220"/>
      <c r="L17" s="166" t="str">
        <f t="shared" si="0"/>
        <v/>
      </c>
      <c r="M17" s="107" t="str">
        <f t="shared" si="1"/>
        <v/>
      </c>
      <c r="N17" s="351" t="str">
        <f t="shared" si="2"/>
        <v/>
      </c>
      <c r="O17" s="73"/>
      <c r="P17" s="3"/>
      <c r="Q17" s="27"/>
      <c r="R17" s="568"/>
      <c r="S17" s="27"/>
      <c r="T17" s="27"/>
      <c r="U17" s="100" t="str">
        <f>IF(C17="","",VLOOKUP(D17,'10. All Habitats + Multipliers'!$C$4:$K$99,5,FALSE))</f>
        <v/>
      </c>
      <c r="V17" s="101" t="str">
        <f>IF(U17="","",VLOOKUP(U17,'12. Lists'!$B$47:$D$49,2,FALSE))</f>
        <v/>
      </c>
      <c r="W17" s="100" t="str">
        <f>IF(C17="","",VLOOKUP(D17,'11. Condition and Temporal'!$B$6:$C$101,2,FALSE))</f>
        <v/>
      </c>
      <c r="X17" s="101" t="str">
        <f>IF(W17="","",VLOOKUP(W17,'12. Lists'!$F$47:$G$51,2,FALSE))</f>
        <v/>
      </c>
      <c r="Y17" s="100" t="str">
        <f>IF(C17="","",VLOOKUP(D17,'10. All Habitats + Multipliers'!$C$4:$K$99,9,FALSE))</f>
        <v/>
      </c>
      <c r="Z17" s="102" t="str">
        <f>IF(Y17="","",VLOOKUP(Y17,'12. Lists'!$B$36:$D$39,2,FALSE))</f>
        <v/>
      </c>
      <c r="AA17" s="101" t="str">
        <f>IF(Y17="","",VLOOKUP(Y17,'12. Lists'!$B$36:$D$39,3,FALSE))</f>
        <v/>
      </c>
      <c r="AB17" s="100" t="str">
        <f t="shared" si="6"/>
        <v/>
      </c>
      <c r="AC17" s="102" t="str">
        <f>IF(AB17="","",VLOOKUP(AB17,'12. Lists'!$F$36:$H$38,2,FALSE))</f>
        <v/>
      </c>
      <c r="AD17" s="101" t="str">
        <f>IF(AB17="","",VLOOKUP(AB17,'12. Lists'!$F$36:$H$38,3,FALSE))</f>
        <v/>
      </c>
      <c r="AE17" s="103" t="str">
        <f t="shared" si="3"/>
        <v/>
      </c>
      <c r="AF17" s="104" t="str">
        <f t="shared" si="4"/>
        <v/>
      </c>
      <c r="AG17" s="105" t="str">
        <f t="shared" si="5"/>
        <v/>
      </c>
      <c r="AH17" s="100" t="str">
        <f>IF(U17="","",VLOOKUP(U17,'12. Lists'!$B$47:$D$49,3,FALSE))</f>
        <v/>
      </c>
      <c r="AI17" s="101" t="str">
        <f>IF(D17="","",VLOOKUP(D17,'11. Condition and Temporal'!$B$6:$J$101,4,FALSE))</f>
        <v/>
      </c>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row>
    <row r="18" spans="1:128" ht="15.6" customHeight="1">
      <c r="A18" s="27"/>
      <c r="B18" s="106">
        <v>8</v>
      </c>
      <c r="C18" s="424"/>
      <c r="D18" s="658"/>
      <c r="E18" s="659"/>
      <c r="F18" s="607"/>
      <c r="G18" s="608"/>
      <c r="H18" s="609"/>
      <c r="I18" s="219"/>
      <c r="J18" s="213"/>
      <c r="K18" s="220"/>
      <c r="L18" s="166" t="str">
        <f t="shared" si="0"/>
        <v/>
      </c>
      <c r="M18" s="107" t="str">
        <f t="shared" si="1"/>
        <v/>
      </c>
      <c r="N18" s="351" t="str">
        <f t="shared" si="2"/>
        <v/>
      </c>
      <c r="O18" s="73"/>
      <c r="P18" s="3"/>
      <c r="Q18" s="27"/>
      <c r="R18" s="568"/>
      <c r="S18" s="27"/>
      <c r="T18" s="27"/>
      <c r="U18" s="100" t="str">
        <f>IF(C18="","",VLOOKUP(D18,'10. All Habitats + Multipliers'!$C$4:$K$99,5,FALSE))</f>
        <v/>
      </c>
      <c r="V18" s="101" t="str">
        <f>IF(U18="","",VLOOKUP(U18,'12. Lists'!$B$47:$D$49,2,FALSE))</f>
        <v/>
      </c>
      <c r="W18" s="100" t="str">
        <f>IF(C18="","",VLOOKUP(D18,'11. Condition and Temporal'!$B$6:$C$101,2,FALSE))</f>
        <v/>
      </c>
      <c r="X18" s="101" t="str">
        <f>IF(W18="","",VLOOKUP(W18,'12. Lists'!$F$47:$G$51,2,FALSE))</f>
        <v/>
      </c>
      <c r="Y18" s="100" t="str">
        <f>IF(C18="","",VLOOKUP(D18,'10. All Habitats + Multipliers'!$C$4:$K$99,9,FALSE))</f>
        <v/>
      </c>
      <c r="Z18" s="102" t="str">
        <f>IF(Y18="","",VLOOKUP(Y18,'12. Lists'!$B$36:$D$39,2,FALSE))</f>
        <v/>
      </c>
      <c r="AA18" s="101" t="str">
        <f>IF(Y18="","",VLOOKUP(Y18,'12. Lists'!$B$36:$D$39,3,FALSE))</f>
        <v/>
      </c>
      <c r="AB18" s="100" t="str">
        <f t="shared" si="6"/>
        <v/>
      </c>
      <c r="AC18" s="102" t="str">
        <f>IF(AB18="","",VLOOKUP(AB18,'12. Lists'!$F$36:$H$38,2,FALSE))</f>
        <v/>
      </c>
      <c r="AD18" s="101" t="str">
        <f>IF(AB18="","",VLOOKUP(AB18,'12. Lists'!$F$36:$H$38,3,FALSE))</f>
        <v/>
      </c>
      <c r="AE18" s="103" t="str">
        <f t="shared" si="3"/>
        <v/>
      </c>
      <c r="AF18" s="104" t="str">
        <f t="shared" si="4"/>
        <v/>
      </c>
      <c r="AG18" s="105" t="str">
        <f t="shared" si="5"/>
        <v/>
      </c>
      <c r="AH18" s="100" t="str">
        <f>IF(U18="","",VLOOKUP(U18,'12. Lists'!$B$47:$D$49,3,FALSE))</f>
        <v/>
      </c>
      <c r="AI18" s="101" t="str">
        <f>IF(D18="","",VLOOKUP(D18,'11. Condition and Temporal'!$B$6:$J$101,4,FALSE))</f>
        <v/>
      </c>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row>
    <row r="19" spans="1:128" ht="15.6" customHeight="1">
      <c r="A19" s="27"/>
      <c r="B19" s="106">
        <v>9</v>
      </c>
      <c r="C19" s="424"/>
      <c r="D19" s="658"/>
      <c r="E19" s="659"/>
      <c r="F19" s="607"/>
      <c r="G19" s="608"/>
      <c r="H19" s="609"/>
      <c r="I19" s="219"/>
      <c r="J19" s="213"/>
      <c r="K19" s="220"/>
      <c r="L19" s="166" t="str">
        <f t="shared" si="0"/>
        <v/>
      </c>
      <c r="M19" s="107" t="str">
        <f t="shared" si="1"/>
        <v/>
      </c>
      <c r="N19" s="351" t="str">
        <f t="shared" si="2"/>
        <v/>
      </c>
      <c r="O19" s="73"/>
      <c r="P19" s="3"/>
      <c r="Q19" s="27"/>
      <c r="R19" s="568"/>
      <c r="S19" s="27"/>
      <c r="T19" s="27"/>
      <c r="U19" s="100" t="str">
        <f>IF(C19="","",VLOOKUP(D19,'10. All Habitats + Multipliers'!$C$4:$K$99,5,FALSE))</f>
        <v/>
      </c>
      <c r="V19" s="101" t="str">
        <f>IF(U19="","",VLOOKUP(U19,'12. Lists'!$B$47:$D$49,2,FALSE))</f>
        <v/>
      </c>
      <c r="W19" s="100" t="str">
        <f>IF(C19="","",VLOOKUP(D19,'11. Condition and Temporal'!$B$6:$C$101,2,FALSE))</f>
        <v/>
      </c>
      <c r="X19" s="101" t="str">
        <f>IF(W19="","",VLOOKUP(W19,'12. Lists'!$F$47:$G$51,2,FALSE))</f>
        <v/>
      </c>
      <c r="Y19" s="100" t="str">
        <f>IF(C19="","",VLOOKUP(D19,'10. All Habitats + Multipliers'!$C$4:$K$99,9,FALSE))</f>
        <v/>
      </c>
      <c r="Z19" s="102" t="str">
        <f>IF(Y19="","",VLOOKUP(Y19,'12. Lists'!$B$36:$D$39,2,FALSE))</f>
        <v/>
      </c>
      <c r="AA19" s="101" t="str">
        <f>IF(Y19="","",VLOOKUP(Y19,'12. Lists'!$B$36:$D$39,3,FALSE))</f>
        <v/>
      </c>
      <c r="AB19" s="100" t="str">
        <f t="shared" si="6"/>
        <v/>
      </c>
      <c r="AC19" s="102" t="str">
        <f>IF(AB19="","",VLOOKUP(AB19,'12. Lists'!$F$36:$H$38,2,FALSE))</f>
        <v/>
      </c>
      <c r="AD19" s="101" t="str">
        <f>IF(AB19="","",VLOOKUP(AB19,'12. Lists'!$F$36:$H$38,3,FALSE))</f>
        <v/>
      </c>
      <c r="AE19" s="103" t="str">
        <f t="shared" si="3"/>
        <v/>
      </c>
      <c r="AF19" s="104" t="str">
        <f t="shared" si="4"/>
        <v/>
      </c>
      <c r="AG19" s="105" t="str">
        <f t="shared" si="5"/>
        <v/>
      </c>
      <c r="AH19" s="100" t="str">
        <f>IF(U19="","",VLOOKUP(U19,'12. Lists'!$B$47:$D$49,3,FALSE))</f>
        <v/>
      </c>
      <c r="AI19" s="101" t="str">
        <f>IF(D19="","",VLOOKUP(D19,'11. Condition and Temporal'!$B$6:$J$101,4,FALSE))</f>
        <v/>
      </c>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row>
    <row r="20" spans="1:128" ht="15.6" customHeight="1">
      <c r="A20" s="27"/>
      <c r="B20" s="106">
        <v>10</v>
      </c>
      <c r="C20" s="423"/>
      <c r="D20" s="658"/>
      <c r="E20" s="659"/>
      <c r="F20" s="607"/>
      <c r="G20" s="608"/>
      <c r="H20" s="609"/>
      <c r="I20" s="219"/>
      <c r="J20" s="213"/>
      <c r="K20" s="220"/>
      <c r="L20" s="166" t="str">
        <f t="shared" si="0"/>
        <v/>
      </c>
      <c r="M20" s="107" t="str">
        <f t="shared" si="1"/>
        <v/>
      </c>
      <c r="N20" s="351" t="str">
        <f t="shared" si="2"/>
        <v/>
      </c>
      <c r="O20" s="74"/>
      <c r="P20" s="8"/>
      <c r="Q20" s="27"/>
      <c r="R20" s="568"/>
      <c r="S20" s="27"/>
      <c r="T20" s="27"/>
      <c r="U20" s="100" t="str">
        <f>IF(C20="","",VLOOKUP(D20,'10. All Habitats + Multipliers'!$C$4:$K$99,5,FALSE))</f>
        <v/>
      </c>
      <c r="V20" s="101" t="str">
        <f>IF(U20="","",VLOOKUP(U20,'12. Lists'!$B$47:$D$49,2,FALSE))</f>
        <v/>
      </c>
      <c r="W20" s="100" t="str">
        <f>IF(C20="","",VLOOKUP(D20,'11. Condition and Temporal'!$B$6:$C$101,2,FALSE))</f>
        <v/>
      </c>
      <c r="X20" s="101" t="str">
        <f>IF(W20="","",VLOOKUP(W20,'12. Lists'!$F$47:$G$51,2,FALSE))</f>
        <v/>
      </c>
      <c r="Y20" s="100" t="str">
        <f>IF(C20="","",VLOOKUP(D20,'10. All Habitats + Multipliers'!$C$4:$K$99,9,FALSE))</f>
        <v/>
      </c>
      <c r="Z20" s="102" t="str">
        <f>IF(Y20="","",VLOOKUP(Y20,'12. Lists'!$B$36:$D$39,2,FALSE))</f>
        <v/>
      </c>
      <c r="AA20" s="101" t="str">
        <f>IF(Y20="","",VLOOKUP(Y20,'12. Lists'!$B$36:$D$39,3,FALSE))</f>
        <v/>
      </c>
      <c r="AB20" s="100" t="str">
        <f t="shared" si="6"/>
        <v/>
      </c>
      <c r="AC20" s="102" t="str">
        <f>IF(AB20="","",VLOOKUP(AB20,'12. Lists'!$F$36:$H$38,2,FALSE))</f>
        <v/>
      </c>
      <c r="AD20" s="101" t="str">
        <f>IF(AB20="","",VLOOKUP(AB20,'12. Lists'!$F$36:$H$38,3,FALSE))</f>
        <v/>
      </c>
      <c r="AE20" s="103" t="str">
        <f t="shared" si="3"/>
        <v/>
      </c>
      <c r="AF20" s="104" t="str">
        <f t="shared" si="4"/>
        <v/>
      </c>
      <c r="AG20" s="105" t="str">
        <f t="shared" si="5"/>
        <v/>
      </c>
      <c r="AH20" s="100" t="str">
        <f>IF(U20="","",VLOOKUP(U20,'12. Lists'!$B$47:$D$49,3,FALSE))</f>
        <v/>
      </c>
      <c r="AI20" s="101" t="str">
        <f>IF(D20="","",VLOOKUP(D20,'11. Condition and Temporal'!$B$6:$J$101,4,FALSE))</f>
        <v/>
      </c>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row>
    <row r="21" spans="1:128" ht="15.6" customHeight="1">
      <c r="A21" s="27"/>
      <c r="B21" s="106">
        <v>11</v>
      </c>
      <c r="C21" s="423"/>
      <c r="D21" s="658"/>
      <c r="E21" s="659"/>
      <c r="F21" s="607"/>
      <c r="G21" s="608"/>
      <c r="H21" s="609"/>
      <c r="I21" s="219"/>
      <c r="J21" s="213"/>
      <c r="K21" s="220"/>
      <c r="L21" s="166" t="str">
        <f t="shared" si="0"/>
        <v/>
      </c>
      <c r="M21" s="107" t="str">
        <f t="shared" si="1"/>
        <v/>
      </c>
      <c r="N21" s="351" t="str">
        <f t="shared" si="2"/>
        <v/>
      </c>
      <c r="O21" s="74"/>
      <c r="P21" s="8"/>
      <c r="Q21" s="27"/>
      <c r="R21" s="568"/>
      <c r="S21" s="27"/>
      <c r="T21" s="27"/>
      <c r="U21" s="100" t="str">
        <f>IF(C21="","",VLOOKUP(D21,'10. All Habitats + Multipliers'!$C$4:$K$99,5,FALSE))</f>
        <v/>
      </c>
      <c r="V21" s="101" t="str">
        <f>IF(U21="","",VLOOKUP(U21,'12. Lists'!$B$47:$D$49,2,FALSE))</f>
        <v/>
      </c>
      <c r="W21" s="100" t="str">
        <f>IF(C21="","",VLOOKUP(D21,'11. Condition and Temporal'!$B$6:$C$101,2,FALSE))</f>
        <v/>
      </c>
      <c r="X21" s="101" t="str">
        <f>IF(W21="","",VLOOKUP(W21,'12. Lists'!$F$47:$G$51,2,FALSE))</f>
        <v/>
      </c>
      <c r="Y21" s="100" t="str">
        <f>IF(C21="","",VLOOKUP(D21,'10. All Habitats + Multipliers'!$C$4:$K$99,9,FALSE))</f>
        <v/>
      </c>
      <c r="Z21" s="102" t="str">
        <f>IF(Y21="","",VLOOKUP(Y21,'12. Lists'!$B$36:$D$39,2,FALSE))</f>
        <v/>
      </c>
      <c r="AA21" s="101" t="str">
        <f>IF(Y21="","",VLOOKUP(Y21,'12. Lists'!$B$36:$D$39,3,FALSE))</f>
        <v/>
      </c>
      <c r="AB21" s="100" t="str">
        <f t="shared" si="6"/>
        <v/>
      </c>
      <c r="AC21" s="102" t="str">
        <f>IF(AB21="","",VLOOKUP(AB21,'12. Lists'!$F$36:$H$38,2,FALSE))</f>
        <v/>
      </c>
      <c r="AD21" s="101" t="str">
        <f>IF(AB21="","",VLOOKUP(AB21,'12. Lists'!$F$36:$H$38,3,FALSE))</f>
        <v/>
      </c>
      <c r="AE21" s="103" t="str">
        <f t="shared" si="3"/>
        <v/>
      </c>
      <c r="AF21" s="104" t="str">
        <f t="shared" si="4"/>
        <v/>
      </c>
      <c r="AG21" s="105" t="str">
        <f t="shared" si="5"/>
        <v/>
      </c>
      <c r="AH21" s="100" t="str">
        <f>IF(U21="","",VLOOKUP(U21,'12. Lists'!$B$47:$D$49,3,FALSE))</f>
        <v/>
      </c>
      <c r="AI21" s="101" t="str">
        <f>IF(D21="","",VLOOKUP(D21,'11. Condition and Temporal'!$B$6:$J$101,4,FALSE))</f>
        <v/>
      </c>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row>
    <row r="22" spans="1:128" ht="15.6" customHeight="1">
      <c r="A22" s="27"/>
      <c r="B22" s="106">
        <v>12</v>
      </c>
      <c r="C22" s="424"/>
      <c r="D22" s="658"/>
      <c r="E22" s="659"/>
      <c r="F22" s="607"/>
      <c r="G22" s="608"/>
      <c r="H22" s="609"/>
      <c r="I22" s="219"/>
      <c r="J22" s="213"/>
      <c r="K22" s="220"/>
      <c r="L22" s="166" t="str">
        <f t="shared" si="0"/>
        <v/>
      </c>
      <c r="M22" s="107" t="str">
        <f t="shared" si="1"/>
        <v/>
      </c>
      <c r="N22" s="351" t="str">
        <f t="shared" si="2"/>
        <v/>
      </c>
      <c r="O22" s="74"/>
      <c r="P22" s="8"/>
      <c r="Q22" s="27"/>
      <c r="R22" s="568"/>
      <c r="S22" s="27"/>
      <c r="T22" s="27"/>
      <c r="U22" s="100" t="str">
        <f>IF(C22="","",VLOOKUP(D22,'10. All Habitats + Multipliers'!$C$4:$K$99,5,FALSE))</f>
        <v/>
      </c>
      <c r="V22" s="101" t="str">
        <f>IF(U22="","",VLOOKUP(U22,'12. Lists'!$B$47:$D$49,2,FALSE))</f>
        <v/>
      </c>
      <c r="W22" s="100" t="str">
        <f>IF(C22="","",VLOOKUP(D22,'11. Condition and Temporal'!$B$6:$C$101,2,FALSE))</f>
        <v/>
      </c>
      <c r="X22" s="101" t="str">
        <f>IF(W22="","",VLOOKUP(W22,'12. Lists'!$F$47:$G$51,2,FALSE))</f>
        <v/>
      </c>
      <c r="Y22" s="100" t="str">
        <f>IF(C22="","",VLOOKUP(D22,'10. All Habitats + Multipliers'!$C$4:$K$99,9,FALSE))</f>
        <v/>
      </c>
      <c r="Z22" s="102" t="str">
        <f>IF(Y22="","",VLOOKUP(Y22,'12. Lists'!$B$36:$D$39,2,FALSE))</f>
        <v/>
      </c>
      <c r="AA22" s="101" t="str">
        <f>IF(Y22="","",VLOOKUP(Y22,'12. Lists'!$B$36:$D$39,3,FALSE))</f>
        <v/>
      </c>
      <c r="AB22" s="100" t="str">
        <f t="shared" si="6"/>
        <v/>
      </c>
      <c r="AC22" s="102" t="str">
        <f>IF(AB22="","",VLOOKUP(AB22,'12. Lists'!$F$36:$H$38,2,FALSE))</f>
        <v/>
      </c>
      <c r="AD22" s="101" t="str">
        <f>IF(AB22="","",VLOOKUP(AB22,'12. Lists'!$F$36:$H$38,3,FALSE))</f>
        <v/>
      </c>
      <c r="AE22" s="103" t="str">
        <f t="shared" si="3"/>
        <v/>
      </c>
      <c r="AF22" s="104" t="str">
        <f t="shared" si="4"/>
        <v/>
      </c>
      <c r="AG22" s="105" t="str">
        <f t="shared" si="5"/>
        <v/>
      </c>
      <c r="AH22" s="100" t="str">
        <f>IF(U22="","",VLOOKUP(U22,'12. Lists'!$B$47:$D$49,3,FALSE))</f>
        <v/>
      </c>
      <c r="AI22" s="101" t="str">
        <f>IF(D22="","",VLOOKUP(D22,'11. Condition and Temporal'!$B$6:$J$101,4,FALSE))</f>
        <v/>
      </c>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row>
    <row r="23" spans="1:128" ht="15.6" customHeight="1">
      <c r="A23" s="27"/>
      <c r="B23" s="106">
        <v>13</v>
      </c>
      <c r="C23" s="424"/>
      <c r="D23" s="658"/>
      <c r="E23" s="659"/>
      <c r="F23" s="607"/>
      <c r="G23" s="608"/>
      <c r="H23" s="609"/>
      <c r="I23" s="219"/>
      <c r="J23" s="213"/>
      <c r="K23" s="220"/>
      <c r="L23" s="166" t="str">
        <f t="shared" si="0"/>
        <v/>
      </c>
      <c r="M23" s="107" t="str">
        <f t="shared" si="1"/>
        <v/>
      </c>
      <c r="N23" s="351" t="str">
        <f t="shared" si="2"/>
        <v/>
      </c>
      <c r="O23" s="74"/>
      <c r="P23" s="8"/>
      <c r="Q23" s="27"/>
      <c r="R23" s="568"/>
      <c r="S23" s="27"/>
      <c r="T23" s="27"/>
      <c r="U23" s="100" t="str">
        <f>IF(C23="","",VLOOKUP(D23,'10. All Habitats + Multipliers'!$C$4:$K$99,5,FALSE))</f>
        <v/>
      </c>
      <c r="V23" s="101" t="str">
        <f>IF(U23="","",VLOOKUP(U23,'12. Lists'!$B$47:$D$49,2,FALSE))</f>
        <v/>
      </c>
      <c r="W23" s="100" t="str">
        <f>IF(C23="","",VLOOKUP(D23,'11. Condition and Temporal'!$B$6:$C$101,2,FALSE))</f>
        <v/>
      </c>
      <c r="X23" s="101" t="str">
        <f>IF(W23="","",VLOOKUP(W23,'12. Lists'!$F$47:$G$51,2,FALSE))</f>
        <v/>
      </c>
      <c r="Y23" s="100" t="str">
        <f>IF(C23="","",VLOOKUP(D23,'10. All Habitats + Multipliers'!$C$4:$K$99,9,FALSE))</f>
        <v/>
      </c>
      <c r="Z23" s="102" t="str">
        <f>IF(Y23="","",VLOOKUP(Y23,'12. Lists'!$B$36:$D$39,2,FALSE))</f>
        <v/>
      </c>
      <c r="AA23" s="101" t="str">
        <f>IF(Y23="","",VLOOKUP(Y23,'12. Lists'!$B$36:$D$39,3,FALSE))</f>
        <v/>
      </c>
      <c r="AB23" s="100" t="str">
        <f t="shared" si="6"/>
        <v/>
      </c>
      <c r="AC23" s="102" t="str">
        <f>IF(AB23="","",VLOOKUP(AB23,'12. Lists'!$F$36:$H$38,2,FALSE))</f>
        <v/>
      </c>
      <c r="AD23" s="101" t="str">
        <f>IF(AB23="","",VLOOKUP(AB23,'12. Lists'!$F$36:$H$38,3,FALSE))</f>
        <v/>
      </c>
      <c r="AE23" s="103" t="str">
        <f t="shared" si="3"/>
        <v/>
      </c>
      <c r="AF23" s="104" t="str">
        <f t="shared" si="4"/>
        <v/>
      </c>
      <c r="AG23" s="105" t="str">
        <f t="shared" si="5"/>
        <v/>
      </c>
      <c r="AH23" s="100" t="str">
        <f>IF(U23="","",VLOOKUP(U23,'12. Lists'!$B$47:$D$49,3,FALSE))</f>
        <v/>
      </c>
      <c r="AI23" s="101" t="str">
        <f>IF(D23="","",VLOOKUP(D23,'11. Condition and Temporal'!$B$6:$J$101,4,FALSE))</f>
        <v/>
      </c>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row>
    <row r="24" spans="1:128" ht="15.6" customHeight="1">
      <c r="A24" s="27"/>
      <c r="B24" s="106">
        <v>14</v>
      </c>
      <c r="C24" s="424"/>
      <c r="D24" s="658"/>
      <c r="E24" s="659"/>
      <c r="F24" s="607"/>
      <c r="G24" s="608"/>
      <c r="H24" s="609"/>
      <c r="I24" s="219"/>
      <c r="J24" s="213"/>
      <c r="K24" s="220"/>
      <c r="L24" s="166" t="str">
        <f t="shared" si="0"/>
        <v/>
      </c>
      <c r="M24" s="107" t="str">
        <f t="shared" si="1"/>
        <v/>
      </c>
      <c r="N24" s="351" t="str">
        <f t="shared" si="2"/>
        <v/>
      </c>
      <c r="O24" s="74"/>
      <c r="P24" s="8"/>
      <c r="Q24" s="27"/>
      <c r="R24" s="568"/>
      <c r="S24" s="27"/>
      <c r="T24" s="27"/>
      <c r="U24" s="100" t="str">
        <f>IF(C24="","",VLOOKUP(D24,'10. All Habitats + Multipliers'!$C$4:$K$99,5,FALSE))</f>
        <v/>
      </c>
      <c r="V24" s="101" t="str">
        <f>IF(U24="","",VLOOKUP(U24,'12. Lists'!$B$47:$D$49,2,FALSE))</f>
        <v/>
      </c>
      <c r="W24" s="100" t="str">
        <f>IF(C24="","",VLOOKUP(D24,'11. Condition and Temporal'!$B$6:$C$101,2,FALSE))</f>
        <v/>
      </c>
      <c r="X24" s="101" t="str">
        <f>IF(W24="","",VLOOKUP(W24,'12. Lists'!$F$47:$G$51,2,FALSE))</f>
        <v/>
      </c>
      <c r="Y24" s="100" t="str">
        <f>IF(C24="","",VLOOKUP(D24,'10. All Habitats + Multipliers'!$C$4:$K$99,9,FALSE))</f>
        <v/>
      </c>
      <c r="Z24" s="102" t="str">
        <f>IF(Y24="","",VLOOKUP(Y24,'12. Lists'!$B$36:$D$39,2,FALSE))</f>
        <v/>
      </c>
      <c r="AA24" s="101" t="str">
        <f>IF(Y24="","",VLOOKUP(Y24,'12. Lists'!$B$36:$D$39,3,FALSE))</f>
        <v/>
      </c>
      <c r="AB24" s="100" t="str">
        <f t="shared" si="6"/>
        <v/>
      </c>
      <c r="AC24" s="102" t="str">
        <f>IF(AB24="","",VLOOKUP(AB24,'12. Lists'!$F$36:$H$38,2,FALSE))</f>
        <v/>
      </c>
      <c r="AD24" s="101" t="str">
        <f>IF(AB24="","",VLOOKUP(AB24,'12. Lists'!$F$36:$H$38,3,FALSE))</f>
        <v/>
      </c>
      <c r="AE24" s="103" t="str">
        <f t="shared" si="3"/>
        <v/>
      </c>
      <c r="AF24" s="104" t="str">
        <f t="shared" si="4"/>
        <v/>
      </c>
      <c r="AG24" s="105" t="str">
        <f t="shared" si="5"/>
        <v/>
      </c>
      <c r="AH24" s="100" t="str">
        <f>IF(U24="","",VLOOKUP(U24,'12. Lists'!$B$47:$D$49,3,FALSE))</f>
        <v/>
      </c>
      <c r="AI24" s="101" t="str">
        <f>IF(D24="","",VLOOKUP(D24,'11. Condition and Temporal'!$B$6:$J$101,4,FALSE))</f>
        <v/>
      </c>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row>
    <row r="25" spans="1:128" ht="15.6" customHeight="1">
      <c r="A25" s="27"/>
      <c r="B25" s="106">
        <v>15</v>
      </c>
      <c r="C25" s="424"/>
      <c r="D25" s="658"/>
      <c r="E25" s="659"/>
      <c r="F25" s="607"/>
      <c r="G25" s="608"/>
      <c r="H25" s="609"/>
      <c r="I25" s="219"/>
      <c r="J25" s="213"/>
      <c r="K25" s="220"/>
      <c r="L25" s="166" t="str">
        <f t="shared" si="0"/>
        <v/>
      </c>
      <c r="M25" s="107" t="str">
        <f t="shared" si="1"/>
        <v/>
      </c>
      <c r="N25" s="351" t="str">
        <f t="shared" si="2"/>
        <v/>
      </c>
      <c r="O25" s="74"/>
      <c r="P25" s="8"/>
      <c r="Q25" s="27"/>
      <c r="R25" s="568"/>
      <c r="S25" s="27"/>
      <c r="T25" s="27"/>
      <c r="U25" s="100" t="str">
        <f>IF(C25="","",VLOOKUP(D25,'10. All Habitats + Multipliers'!$C$4:$K$99,5,FALSE))</f>
        <v/>
      </c>
      <c r="V25" s="101" t="str">
        <f>IF(U25="","",VLOOKUP(U25,'12. Lists'!$B$47:$D$49,2,FALSE))</f>
        <v/>
      </c>
      <c r="W25" s="100" t="str">
        <f>IF(C25="","",VLOOKUP(D25,'11. Condition and Temporal'!$B$6:$C$101,2,FALSE))</f>
        <v/>
      </c>
      <c r="X25" s="101" t="str">
        <f>IF(W25="","",VLOOKUP(W25,'12. Lists'!$F$47:$G$51,2,FALSE))</f>
        <v/>
      </c>
      <c r="Y25" s="100" t="str">
        <f>IF(C25="","",VLOOKUP(D25,'10. All Habitats + Multipliers'!$C$4:$K$99,9,FALSE))</f>
        <v/>
      </c>
      <c r="Z25" s="102" t="str">
        <f>IF(Y25="","",VLOOKUP(Y25,'12. Lists'!$B$36:$D$39,2,FALSE))</f>
        <v/>
      </c>
      <c r="AA25" s="101" t="str">
        <f>IF(Y25="","",VLOOKUP(Y25,'12. Lists'!$B$36:$D$39,3,FALSE))</f>
        <v/>
      </c>
      <c r="AB25" s="100" t="str">
        <f t="shared" si="6"/>
        <v/>
      </c>
      <c r="AC25" s="102" t="str">
        <f>IF(AB25="","",VLOOKUP(AB25,'12. Lists'!$F$36:$H$38,2,FALSE))</f>
        <v/>
      </c>
      <c r="AD25" s="101" t="str">
        <f>IF(AB25="","",VLOOKUP(AB25,'12. Lists'!$F$36:$H$38,3,FALSE))</f>
        <v/>
      </c>
      <c r="AE25" s="103" t="str">
        <f t="shared" si="3"/>
        <v/>
      </c>
      <c r="AF25" s="104" t="str">
        <f t="shared" si="4"/>
        <v/>
      </c>
      <c r="AG25" s="105" t="str">
        <f t="shared" si="5"/>
        <v/>
      </c>
      <c r="AH25" s="100" t="str">
        <f>IF(U25="","",VLOOKUP(U25,'12. Lists'!$B$47:$D$49,3,FALSE))</f>
        <v/>
      </c>
      <c r="AI25" s="101" t="str">
        <f>IF(D25="","",VLOOKUP(D25,'11. Condition and Temporal'!$B$6:$J$101,4,FALSE))</f>
        <v/>
      </c>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7"/>
      <c r="DN25" s="27"/>
      <c r="DO25" s="27"/>
      <c r="DP25" s="27"/>
      <c r="DQ25" s="27"/>
      <c r="DR25" s="27"/>
      <c r="DS25" s="27"/>
      <c r="DT25" s="27"/>
      <c r="DU25" s="27"/>
      <c r="DV25" s="27"/>
      <c r="DW25" s="27"/>
      <c r="DX25" s="27"/>
    </row>
    <row r="26" spans="1:128" ht="15.6" customHeight="1">
      <c r="A26" s="27"/>
      <c r="B26" s="106">
        <v>16</v>
      </c>
      <c r="C26" s="424"/>
      <c r="D26" s="658"/>
      <c r="E26" s="659"/>
      <c r="F26" s="607"/>
      <c r="G26" s="608"/>
      <c r="H26" s="609"/>
      <c r="I26" s="219"/>
      <c r="J26" s="213"/>
      <c r="K26" s="220"/>
      <c r="L26" s="166" t="str">
        <f t="shared" si="0"/>
        <v/>
      </c>
      <c r="M26" s="107" t="str">
        <f t="shared" si="1"/>
        <v/>
      </c>
      <c r="N26" s="351" t="str">
        <f t="shared" si="2"/>
        <v/>
      </c>
      <c r="O26" s="74"/>
      <c r="P26" s="8"/>
      <c r="Q26" s="27"/>
      <c r="R26" s="568"/>
      <c r="S26" s="27"/>
      <c r="T26" s="27"/>
      <c r="U26" s="100" t="str">
        <f>IF(C26="","",VLOOKUP(D26,'10. All Habitats + Multipliers'!$C$4:$K$99,5,FALSE))</f>
        <v/>
      </c>
      <c r="V26" s="101" t="str">
        <f>IF(U26="","",VLOOKUP(U26,'12. Lists'!$B$47:$D$49,2,FALSE))</f>
        <v/>
      </c>
      <c r="W26" s="100" t="str">
        <f>IF(C26="","",VLOOKUP(D26,'11. Condition and Temporal'!$B$6:$C$101,2,FALSE))</f>
        <v/>
      </c>
      <c r="X26" s="101" t="str">
        <f>IF(W26="","",VLOOKUP(W26,'12. Lists'!$F$47:$G$51,2,FALSE))</f>
        <v/>
      </c>
      <c r="Y26" s="100" t="str">
        <f>IF(C26="","",VLOOKUP(D26,'10. All Habitats + Multipliers'!$C$4:$K$99,9,FALSE))</f>
        <v/>
      </c>
      <c r="Z26" s="102" t="str">
        <f>IF(Y26="","",VLOOKUP(Y26,'12. Lists'!$B$36:$D$39,2,FALSE))</f>
        <v/>
      </c>
      <c r="AA26" s="101" t="str">
        <f>IF(Y26="","",VLOOKUP(Y26,'12. Lists'!$B$36:$D$39,3,FALSE))</f>
        <v/>
      </c>
      <c r="AB26" s="100" t="str">
        <f t="shared" si="6"/>
        <v/>
      </c>
      <c r="AC26" s="102" t="str">
        <f>IF(AB26="","",VLOOKUP(AB26,'12. Lists'!$F$36:$H$38,2,FALSE))</f>
        <v/>
      </c>
      <c r="AD26" s="101" t="str">
        <f>IF(AB26="","",VLOOKUP(AB26,'12. Lists'!$F$36:$H$38,3,FALSE))</f>
        <v/>
      </c>
      <c r="AE26" s="103" t="str">
        <f t="shared" si="3"/>
        <v/>
      </c>
      <c r="AF26" s="104" t="str">
        <f t="shared" si="4"/>
        <v/>
      </c>
      <c r="AG26" s="105" t="str">
        <f t="shared" si="5"/>
        <v/>
      </c>
      <c r="AH26" s="100" t="str">
        <f>IF(U26="","",VLOOKUP(U26,'12. Lists'!$B$47:$D$49,3,FALSE))</f>
        <v/>
      </c>
      <c r="AI26" s="101" t="str">
        <f>IF(D26="","",VLOOKUP(D26,'11. Condition and Temporal'!$B$6:$J$101,4,FALSE))</f>
        <v/>
      </c>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c r="DA26" s="27"/>
      <c r="DB26" s="27"/>
      <c r="DC26" s="27"/>
      <c r="DD26" s="27"/>
      <c r="DE26" s="27"/>
      <c r="DF26" s="27"/>
      <c r="DG26" s="27"/>
      <c r="DH26" s="27"/>
      <c r="DI26" s="27"/>
      <c r="DJ26" s="27"/>
      <c r="DK26" s="27"/>
      <c r="DL26" s="27"/>
      <c r="DM26" s="27"/>
      <c r="DN26" s="27"/>
      <c r="DO26" s="27"/>
      <c r="DP26" s="27"/>
      <c r="DQ26" s="27"/>
      <c r="DR26" s="27"/>
      <c r="DS26" s="27"/>
      <c r="DT26" s="27"/>
      <c r="DU26" s="27"/>
      <c r="DV26" s="27"/>
      <c r="DW26" s="27"/>
      <c r="DX26" s="27"/>
    </row>
    <row r="27" spans="1:128" ht="15.6" customHeight="1">
      <c r="A27" s="27"/>
      <c r="B27" s="106">
        <v>17</v>
      </c>
      <c r="C27" s="424"/>
      <c r="D27" s="658"/>
      <c r="E27" s="659"/>
      <c r="F27" s="607"/>
      <c r="G27" s="608"/>
      <c r="H27" s="609"/>
      <c r="I27" s="219"/>
      <c r="J27" s="213"/>
      <c r="K27" s="220"/>
      <c r="L27" s="166" t="str">
        <f t="shared" si="0"/>
        <v/>
      </c>
      <c r="M27" s="107" t="str">
        <f t="shared" si="1"/>
        <v/>
      </c>
      <c r="N27" s="351" t="str">
        <f t="shared" si="2"/>
        <v/>
      </c>
      <c r="O27" s="74"/>
      <c r="P27" s="8"/>
      <c r="Q27" s="27"/>
      <c r="R27" s="568"/>
      <c r="S27" s="27"/>
      <c r="T27" s="27"/>
      <c r="U27" s="100" t="str">
        <f>IF(C27="","",VLOOKUP(D27,'10. All Habitats + Multipliers'!$C$4:$K$99,5,FALSE))</f>
        <v/>
      </c>
      <c r="V27" s="101" t="str">
        <f>IF(U27="","",VLOOKUP(U27,'12. Lists'!$B$47:$D$49,2,FALSE))</f>
        <v/>
      </c>
      <c r="W27" s="100" t="str">
        <f>IF(C27="","",VLOOKUP(D27,'11. Condition and Temporal'!$B$6:$C$101,2,FALSE))</f>
        <v/>
      </c>
      <c r="X27" s="101" t="str">
        <f>IF(W27="","",VLOOKUP(W27,'12. Lists'!$F$47:$G$51,2,FALSE))</f>
        <v/>
      </c>
      <c r="Y27" s="100" t="str">
        <f>IF(C27="","",VLOOKUP(D27,'10. All Habitats + Multipliers'!$C$4:$K$99,9,FALSE))</f>
        <v/>
      </c>
      <c r="Z27" s="102" t="str">
        <f>IF(Y27="","",VLOOKUP(Y27,'12. Lists'!$B$36:$D$39,2,FALSE))</f>
        <v/>
      </c>
      <c r="AA27" s="101" t="str">
        <f>IF(Y27="","",VLOOKUP(Y27,'12. Lists'!$B$36:$D$39,3,FALSE))</f>
        <v/>
      </c>
      <c r="AB27" s="100" t="str">
        <f t="shared" si="6"/>
        <v/>
      </c>
      <c r="AC27" s="102" t="str">
        <f>IF(AB27="","",VLOOKUP(AB27,'12. Lists'!$F$36:$H$38,2,FALSE))</f>
        <v/>
      </c>
      <c r="AD27" s="101" t="str">
        <f>IF(AB27="","",VLOOKUP(AB27,'12. Lists'!$F$36:$H$38,3,FALSE))</f>
        <v/>
      </c>
      <c r="AE27" s="103" t="str">
        <f t="shared" si="3"/>
        <v/>
      </c>
      <c r="AF27" s="104" t="str">
        <f t="shared" si="4"/>
        <v/>
      </c>
      <c r="AG27" s="105" t="str">
        <f t="shared" si="5"/>
        <v/>
      </c>
      <c r="AH27" s="100" t="str">
        <f>IF(U27="","",VLOOKUP(U27,'12. Lists'!$B$47:$D$49,3,FALSE))</f>
        <v/>
      </c>
      <c r="AI27" s="101" t="str">
        <f>IF(D27="","",VLOOKUP(D27,'11. Condition and Temporal'!$B$6:$J$101,4,FALSE))</f>
        <v/>
      </c>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row>
    <row r="28" spans="1:128" ht="15.6" customHeight="1">
      <c r="A28" s="27"/>
      <c r="B28" s="106">
        <v>18</v>
      </c>
      <c r="C28" s="424"/>
      <c r="D28" s="658"/>
      <c r="E28" s="659"/>
      <c r="F28" s="607"/>
      <c r="G28" s="608"/>
      <c r="H28" s="609"/>
      <c r="I28" s="219"/>
      <c r="J28" s="213"/>
      <c r="K28" s="220"/>
      <c r="L28" s="166" t="str">
        <f t="shared" si="0"/>
        <v/>
      </c>
      <c r="M28" s="107" t="str">
        <f t="shared" si="1"/>
        <v/>
      </c>
      <c r="N28" s="351" t="str">
        <f t="shared" si="2"/>
        <v/>
      </c>
      <c r="O28" s="74"/>
      <c r="P28" s="8"/>
      <c r="Q28" s="27"/>
      <c r="R28" s="568"/>
      <c r="S28" s="27"/>
      <c r="T28" s="27"/>
      <c r="U28" s="100" t="str">
        <f>IF(C28="","",VLOOKUP(D28,'10. All Habitats + Multipliers'!$C$4:$K$99,5,FALSE))</f>
        <v/>
      </c>
      <c r="V28" s="101" t="str">
        <f>IF(U28="","",VLOOKUP(U28,'12. Lists'!$B$47:$D$49,2,FALSE))</f>
        <v/>
      </c>
      <c r="W28" s="100" t="str">
        <f>IF(C28="","",VLOOKUP(D28,'11. Condition and Temporal'!$B$6:$C$101,2,FALSE))</f>
        <v/>
      </c>
      <c r="X28" s="101" t="str">
        <f>IF(W28="","",VLOOKUP(W28,'12. Lists'!$F$47:$G$51,2,FALSE))</f>
        <v/>
      </c>
      <c r="Y28" s="100" t="str">
        <f>IF(C28="","",VLOOKUP(D28,'10. All Habitats + Multipliers'!$C$4:$K$99,9,FALSE))</f>
        <v/>
      </c>
      <c r="Z28" s="102" t="str">
        <f>IF(Y28="","",VLOOKUP(Y28,'12. Lists'!$B$36:$D$39,2,FALSE))</f>
        <v/>
      </c>
      <c r="AA28" s="101" t="str">
        <f>IF(Y28="","",VLOOKUP(Y28,'12. Lists'!$B$36:$D$39,3,FALSE))</f>
        <v/>
      </c>
      <c r="AB28" s="100" t="str">
        <f t="shared" si="6"/>
        <v/>
      </c>
      <c r="AC28" s="102" t="str">
        <f>IF(AB28="","",VLOOKUP(AB28,'12. Lists'!$F$36:$H$38,2,FALSE))</f>
        <v/>
      </c>
      <c r="AD28" s="101" t="str">
        <f>IF(AB28="","",VLOOKUP(AB28,'12. Lists'!$F$36:$H$38,3,FALSE))</f>
        <v/>
      </c>
      <c r="AE28" s="103" t="str">
        <f t="shared" si="3"/>
        <v/>
      </c>
      <c r="AF28" s="104" t="str">
        <f t="shared" si="4"/>
        <v/>
      </c>
      <c r="AG28" s="105" t="str">
        <f t="shared" si="5"/>
        <v/>
      </c>
      <c r="AH28" s="100" t="str">
        <f>IF(U28="","",VLOOKUP(U28,'12. Lists'!$B$47:$D$49,3,FALSE))</f>
        <v/>
      </c>
      <c r="AI28" s="101" t="str">
        <f>IF(D28="","",VLOOKUP(D28,'11. Condition and Temporal'!$B$6:$J$101,4,FALSE))</f>
        <v/>
      </c>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7"/>
      <c r="DN28" s="27"/>
      <c r="DO28" s="27"/>
      <c r="DP28" s="27"/>
      <c r="DQ28" s="27"/>
      <c r="DR28" s="27"/>
      <c r="DS28" s="27"/>
      <c r="DT28" s="27"/>
      <c r="DU28" s="27"/>
      <c r="DV28" s="27"/>
      <c r="DW28" s="27"/>
      <c r="DX28" s="27"/>
    </row>
    <row r="29" spans="1:128" ht="15.6" customHeight="1">
      <c r="A29" s="27"/>
      <c r="B29" s="106">
        <v>19</v>
      </c>
      <c r="C29" s="424"/>
      <c r="D29" s="658"/>
      <c r="E29" s="659"/>
      <c r="F29" s="607"/>
      <c r="G29" s="608"/>
      <c r="H29" s="609"/>
      <c r="I29" s="219"/>
      <c r="J29" s="213"/>
      <c r="K29" s="220"/>
      <c r="L29" s="166" t="str">
        <f t="shared" si="0"/>
        <v/>
      </c>
      <c r="M29" s="107" t="str">
        <f t="shared" si="1"/>
        <v/>
      </c>
      <c r="N29" s="351" t="str">
        <f t="shared" si="2"/>
        <v/>
      </c>
      <c r="O29" s="74"/>
      <c r="P29" s="8"/>
      <c r="Q29" s="27"/>
      <c r="R29" s="568"/>
      <c r="S29" s="27"/>
      <c r="T29" s="27"/>
      <c r="U29" s="100" t="str">
        <f>IF(C29="","",VLOOKUP(D29,'10. All Habitats + Multipliers'!$C$4:$K$99,5,FALSE))</f>
        <v/>
      </c>
      <c r="V29" s="101" t="str">
        <f>IF(U29="","",VLOOKUP(U29,'12. Lists'!$B$47:$D$49,2,FALSE))</f>
        <v/>
      </c>
      <c r="W29" s="100" t="str">
        <f>IF(C29="","",VLOOKUP(D29,'11. Condition and Temporal'!$B$6:$C$101,2,FALSE))</f>
        <v/>
      </c>
      <c r="X29" s="101" t="str">
        <f>IF(W29="","",VLOOKUP(W29,'12. Lists'!$F$47:$G$51,2,FALSE))</f>
        <v/>
      </c>
      <c r="Y29" s="100" t="str">
        <f>IF(C29="","",VLOOKUP(D29,'10. All Habitats + Multipliers'!$C$4:$K$99,9,FALSE))</f>
        <v/>
      </c>
      <c r="Z29" s="102" t="str">
        <f>IF(Y29="","",VLOOKUP(Y29,'12. Lists'!$B$36:$D$39,2,FALSE))</f>
        <v/>
      </c>
      <c r="AA29" s="101" t="str">
        <f>IF(Y29="","",VLOOKUP(Y29,'12. Lists'!$B$36:$D$39,3,FALSE))</f>
        <v/>
      </c>
      <c r="AB29" s="100" t="str">
        <f t="shared" si="6"/>
        <v/>
      </c>
      <c r="AC29" s="102" t="str">
        <f>IF(AB29="","",VLOOKUP(AB29,'12. Lists'!$F$36:$H$38,2,FALSE))</f>
        <v/>
      </c>
      <c r="AD29" s="101" t="str">
        <f>IF(AB29="","",VLOOKUP(AB29,'12. Lists'!$F$36:$H$38,3,FALSE))</f>
        <v/>
      </c>
      <c r="AE29" s="103" t="str">
        <f t="shared" si="3"/>
        <v/>
      </c>
      <c r="AF29" s="104" t="str">
        <f t="shared" si="4"/>
        <v/>
      </c>
      <c r="AG29" s="105" t="str">
        <f t="shared" si="5"/>
        <v/>
      </c>
      <c r="AH29" s="100" t="str">
        <f>IF(U29="","",VLOOKUP(U29,'12. Lists'!$B$47:$D$49,3,FALSE))</f>
        <v/>
      </c>
      <c r="AI29" s="101" t="str">
        <f>IF(D29="","",VLOOKUP(D29,'11. Condition and Temporal'!$B$6:$J$101,4,FALSE))</f>
        <v/>
      </c>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c r="DP29" s="27"/>
      <c r="DQ29" s="27"/>
      <c r="DR29" s="27"/>
      <c r="DS29" s="27"/>
      <c r="DT29" s="27"/>
      <c r="DU29" s="27"/>
      <c r="DV29" s="27"/>
      <c r="DW29" s="27"/>
      <c r="DX29" s="27"/>
    </row>
    <row r="30" spans="1:128" ht="16.149999999999999" customHeight="1" thickBot="1">
      <c r="A30" s="27"/>
      <c r="B30" s="108">
        <v>20</v>
      </c>
      <c r="C30" s="423"/>
      <c r="D30" s="667"/>
      <c r="E30" s="668"/>
      <c r="F30" s="607"/>
      <c r="G30" s="608"/>
      <c r="H30" s="609"/>
      <c r="I30" s="219"/>
      <c r="J30" s="213"/>
      <c r="K30" s="220"/>
      <c r="L30" s="209" t="str">
        <f t="shared" si="0"/>
        <v/>
      </c>
      <c r="M30" s="109" t="str">
        <f t="shared" si="1"/>
        <v/>
      </c>
      <c r="N30" s="110" t="str">
        <f t="shared" si="2"/>
        <v/>
      </c>
      <c r="O30" s="75"/>
      <c r="P30" s="4"/>
      <c r="Q30" s="27"/>
      <c r="R30" s="568"/>
      <c r="S30" s="27"/>
      <c r="T30" s="27"/>
      <c r="U30" s="100" t="str">
        <f>IF(C30="","",VLOOKUP(D30,'10. All Habitats + Multipliers'!$C$4:$K$99,5,FALSE))</f>
        <v/>
      </c>
      <c r="V30" s="101" t="str">
        <f>IF(U30="","",VLOOKUP(U30,'12. Lists'!$B$47:$D$49,2,FALSE))</f>
        <v/>
      </c>
      <c r="W30" s="100" t="str">
        <f>IF(C30="","",VLOOKUP(D30,'11. Condition and Temporal'!$B$6:$C$101,2,FALSE))</f>
        <v/>
      </c>
      <c r="X30" s="101" t="str">
        <f>IF(W30="","",VLOOKUP(W30,'12. Lists'!$F$47:$G$51,2,FALSE))</f>
        <v/>
      </c>
      <c r="Y30" s="100" t="str">
        <f>IF(C30="","",VLOOKUP(D30,'10. All Habitats + Multipliers'!$C$4:$K$99,9,FALSE))</f>
        <v/>
      </c>
      <c r="Z30" s="102" t="str">
        <f>IF(Y30="","",VLOOKUP(Y30,'12. Lists'!$B$36:$D$39,2,FALSE))</f>
        <v/>
      </c>
      <c r="AA30" s="101" t="str">
        <f>IF(Y30="","",VLOOKUP(Y30,'12. Lists'!$B$36:$D$39,3,FALSE))</f>
        <v/>
      </c>
      <c r="AB30" s="100" t="str">
        <f t="shared" si="6"/>
        <v/>
      </c>
      <c r="AC30" s="102" t="str">
        <f>IF(AB30="","",VLOOKUP(AB30,'12. Lists'!$F$36:$H$38,2,FALSE))</f>
        <v/>
      </c>
      <c r="AD30" s="101" t="str">
        <f>IF(AB30="","",VLOOKUP(AB30,'12. Lists'!$F$36:$H$38,3,FALSE))</f>
        <v/>
      </c>
      <c r="AE30" s="103" t="str">
        <f t="shared" si="3"/>
        <v/>
      </c>
      <c r="AF30" s="104" t="str">
        <f t="shared" si="4"/>
        <v/>
      </c>
      <c r="AG30" s="105" t="str">
        <f t="shared" si="5"/>
        <v/>
      </c>
      <c r="AH30" s="100" t="str">
        <f>IF(U30="","",VLOOKUP(U30,'12. Lists'!$B$47:$D$49,3,FALSE))</f>
        <v/>
      </c>
      <c r="AI30" s="101" t="str">
        <f>IF(D30="","",VLOOKUP(D30,'11. Condition and Temporal'!$B$6:$J$101,4,FALSE))</f>
        <v/>
      </c>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c r="DA30" s="27"/>
      <c r="DB30" s="27"/>
      <c r="DC30" s="27"/>
      <c r="DD30" s="27"/>
      <c r="DE30" s="27"/>
      <c r="DF30" s="27"/>
      <c r="DG30" s="27"/>
      <c r="DH30" s="27"/>
      <c r="DI30" s="27"/>
      <c r="DJ30" s="27"/>
      <c r="DK30" s="27"/>
      <c r="DL30" s="27"/>
      <c r="DM30" s="27"/>
      <c r="DN30" s="27"/>
      <c r="DO30" s="27"/>
      <c r="DP30" s="27"/>
      <c r="DQ30" s="27"/>
      <c r="DR30" s="27"/>
      <c r="DS30" s="27"/>
      <c r="DT30" s="27"/>
      <c r="DU30" s="27"/>
      <c r="DV30" s="27"/>
      <c r="DW30" s="27"/>
      <c r="DX30" s="27"/>
    </row>
    <row r="31" spans="1:128" ht="29.45" thickBot="1">
      <c r="A31" s="27"/>
      <c r="B31" s="108" t="s">
        <v>120</v>
      </c>
      <c r="C31" s="111" t="s">
        <v>117</v>
      </c>
      <c r="D31" s="666" t="s">
        <v>121</v>
      </c>
      <c r="E31" s="550"/>
      <c r="F31" s="620" t="s">
        <v>122</v>
      </c>
      <c r="G31" s="621"/>
      <c r="H31" s="622"/>
      <c r="I31" s="112">
        <f>I99</f>
        <v>0</v>
      </c>
      <c r="J31" s="113">
        <f>I99-L99</f>
        <v>0</v>
      </c>
      <c r="K31" s="113">
        <f>O99</f>
        <v>0</v>
      </c>
      <c r="L31" s="206">
        <f t="shared" ref="L31" si="7">IF(C31="","",((I31/10000)*V31*X31)*(AA31*AD31))</f>
        <v>0</v>
      </c>
      <c r="M31" s="114">
        <f t="shared" ref="M31" si="8">IF(C31="","",I31-J31-K31)</f>
        <v>0</v>
      </c>
      <c r="N31" s="115">
        <f t="shared" ref="N31" si="9">IF(C31="","",((M31/10000)*V31*X31)*(AA31*AD31))</f>
        <v>0</v>
      </c>
      <c r="O31" s="13"/>
      <c r="P31" s="14"/>
      <c r="Q31" s="27"/>
      <c r="R31" s="568"/>
      <c r="S31" s="27"/>
      <c r="T31" s="27"/>
      <c r="U31" s="116" t="str">
        <f>IF(C31="","",VLOOKUP(D31,'10. All Habitats + Multipliers'!$C$4:$K$99,5,FALSE))</f>
        <v>Medium</v>
      </c>
      <c r="V31" s="117">
        <f>IF(U31="","",VLOOKUP(U31,'12. Lists'!$B$47:$D$49,2,FALSE))</f>
        <v>4</v>
      </c>
      <c r="W31" s="116" t="str">
        <f>IF(C31="","",VLOOKUP(D31,'11. Condition and Temporal'!$B$6:$C$101,2,FALSE))</f>
        <v>Moderate</v>
      </c>
      <c r="X31" s="117">
        <f>IF(W31="","",VLOOKUP(W31,'12. Lists'!$F$47:$G$51,2,FALSE))</f>
        <v>2</v>
      </c>
      <c r="Y31" s="116" t="str">
        <f>IF(C31="","",VLOOKUP(D31,'10. All Habitats + Multipliers'!$C$4:$K$99,9,FALSE))</f>
        <v>Low</v>
      </c>
      <c r="Z31" s="118" t="str">
        <f>IF(Y31="","",VLOOKUP(Y31,'12. Lists'!$B$36:$D$39,2,FALSE))</f>
        <v>Unconnected habitat</v>
      </c>
      <c r="AA31" s="117">
        <f>IF(Y31="","",VLOOKUP(Y31,'12. Lists'!$B$36:$D$39,3,FALSE))</f>
        <v>1</v>
      </c>
      <c r="AB31" s="116" t="str">
        <f>IF(F31="","",F31)</f>
        <v>Area not in local strategy</v>
      </c>
      <c r="AC31" s="118" t="str">
        <f>IF(AB31="","",VLOOKUP(AB31,'12. Lists'!$F$36:$H$38,2,FALSE))</f>
        <v>Low Strategic Significance</v>
      </c>
      <c r="AD31" s="117">
        <f>IF(AB31="","",VLOOKUP(AB31,'12. Lists'!$F$36:$H$38,3,FALSE))</f>
        <v>1</v>
      </c>
      <c r="AE31" s="103">
        <f t="shared" si="3"/>
        <v>0</v>
      </c>
      <c r="AF31" s="119">
        <f t="shared" si="4"/>
        <v>0</v>
      </c>
      <c r="AG31" s="120">
        <f t="shared" si="5"/>
        <v>0</v>
      </c>
      <c r="AH31" s="116" t="str">
        <f>IF(U31="","",VLOOKUP(U31,'12. Lists'!$B$47:$D$49,3,FALSE))</f>
        <v>Same broad habitat or a higher distinctiveness habitat required</v>
      </c>
      <c r="AI31" s="101" t="str">
        <f>IF(D31="","",VLOOKUP(D31,'11. Condition and Temporal'!$B$6:$J$101,4,FALSE))</f>
        <v>Urban Tree</v>
      </c>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c r="DA31" s="27"/>
      <c r="DB31" s="27"/>
      <c r="DC31" s="27"/>
      <c r="DD31" s="27"/>
      <c r="DE31" s="27"/>
      <c r="DF31" s="27"/>
      <c r="DG31" s="27"/>
      <c r="DH31" s="27"/>
      <c r="DI31" s="27"/>
      <c r="DJ31" s="27"/>
      <c r="DK31" s="27"/>
      <c r="DL31" s="27"/>
      <c r="DM31" s="27"/>
      <c r="DN31" s="27"/>
      <c r="DO31" s="27"/>
      <c r="DP31" s="27"/>
      <c r="DQ31" s="27"/>
      <c r="DR31" s="27"/>
      <c r="DS31" s="27"/>
      <c r="DT31" s="27"/>
      <c r="DU31" s="27"/>
      <c r="DV31" s="27"/>
      <c r="DW31" s="27"/>
      <c r="DX31" s="27"/>
    </row>
    <row r="32" spans="1:128" s="27" customFormat="1" ht="15" thickBot="1">
      <c r="D32" s="94"/>
      <c r="E32" s="121"/>
      <c r="F32" s="121"/>
      <c r="G32" s="121"/>
      <c r="H32" s="205" t="s">
        <v>123</v>
      </c>
      <c r="I32" s="224">
        <f>SUM(I11:I30)</f>
        <v>2519</v>
      </c>
      <c r="J32" s="225">
        <f t="shared" ref="J32:M32" si="10">SUM(J11:J30)</f>
        <v>152</v>
      </c>
      <c r="K32" s="226">
        <f t="shared" si="10"/>
        <v>0</v>
      </c>
      <c r="L32" s="210">
        <f>SUM(L11:L31)</f>
        <v>0.47563999999999995</v>
      </c>
      <c r="M32" s="208">
        <f t="shared" si="10"/>
        <v>2367</v>
      </c>
      <c r="N32" s="122">
        <f>SUM(N11:N31)</f>
        <v>0.33579999999999993</v>
      </c>
      <c r="R32" s="568"/>
    </row>
    <row r="33" spans="2:34" s="27" customFormat="1">
      <c r="D33" s="94"/>
      <c r="E33" s="121"/>
      <c r="F33" s="121"/>
      <c r="G33" s="121"/>
      <c r="H33" s="123" t="s">
        <v>124</v>
      </c>
      <c r="I33" s="681" t="str">
        <f>IF(AND('3. Desktop Assessment'!C6="Other",I32&lt;10000),"Areas Acceptable", IF(I32&gt;5000,"Error - Site exceeds areas appropriate for the small sites metric","Areas Acceptable"))</f>
        <v>Areas Acceptable</v>
      </c>
      <c r="J33" s="681"/>
      <c r="K33" s="681"/>
      <c r="L33" s="681"/>
      <c r="M33" s="681"/>
      <c r="N33" s="682"/>
      <c r="O33" s="230">
        <f t="shared" ref="O33:O34" si="11">IFERROR(FIND("Error",I33),0)</f>
        <v>0</v>
      </c>
      <c r="R33" s="124"/>
    </row>
    <row r="34" spans="2:34" s="27" customFormat="1">
      <c r="D34" s="94"/>
      <c r="E34" s="121"/>
      <c r="F34" s="121"/>
      <c r="G34" s="121"/>
      <c r="H34" s="125" t="s">
        <v>125</v>
      </c>
      <c r="I34" s="683" t="str">
        <f>IF(I32&lt;J32+K32,"Error - Areas Retained and Enhanced Exceed Total Area","Areas Acceptable")</f>
        <v>Areas Acceptable</v>
      </c>
      <c r="J34" s="683"/>
      <c r="K34" s="683"/>
      <c r="L34" s="683"/>
      <c r="M34" s="683"/>
      <c r="N34" s="684"/>
      <c r="O34" s="230">
        <f t="shared" si="11"/>
        <v>0</v>
      </c>
      <c r="R34" s="124"/>
    </row>
    <row r="35" spans="2:34" s="27" customFormat="1" ht="15" thickBot="1">
      <c r="D35" s="94"/>
      <c r="E35" s="121"/>
      <c r="F35" s="121"/>
      <c r="G35" s="121"/>
      <c r="H35" s="126" t="s">
        <v>126</v>
      </c>
      <c r="I35" s="605" t="str">
        <f>IF(I32=0,"Areas Acceptable",IF(I32&lt;&gt;'3. Desktop Assessment'!C7,"Error - Areas Entered Does Not Match Stated Site Area","Areas Acceptable"))</f>
        <v>Error - Areas Entered Does Not Match Stated Site Area</v>
      </c>
      <c r="J35" s="605"/>
      <c r="K35" s="605"/>
      <c r="L35" s="605"/>
      <c r="M35" s="605"/>
      <c r="N35" s="606"/>
      <c r="O35" s="230">
        <f>IFERROR(FIND("Error",I35),0)</f>
        <v>1</v>
      </c>
      <c r="R35" s="568" t="s">
        <v>73</v>
      </c>
    </row>
    <row r="36" spans="2:34" s="27" customFormat="1" ht="21">
      <c r="B36" s="62" t="s">
        <v>127</v>
      </c>
      <c r="D36" s="93"/>
      <c r="E36" s="121"/>
      <c r="F36" s="121"/>
      <c r="G36" s="121"/>
      <c r="I36" s="28"/>
      <c r="O36" s="230">
        <f>COUNTIF(L11:N30,"*"&amp;"error"&amp;"*")</f>
        <v>0</v>
      </c>
      <c r="R36" s="568"/>
    </row>
    <row r="37" spans="2:34" s="27" customFormat="1" ht="15.75" customHeight="1" thickBot="1">
      <c r="R37" s="568"/>
    </row>
    <row r="38" spans="2:34" s="27" customFormat="1" ht="16.149999999999999" customHeight="1">
      <c r="B38" s="576" t="s">
        <v>67</v>
      </c>
      <c r="C38" s="583"/>
      <c r="D38" s="584"/>
      <c r="E38" s="578" t="s">
        <v>128</v>
      </c>
      <c r="F38" s="623"/>
      <c r="G38" s="593"/>
      <c r="H38" s="623" t="s">
        <v>129</v>
      </c>
      <c r="I38" s="598" t="s">
        <v>130</v>
      </c>
      <c r="J38" s="599"/>
      <c r="K38" s="600"/>
      <c r="L38" s="610" t="s">
        <v>131</v>
      </c>
      <c r="M38" s="583"/>
      <c r="N38" s="584"/>
      <c r="O38" s="578" t="s">
        <v>85</v>
      </c>
      <c r="P38" s="593"/>
      <c r="R38" s="568"/>
      <c r="U38" s="591" t="s">
        <v>86</v>
      </c>
      <c r="V38" s="592"/>
      <c r="W38" s="591" t="s">
        <v>87</v>
      </c>
      <c r="X38" s="592"/>
      <c r="Y38" s="591" t="s">
        <v>88</v>
      </c>
      <c r="Z38" s="604"/>
      <c r="AA38" s="592"/>
      <c r="AB38" s="591" t="s">
        <v>89</v>
      </c>
      <c r="AC38" s="604"/>
      <c r="AD38" s="592"/>
      <c r="AE38" s="591" t="s">
        <v>132</v>
      </c>
      <c r="AF38" s="592"/>
      <c r="AG38" s="591" t="s">
        <v>133</v>
      </c>
      <c r="AH38" s="592"/>
    </row>
    <row r="39" spans="2:34" s="27" customFormat="1" ht="31.9" thickBot="1">
      <c r="B39" s="577"/>
      <c r="C39" s="315" t="s">
        <v>93</v>
      </c>
      <c r="D39" s="316" t="s">
        <v>134</v>
      </c>
      <c r="E39" s="91" t="s">
        <v>135</v>
      </c>
      <c r="F39" s="522" t="s">
        <v>136</v>
      </c>
      <c r="G39" s="546"/>
      <c r="H39" s="523"/>
      <c r="I39" s="601"/>
      <c r="J39" s="602"/>
      <c r="K39" s="603"/>
      <c r="L39" s="518"/>
      <c r="M39" s="519"/>
      <c r="N39" s="522"/>
      <c r="O39" s="91" t="s">
        <v>101</v>
      </c>
      <c r="P39" s="95" t="s">
        <v>102</v>
      </c>
      <c r="R39" s="568"/>
      <c r="U39" s="96" t="s">
        <v>103</v>
      </c>
      <c r="V39" s="97" t="s">
        <v>104</v>
      </c>
      <c r="W39" s="96" t="s">
        <v>105</v>
      </c>
      <c r="X39" s="97" t="s">
        <v>104</v>
      </c>
      <c r="Y39" s="96" t="s">
        <v>88</v>
      </c>
      <c r="Z39" s="52" t="s">
        <v>106</v>
      </c>
      <c r="AA39" s="97" t="s">
        <v>107</v>
      </c>
      <c r="AB39" s="96" t="s">
        <v>89</v>
      </c>
      <c r="AC39" s="52" t="s">
        <v>89</v>
      </c>
      <c r="AD39" s="97" t="s">
        <v>108</v>
      </c>
      <c r="AE39" s="96" t="s">
        <v>137</v>
      </c>
      <c r="AF39" s="97" t="s">
        <v>138</v>
      </c>
      <c r="AG39" s="96" t="s">
        <v>139</v>
      </c>
      <c r="AH39" s="97" t="s">
        <v>140</v>
      </c>
    </row>
    <row r="40" spans="2:34" s="27" customFormat="1" ht="72">
      <c r="B40" s="98">
        <v>1</v>
      </c>
      <c r="C40" s="81" t="s">
        <v>112</v>
      </c>
      <c r="D40" s="78" t="s">
        <v>141</v>
      </c>
      <c r="E40" s="127" t="str">
        <f>IF(D40="","",VLOOKUP(D40,'11. Condition and Temporal'!$B$6:$D$101,3,FALSE))</f>
        <v>Moderate, Good</v>
      </c>
      <c r="F40" s="660" t="s">
        <v>142</v>
      </c>
      <c r="G40" s="661"/>
      <c r="H40" s="77" t="s">
        <v>114</v>
      </c>
      <c r="I40" s="561">
        <v>251</v>
      </c>
      <c r="J40" s="562"/>
      <c r="K40" s="563"/>
      <c r="L40" s="551">
        <f>IF(C40="","",IFERROR(IF(I40="","Area error",((I40/10000)*(V40*X40))*(AH40*AF40)*(AA40*AD40)),"Value missing"))</f>
        <v>0.19324048354255199</v>
      </c>
      <c r="M40" s="552"/>
      <c r="N40" s="553"/>
      <c r="O40" s="2" t="s">
        <v>143</v>
      </c>
      <c r="P40" s="1"/>
      <c r="Q40" s="128"/>
      <c r="R40" s="568"/>
      <c r="U40" s="100" t="str">
        <f>IF(C40="","",VLOOKUP(D40,'10. All Habitats + Multipliers'!$C$4:$K$99,5,FALSE))</f>
        <v>Medium</v>
      </c>
      <c r="V40" s="101">
        <f>IF(U40="","",VLOOKUP(U40,'12. Lists'!$B$47:$D$49,2,FALSE))</f>
        <v>4</v>
      </c>
      <c r="W40" s="100" t="str">
        <f>IF(F40="","",F40)</f>
        <v>Moderate</v>
      </c>
      <c r="X40" s="101">
        <f>IF(W40="","",VLOOKUP(W40,'12. Lists'!$F$47:$G$51,2,FALSE))</f>
        <v>2</v>
      </c>
      <c r="Y40" s="100" t="str">
        <f>IF(C40="","",VLOOKUP(D40,'10. All Habitats + Multipliers'!$C$4:$K$99,9,FALSE))</f>
        <v>Low</v>
      </c>
      <c r="Z40" s="102" t="str">
        <f>IF(Y40="","",VLOOKUP(Y40,'12. Lists'!$B$36:$D$39,2,FALSE))</f>
        <v>Unconnected habitat</v>
      </c>
      <c r="AA40" s="101">
        <f>IF(Y40="","",VLOOKUP(Y40,'12. Lists'!$B$36:$D$39,3,FALSE))</f>
        <v>1</v>
      </c>
      <c r="AB40" s="100" t="str">
        <f>IF(H40="","",H40)</f>
        <v>Within area formally identified in local strategy</v>
      </c>
      <c r="AC40" s="102" t="str">
        <f>IF(AB40="","",VLOOKUP(AB40,'12. Lists'!$F$36:$H$38,2,FALSE))</f>
        <v xml:space="preserve">High strategic significance </v>
      </c>
      <c r="AD40" s="101">
        <f>IF(AB40="","",VLOOKUP(AB40,'12. Lists'!$F$36:$H$38,3,FALSE))</f>
        <v>1.1499999999999999</v>
      </c>
      <c r="AE40" s="100">
        <f>IF(F40="","",IF(F40="Moderate",VLOOKUP(D40,'11. Condition and Temporal'!$B$6:$J$101,6,FALSE),IF('5. Area Habitats'!F40="Good",VLOOKUP(D40,'11. Condition and Temporal'!$B$6:$J$101,7,FALSE),VLOOKUP(D40,'11. Condition and Temporal'!$B$6:$J$101,8,FALSE))))</f>
        <v>5</v>
      </c>
      <c r="AF40" s="129">
        <f>IF(AE40="","",VLOOKUP(AE40,'12. Lists'!$I$47:$K$80,3,FALSE))</f>
        <v>0.83682870060000003</v>
      </c>
      <c r="AG40" s="100" t="str">
        <f>IF(D40="","",VLOOKUP(D40,'10. All Habitats + Multipliers'!$C$4:$K$99,7,FALSE))</f>
        <v>Low</v>
      </c>
      <c r="AH40" s="101">
        <f>IF(AG40="","",VLOOKUP(AG40,'12. Lists'!$J$35:$K$38,2,FALSE))</f>
        <v>1</v>
      </c>
    </row>
    <row r="41" spans="2:34" s="27" customFormat="1" ht="28.9">
      <c r="B41" s="106">
        <v>2</v>
      </c>
      <c r="C41" s="82" t="s">
        <v>117</v>
      </c>
      <c r="D41" s="78" t="s">
        <v>118</v>
      </c>
      <c r="E41" s="127" t="str">
        <f>IF(D41="","",VLOOKUP(D41,'11. Condition and Temporal'!$B$6:$D$101,3,FALSE))</f>
        <v>N/A - Other</v>
      </c>
      <c r="F41" s="540" t="s">
        <v>144</v>
      </c>
      <c r="G41" s="541"/>
      <c r="H41" s="76" t="s">
        <v>114</v>
      </c>
      <c r="I41" s="561">
        <v>728</v>
      </c>
      <c r="J41" s="562"/>
      <c r="K41" s="563"/>
      <c r="L41" s="551">
        <f t="shared" ref="L41:L59" si="12">IF(C41="","",IFERROR(IF(I41="","Area error",((I41/10000)*(V41*X41))*(AH41*AF41)*(AA41*AD41)),"Value missing"))</f>
        <v>0</v>
      </c>
      <c r="M41" s="552"/>
      <c r="N41" s="553"/>
      <c r="O41" s="66"/>
      <c r="P41" s="12"/>
      <c r="Q41" s="128"/>
      <c r="R41" s="568"/>
      <c r="U41" s="100" t="str">
        <f>IF(C41="","",VLOOKUP(D41,'10. All Habitats + Multipliers'!$C$4:$K$99,5,FALSE))</f>
        <v>V.Low</v>
      </c>
      <c r="V41" s="101">
        <f>IF(U41="","",VLOOKUP(U41,'12. Lists'!$B$47:$D$49,2,FALSE))</f>
        <v>0</v>
      </c>
      <c r="W41" s="100" t="str">
        <f>IF(F41="","",F41)</f>
        <v>N/A - Other</v>
      </c>
      <c r="X41" s="101">
        <f>IF(W41="","",VLOOKUP(W41,'12. Lists'!$F$47:$G$51,2,FALSE))</f>
        <v>0</v>
      </c>
      <c r="Y41" s="100" t="str">
        <f>IF(C41="","",VLOOKUP(D41,'10. All Habitats + Multipliers'!$C$4:$K$99,9,FALSE))</f>
        <v>Low</v>
      </c>
      <c r="Z41" s="102" t="str">
        <f>IF(Y41="","",VLOOKUP(Y41,'12. Lists'!$B$36:$D$39,2,FALSE))</f>
        <v>Unconnected habitat</v>
      </c>
      <c r="AA41" s="101">
        <f>IF(Y41="","",VLOOKUP(Y41,'12. Lists'!$B$36:$D$39,3,FALSE))</f>
        <v>1</v>
      </c>
      <c r="AB41" s="100" t="str">
        <f t="shared" ref="AB41:AB60" si="13">IF(H41="","",H41)</f>
        <v>Within area formally identified in local strategy</v>
      </c>
      <c r="AC41" s="102" t="str">
        <f>IF(AB41="","",VLOOKUP(AB41,'12. Lists'!$F$36:$H$38,2,FALSE))</f>
        <v xml:space="preserve">High strategic significance </v>
      </c>
      <c r="AD41" s="101">
        <f>IF(AB41="","",VLOOKUP(AB41,'12. Lists'!$F$36:$H$38,3,FALSE))</f>
        <v>1.1499999999999999</v>
      </c>
      <c r="AE41" s="100">
        <f>IF(F41="","",IF(F41="Moderate",VLOOKUP(D41,'11. Condition and Temporal'!$B$6:$J$101,6,FALSE),IF('5. Area Habitats'!F41="Good",VLOOKUP(D41,'11. Condition and Temporal'!$B$6:$J$101,7,FALSE),VLOOKUP(D41,'11. Condition and Temporal'!$B$6:$J$101,8,FALSE))))</f>
        <v>0</v>
      </c>
      <c r="AF41" s="129">
        <f>IF(AE41="","",VLOOKUP(AE41,'12. Lists'!$I$47:$K$80,3,FALSE))</f>
        <v>1</v>
      </c>
      <c r="AG41" s="100" t="str">
        <f>IF(D41="","",VLOOKUP(D41,'10. All Habitats + Multipliers'!$C$4:$K$99,7,FALSE))</f>
        <v>Low</v>
      </c>
      <c r="AH41" s="101">
        <f>IF(AG41="","",VLOOKUP(AG41,'12. Lists'!$J$35:$K$38,2,FALSE))</f>
        <v>1</v>
      </c>
    </row>
    <row r="42" spans="2:34" s="27" customFormat="1" ht="28.9">
      <c r="B42" s="106">
        <v>3</v>
      </c>
      <c r="C42" s="82" t="s">
        <v>117</v>
      </c>
      <c r="D42" s="78" t="s">
        <v>145</v>
      </c>
      <c r="E42" s="127" t="str">
        <f>IF(D42="","",VLOOKUP(D42,'11. Condition and Temporal'!$B$6:$D$101,3,FALSE))</f>
        <v>Poor</v>
      </c>
      <c r="F42" s="540" t="s">
        <v>146</v>
      </c>
      <c r="G42" s="541"/>
      <c r="H42" s="76" t="s">
        <v>114</v>
      </c>
      <c r="I42" s="561">
        <v>1137</v>
      </c>
      <c r="J42" s="562"/>
      <c r="K42" s="563"/>
      <c r="L42" s="551">
        <f t="shared" si="12"/>
        <v>0.25235714999999997</v>
      </c>
      <c r="M42" s="552"/>
      <c r="N42" s="553"/>
      <c r="O42" s="66"/>
      <c r="P42" s="12"/>
      <c r="Q42" s="128"/>
      <c r="R42" s="568"/>
      <c r="U42" s="100" t="str">
        <f>IF(C42="","",VLOOKUP(D42,'10. All Habitats + Multipliers'!$C$4:$K$99,5,FALSE))</f>
        <v>Low</v>
      </c>
      <c r="V42" s="101">
        <f>IF(U42="","",VLOOKUP(U42,'12. Lists'!$B$47:$D$49,2,FALSE))</f>
        <v>2</v>
      </c>
      <c r="W42" s="100" t="str">
        <f>IF(F42="","",F42)</f>
        <v>Poor</v>
      </c>
      <c r="X42" s="101">
        <f>IF(W42="","",VLOOKUP(W42,'12. Lists'!$F$47:$G$51,2,FALSE))</f>
        <v>1</v>
      </c>
      <c r="Y42" s="100" t="str">
        <f>IF(C42="","",VLOOKUP(D42,'10. All Habitats + Multipliers'!$C$4:$K$99,9,FALSE))</f>
        <v>Low</v>
      </c>
      <c r="Z42" s="102" t="str">
        <f>IF(Y42="","",VLOOKUP(Y42,'12. Lists'!$B$36:$D$39,2,FALSE))</f>
        <v>Unconnected habitat</v>
      </c>
      <c r="AA42" s="101">
        <f>IF(Y42="","",VLOOKUP(Y42,'12. Lists'!$B$36:$D$39,3,FALSE))</f>
        <v>1</v>
      </c>
      <c r="AB42" s="100" t="str">
        <f t="shared" si="13"/>
        <v>Within area formally identified in local strategy</v>
      </c>
      <c r="AC42" s="102" t="str">
        <f>IF(AB42="","",VLOOKUP(AB42,'12. Lists'!$F$36:$H$38,2,FALSE))</f>
        <v xml:space="preserve">High strategic significance </v>
      </c>
      <c r="AD42" s="101">
        <f>IF(AB42="","",VLOOKUP(AB42,'12. Lists'!$F$36:$H$38,3,FALSE))</f>
        <v>1.1499999999999999</v>
      </c>
      <c r="AE42" s="100">
        <f>IF(F42="","",IF(F42="Moderate",VLOOKUP(D42,'11. Condition and Temporal'!$B$6:$J$101,6,FALSE),IF('5. Area Habitats'!F42="Good",VLOOKUP(D42,'11. Condition and Temporal'!$B$6:$J$101,7,FALSE),VLOOKUP(D42,'11. Condition and Temporal'!$B$6:$J$101,8,FALSE))))</f>
        <v>1</v>
      </c>
      <c r="AF42" s="129">
        <f>IF(AE42="","",VLOOKUP(AE42,'12. Lists'!$I$47:$K$80,3,FALSE))</f>
        <v>0.96499999999999997</v>
      </c>
      <c r="AG42" s="100" t="str">
        <f>IF(D42="","",VLOOKUP(D42,'10. All Habitats + Multipliers'!$C$4:$K$99,7,FALSE))</f>
        <v>Low</v>
      </c>
      <c r="AH42" s="101">
        <f>IF(AG42="","",VLOOKUP(AG42,'12. Lists'!$J$35:$K$38,2,FALSE))</f>
        <v>1</v>
      </c>
    </row>
    <row r="43" spans="2:34" s="27" customFormat="1" ht="15.75" customHeight="1">
      <c r="B43" s="106">
        <v>4</v>
      </c>
      <c r="C43" s="82" t="s">
        <v>115</v>
      </c>
      <c r="D43" s="78" t="s">
        <v>116</v>
      </c>
      <c r="E43" s="127" t="str">
        <f>IF(D43="","",VLOOKUP(D43,'11. Condition and Temporal'!$B$6:$D$101,3,FALSE))</f>
        <v>Moderate, Good</v>
      </c>
      <c r="F43" s="540" t="s">
        <v>142</v>
      </c>
      <c r="G43" s="541"/>
      <c r="H43" s="76" t="s">
        <v>114</v>
      </c>
      <c r="I43" s="561">
        <v>251</v>
      </c>
      <c r="J43" s="562"/>
      <c r="K43" s="563"/>
      <c r="L43" s="551">
        <f t="shared" si="12"/>
        <v>0.19324048354255199</v>
      </c>
      <c r="M43" s="552"/>
      <c r="N43" s="553"/>
      <c r="O43" s="66" t="s">
        <v>147</v>
      </c>
      <c r="P43" s="12"/>
      <c r="Q43" s="128"/>
      <c r="R43" s="568"/>
      <c r="U43" s="100" t="str">
        <f>IF(C43="","",VLOOKUP(D43,'10. All Habitats + Multipliers'!$C$4:$K$99,5,FALSE))</f>
        <v>Medium</v>
      </c>
      <c r="V43" s="101">
        <f>IF(U43="","",VLOOKUP(U43,'12. Lists'!$B$47:$D$49,2,FALSE))</f>
        <v>4</v>
      </c>
      <c r="W43" s="100" t="str">
        <f>IF(F43="","",F43)</f>
        <v>Moderate</v>
      </c>
      <c r="X43" s="101">
        <f>IF(W43="","",VLOOKUP(W43,'12. Lists'!$F$47:$G$51,2,FALSE))</f>
        <v>2</v>
      </c>
      <c r="Y43" s="100" t="str">
        <f>IF(C43="","",VLOOKUP(D43,'10. All Habitats + Multipliers'!$C$4:$K$99,9,FALSE))</f>
        <v>Low</v>
      </c>
      <c r="Z43" s="102" t="str">
        <f>IF(Y43="","",VLOOKUP(Y43,'12. Lists'!$B$36:$D$39,2,FALSE))</f>
        <v>Unconnected habitat</v>
      </c>
      <c r="AA43" s="101">
        <f>IF(Y43="","",VLOOKUP(Y43,'12. Lists'!$B$36:$D$39,3,FALSE))</f>
        <v>1</v>
      </c>
      <c r="AB43" s="100" t="str">
        <f t="shared" si="13"/>
        <v>Within area formally identified in local strategy</v>
      </c>
      <c r="AC43" s="102" t="str">
        <f>IF(AB43="","",VLOOKUP(AB43,'12. Lists'!$F$36:$H$38,2,FALSE))</f>
        <v xml:space="preserve">High strategic significance </v>
      </c>
      <c r="AD43" s="101">
        <f>IF(AB43="","",VLOOKUP(AB43,'12. Lists'!$F$36:$H$38,3,FALSE))</f>
        <v>1.1499999999999999</v>
      </c>
      <c r="AE43" s="100">
        <f>IF(F43="","",IF(F43="Moderate",VLOOKUP(D43,'11. Condition and Temporal'!$B$6:$J$101,6,FALSE),IF('5. Area Habitats'!F43="Good",VLOOKUP(D43,'11. Condition and Temporal'!$B$6:$J$101,7,FALSE),VLOOKUP(D43,'11. Condition and Temporal'!$B$6:$J$101,8,FALSE))))</f>
        <v>5</v>
      </c>
      <c r="AF43" s="129">
        <f>IF(AE43="","",VLOOKUP(AE43,'12. Lists'!$I$47:$K$80,3,FALSE))</f>
        <v>0.83682870060000003</v>
      </c>
      <c r="AG43" s="100" t="str">
        <f>IF(D43="","",VLOOKUP(D43,'10. All Habitats + Multipliers'!$C$4:$K$99,7,FALSE))</f>
        <v>Low</v>
      </c>
      <c r="AH43" s="101">
        <f>IF(AG43="","",VLOOKUP(AG43,'12. Lists'!$J$35:$K$38,2,FALSE))</f>
        <v>1</v>
      </c>
    </row>
    <row r="44" spans="2:34" s="27" customFormat="1" ht="15.6">
      <c r="B44" s="106">
        <v>5</v>
      </c>
      <c r="C44" s="82"/>
      <c r="D44" s="78"/>
      <c r="E44" s="127" t="str">
        <f>IF(D44="","",VLOOKUP(D44,'11. Condition and Temporal'!$B$6:$D$101,3,FALSE))</f>
        <v/>
      </c>
      <c r="F44" s="540"/>
      <c r="G44" s="541"/>
      <c r="H44" s="76"/>
      <c r="I44" s="561"/>
      <c r="J44" s="562"/>
      <c r="K44" s="563"/>
      <c r="L44" s="551" t="str">
        <f t="shared" si="12"/>
        <v/>
      </c>
      <c r="M44" s="552"/>
      <c r="N44" s="553"/>
      <c r="O44" s="66"/>
      <c r="P44" s="12"/>
      <c r="R44" s="568"/>
      <c r="U44" s="100" t="str">
        <f>IF(C44="","",VLOOKUP(D44,'10. All Habitats + Multipliers'!$C$4:$K$99,5,FALSE))</f>
        <v/>
      </c>
      <c r="V44" s="101" t="str">
        <f>IF(U44="","",VLOOKUP(U44,'12. Lists'!$B$47:$D$49,2,FALSE))</f>
        <v/>
      </c>
      <c r="W44" s="100" t="str">
        <f t="shared" ref="W44:W59" si="14">IF(F44="","",F44)</f>
        <v/>
      </c>
      <c r="X44" s="101" t="str">
        <f>IF(W44="","",VLOOKUP(W44,'12. Lists'!$F$47:$G$51,2,FALSE))</f>
        <v/>
      </c>
      <c r="Y44" s="100" t="str">
        <f>IF(C44="","",VLOOKUP(D44,'10. All Habitats + Multipliers'!$C$4:$K$99,9,FALSE))</f>
        <v/>
      </c>
      <c r="Z44" s="102" t="str">
        <f>IF(Y44="","",VLOOKUP(Y44,'12. Lists'!$B$36:$D$39,2,FALSE))</f>
        <v/>
      </c>
      <c r="AA44" s="101" t="str">
        <f>IF(Y44="","",VLOOKUP(Y44,'12. Lists'!$B$36:$D$39,3,FALSE))</f>
        <v/>
      </c>
      <c r="AB44" s="100" t="str">
        <f t="shared" si="13"/>
        <v/>
      </c>
      <c r="AC44" s="102" t="str">
        <f>IF(AB44="","",VLOOKUP(AB44,'12. Lists'!$F$36:$H$38,2,FALSE))</f>
        <v/>
      </c>
      <c r="AD44" s="101" t="str">
        <f>IF(AB44="","",VLOOKUP(AB44,'12. Lists'!$F$36:$H$38,3,FALSE))</f>
        <v/>
      </c>
      <c r="AE44" s="100" t="str">
        <f>IF(F44="","",IF(F44="Moderate",VLOOKUP(D44,'11. Condition and Temporal'!$B$6:$J$101,6,FALSE),IF('5. Area Habitats'!F44="Good",VLOOKUP(D44,'11. Condition and Temporal'!$B$6:$J$101,7,FALSE),VLOOKUP(D44,'11. Condition and Temporal'!$B$6:$J$101,8,FALSE))))</f>
        <v/>
      </c>
      <c r="AF44" s="129" t="str">
        <f>IF(AE44="","",VLOOKUP(AE44,'12. Lists'!$I$47:$K$80,3,FALSE))</f>
        <v/>
      </c>
      <c r="AG44" s="100" t="str">
        <f>IF(D44="","",VLOOKUP(D44,'10. All Habitats + Multipliers'!$C$4:$K$99,7,FALSE))</f>
        <v/>
      </c>
      <c r="AH44" s="101" t="str">
        <f>IF(AG44="","",VLOOKUP(AG44,'12. Lists'!$J$35:$K$38,2,FALSE))</f>
        <v/>
      </c>
    </row>
    <row r="45" spans="2:34" s="27" customFormat="1" ht="15.6">
      <c r="B45" s="106">
        <v>6</v>
      </c>
      <c r="C45" s="82"/>
      <c r="D45" s="78"/>
      <c r="E45" s="127" t="str">
        <f>IF(D45="","",VLOOKUP(D45,'11. Condition and Temporal'!$B$6:$D$101,3,FALSE))</f>
        <v/>
      </c>
      <c r="F45" s="540"/>
      <c r="G45" s="541"/>
      <c r="H45" s="76"/>
      <c r="I45" s="561"/>
      <c r="J45" s="562"/>
      <c r="K45" s="563"/>
      <c r="L45" s="551" t="str">
        <f t="shared" si="12"/>
        <v/>
      </c>
      <c r="M45" s="552"/>
      <c r="N45" s="553"/>
      <c r="O45" s="66"/>
      <c r="P45" s="12"/>
      <c r="R45" s="568"/>
      <c r="U45" s="100" t="str">
        <f>IF(C45="","",VLOOKUP(D45,'10. All Habitats + Multipliers'!$C$4:$K$99,5,FALSE))</f>
        <v/>
      </c>
      <c r="V45" s="101" t="str">
        <f>IF(U45="","",VLOOKUP(U45,'12. Lists'!$B$47:$D$49,2,FALSE))</f>
        <v/>
      </c>
      <c r="W45" s="100" t="str">
        <f t="shared" si="14"/>
        <v/>
      </c>
      <c r="X45" s="101" t="str">
        <f>IF(W45="","",VLOOKUP(W45,'12. Lists'!$F$47:$G$51,2,FALSE))</f>
        <v/>
      </c>
      <c r="Y45" s="100" t="str">
        <f>IF(C45="","",VLOOKUP(D45,'10. All Habitats + Multipliers'!$C$4:$K$99,9,FALSE))</f>
        <v/>
      </c>
      <c r="Z45" s="102" t="str">
        <f>IF(Y45="","",VLOOKUP(Y45,'12. Lists'!$B$36:$D$39,2,FALSE))</f>
        <v/>
      </c>
      <c r="AA45" s="101" t="str">
        <f>IF(Y45="","",VLOOKUP(Y45,'12. Lists'!$B$36:$D$39,3,FALSE))</f>
        <v/>
      </c>
      <c r="AB45" s="100" t="str">
        <f t="shared" si="13"/>
        <v/>
      </c>
      <c r="AC45" s="102" t="str">
        <f>IF(AB45="","",VLOOKUP(AB45,'12. Lists'!$F$36:$H$38,2,FALSE))</f>
        <v/>
      </c>
      <c r="AD45" s="101" t="str">
        <f>IF(AB45="","",VLOOKUP(AB45,'12. Lists'!$F$36:$H$38,3,FALSE))</f>
        <v/>
      </c>
      <c r="AE45" s="100" t="str">
        <f>IF(F45="","",IF(F45="Moderate",VLOOKUP(D45,'11. Condition and Temporal'!$B$6:$J$101,6,FALSE),IF('5. Area Habitats'!F45="Good",VLOOKUP(D45,'11. Condition and Temporal'!$B$6:$J$101,7,FALSE),VLOOKUP(D45,'11. Condition and Temporal'!$B$6:$J$101,8,FALSE))))</f>
        <v/>
      </c>
      <c r="AF45" s="129" t="str">
        <f>IF(AE45="","",VLOOKUP(AE45,'12. Lists'!$I$47:$K$80,3,FALSE))</f>
        <v/>
      </c>
      <c r="AG45" s="100" t="str">
        <f>IF(D45="","",VLOOKUP(D45,'10. All Habitats + Multipliers'!$C$4:$K$99,7,FALSE))</f>
        <v/>
      </c>
      <c r="AH45" s="101" t="str">
        <f>IF(AG45="","",VLOOKUP(AG45,'12. Lists'!$J$35:$K$38,2,FALSE))</f>
        <v/>
      </c>
    </row>
    <row r="46" spans="2:34" s="27" customFormat="1" ht="15.6">
      <c r="B46" s="106">
        <v>7</v>
      </c>
      <c r="C46" s="82"/>
      <c r="D46" s="78"/>
      <c r="E46" s="127" t="str">
        <f>IF(D46="","",VLOOKUP(D46,'11. Condition and Temporal'!$B$6:$D$101,3,FALSE))</f>
        <v/>
      </c>
      <c r="F46" s="540"/>
      <c r="G46" s="541"/>
      <c r="H46" s="76"/>
      <c r="I46" s="561"/>
      <c r="J46" s="562"/>
      <c r="K46" s="563"/>
      <c r="L46" s="551" t="str">
        <f t="shared" si="12"/>
        <v/>
      </c>
      <c r="M46" s="552"/>
      <c r="N46" s="553"/>
      <c r="O46" s="66"/>
      <c r="P46" s="12"/>
      <c r="R46" s="568"/>
      <c r="U46" s="100" t="str">
        <f>IF(C46="","",VLOOKUP(D46,'10. All Habitats + Multipliers'!$C$4:$K$99,5,FALSE))</f>
        <v/>
      </c>
      <c r="V46" s="101" t="str">
        <f>IF(U46="","",VLOOKUP(U46,'12. Lists'!$B$47:$D$49,2,FALSE))</f>
        <v/>
      </c>
      <c r="W46" s="100" t="str">
        <f t="shared" si="14"/>
        <v/>
      </c>
      <c r="X46" s="101" t="str">
        <f>IF(W46="","",VLOOKUP(W46,'12. Lists'!$F$47:$G$51,2,FALSE))</f>
        <v/>
      </c>
      <c r="Y46" s="100" t="str">
        <f>IF(C46="","",VLOOKUP(D46,'10. All Habitats + Multipliers'!$C$4:$K$99,9,FALSE))</f>
        <v/>
      </c>
      <c r="Z46" s="102" t="str">
        <f>IF(Y46="","",VLOOKUP(Y46,'12. Lists'!$B$36:$D$39,2,FALSE))</f>
        <v/>
      </c>
      <c r="AA46" s="101" t="str">
        <f>IF(Y46="","",VLOOKUP(Y46,'12. Lists'!$B$36:$D$39,3,FALSE))</f>
        <v/>
      </c>
      <c r="AB46" s="100" t="str">
        <f t="shared" si="13"/>
        <v/>
      </c>
      <c r="AC46" s="102" t="str">
        <f>IF(AB46="","",VLOOKUP(AB46,'12. Lists'!$F$36:$H$38,2,FALSE))</f>
        <v/>
      </c>
      <c r="AD46" s="101" t="str">
        <f>IF(AB46="","",VLOOKUP(AB46,'12. Lists'!$F$36:$H$38,3,FALSE))</f>
        <v/>
      </c>
      <c r="AE46" s="100" t="str">
        <f>IF(F46="","",IF(F46="Moderate",VLOOKUP(D46,'11. Condition and Temporal'!$B$6:$J$101,6,FALSE),IF('5. Area Habitats'!F46="Good",VLOOKUP(D46,'11. Condition and Temporal'!$B$6:$J$101,7,FALSE),VLOOKUP(D46,'11. Condition and Temporal'!$B$6:$J$101,8,FALSE))))</f>
        <v/>
      </c>
      <c r="AF46" s="129" t="str">
        <f>IF(AE46="","",VLOOKUP(AE46,'12. Lists'!$I$47:$K$80,3,FALSE))</f>
        <v/>
      </c>
      <c r="AG46" s="100" t="str">
        <f>IF(D46="","",VLOOKUP(D46,'10. All Habitats + Multipliers'!$C$4:$K$99,7,FALSE))</f>
        <v/>
      </c>
      <c r="AH46" s="101" t="str">
        <f>IF(AG46="","",VLOOKUP(AG46,'12. Lists'!$J$35:$K$38,2,FALSE))</f>
        <v/>
      </c>
    </row>
    <row r="47" spans="2:34" s="27" customFormat="1" ht="15.6">
      <c r="B47" s="106">
        <v>8</v>
      </c>
      <c r="C47" s="82"/>
      <c r="D47" s="78"/>
      <c r="E47" s="127" t="str">
        <f>IF(D47="","",VLOOKUP(D47,'11. Condition and Temporal'!$B$6:$D$101,3,FALSE))</f>
        <v/>
      </c>
      <c r="F47" s="540"/>
      <c r="G47" s="541"/>
      <c r="H47" s="76"/>
      <c r="I47" s="561"/>
      <c r="J47" s="562"/>
      <c r="K47" s="563"/>
      <c r="L47" s="551" t="str">
        <f t="shared" si="12"/>
        <v/>
      </c>
      <c r="M47" s="552"/>
      <c r="N47" s="553"/>
      <c r="O47" s="66"/>
      <c r="P47" s="12"/>
      <c r="R47" s="568"/>
      <c r="U47" s="100" t="str">
        <f>IF(C47="","",VLOOKUP(D47,'10. All Habitats + Multipliers'!$C$4:$K$99,5,FALSE))</f>
        <v/>
      </c>
      <c r="V47" s="101" t="str">
        <f>IF(U47="","",VLOOKUP(U47,'12. Lists'!$B$47:$D$49,2,FALSE))</f>
        <v/>
      </c>
      <c r="W47" s="100" t="str">
        <f t="shared" si="14"/>
        <v/>
      </c>
      <c r="X47" s="101" t="str">
        <f>IF(W47="","",VLOOKUP(W47,'12. Lists'!$F$47:$G$51,2,FALSE))</f>
        <v/>
      </c>
      <c r="Y47" s="100" t="str">
        <f>IF(C47="","",VLOOKUP(D47,'10. All Habitats + Multipliers'!$C$4:$K$99,9,FALSE))</f>
        <v/>
      </c>
      <c r="Z47" s="102" t="str">
        <f>IF(Y47="","",VLOOKUP(Y47,'12. Lists'!$B$36:$D$39,2,FALSE))</f>
        <v/>
      </c>
      <c r="AA47" s="101" t="str">
        <f>IF(Y47="","",VLOOKUP(Y47,'12. Lists'!$B$36:$D$39,3,FALSE))</f>
        <v/>
      </c>
      <c r="AB47" s="100" t="str">
        <f t="shared" si="13"/>
        <v/>
      </c>
      <c r="AC47" s="102" t="str">
        <f>IF(AB47="","",VLOOKUP(AB47,'12. Lists'!$F$36:$H$38,2,FALSE))</f>
        <v/>
      </c>
      <c r="AD47" s="101" t="str">
        <f>IF(AB47="","",VLOOKUP(AB47,'12. Lists'!$F$36:$H$38,3,FALSE))</f>
        <v/>
      </c>
      <c r="AE47" s="100" t="str">
        <f>IF(F47="","",IF(F47="Moderate",VLOOKUP(D47,'11. Condition and Temporal'!$B$6:$J$101,6,FALSE),IF('5. Area Habitats'!F47="Good",VLOOKUP(D47,'11. Condition and Temporal'!$B$6:$J$101,7,FALSE),VLOOKUP(D47,'11. Condition and Temporal'!$B$6:$J$101,8,FALSE))))</f>
        <v/>
      </c>
      <c r="AF47" s="129" t="str">
        <f>IF(AE47="","",VLOOKUP(AE47,'12. Lists'!$I$47:$K$80,3,FALSE))</f>
        <v/>
      </c>
      <c r="AG47" s="100" t="str">
        <f>IF(D47="","",VLOOKUP(D47,'10. All Habitats + Multipliers'!$C$4:$K$99,7,FALSE))</f>
        <v/>
      </c>
      <c r="AH47" s="101" t="str">
        <f>IF(AG47="","",VLOOKUP(AG47,'12. Lists'!$J$35:$K$38,2,FALSE))</f>
        <v/>
      </c>
    </row>
    <row r="48" spans="2:34" s="27" customFormat="1" ht="15.6">
      <c r="B48" s="106">
        <v>9</v>
      </c>
      <c r="C48" s="82"/>
      <c r="D48" s="78"/>
      <c r="E48" s="127" t="str">
        <f>IF(D48="","",VLOOKUP(D48,'11. Condition and Temporal'!$B$6:$D$101,3,FALSE))</f>
        <v/>
      </c>
      <c r="F48" s="540"/>
      <c r="G48" s="541"/>
      <c r="H48" s="76"/>
      <c r="I48" s="561"/>
      <c r="J48" s="562"/>
      <c r="K48" s="563"/>
      <c r="L48" s="551" t="str">
        <f t="shared" si="12"/>
        <v/>
      </c>
      <c r="M48" s="552"/>
      <c r="N48" s="553"/>
      <c r="O48" s="66"/>
      <c r="P48" s="12"/>
      <c r="R48" s="568"/>
      <c r="U48" s="100" t="str">
        <f>IF(C48="","",VLOOKUP(D48,'10. All Habitats + Multipliers'!$C$4:$K$99,5,FALSE))</f>
        <v/>
      </c>
      <c r="V48" s="101" t="str">
        <f>IF(U48="","",VLOOKUP(U48,'12. Lists'!$B$47:$D$49,2,FALSE))</f>
        <v/>
      </c>
      <c r="W48" s="100" t="str">
        <f t="shared" si="14"/>
        <v/>
      </c>
      <c r="X48" s="101" t="str">
        <f>IF(W48="","",VLOOKUP(W48,'12. Lists'!$F$47:$G$51,2,FALSE))</f>
        <v/>
      </c>
      <c r="Y48" s="100" t="str">
        <f>IF(C48="","",VLOOKUP(D48,'10. All Habitats + Multipliers'!$C$4:$K$99,9,FALSE))</f>
        <v/>
      </c>
      <c r="Z48" s="102" t="str">
        <f>IF(Y48="","",VLOOKUP(Y48,'12. Lists'!$B$36:$D$39,2,FALSE))</f>
        <v/>
      </c>
      <c r="AA48" s="101" t="str">
        <f>IF(Y48="","",VLOOKUP(Y48,'12. Lists'!$B$36:$D$39,3,FALSE))</f>
        <v/>
      </c>
      <c r="AB48" s="100" t="str">
        <f t="shared" si="13"/>
        <v/>
      </c>
      <c r="AC48" s="102" t="str">
        <f>IF(AB48="","",VLOOKUP(AB48,'12. Lists'!$F$36:$H$38,2,FALSE))</f>
        <v/>
      </c>
      <c r="AD48" s="101" t="str">
        <f>IF(AB48="","",VLOOKUP(AB48,'12. Lists'!$F$36:$H$38,3,FALSE))</f>
        <v/>
      </c>
      <c r="AE48" s="100" t="str">
        <f>IF(F48="","",IF(F48="Moderate",VLOOKUP(D48,'11. Condition and Temporal'!$B$6:$J$101,6,FALSE),IF('5. Area Habitats'!F48="Good",VLOOKUP(D48,'11. Condition and Temporal'!$B$6:$J$101,7,FALSE),VLOOKUP(D48,'11. Condition and Temporal'!$B$6:$J$101,8,FALSE))))</f>
        <v/>
      </c>
      <c r="AF48" s="129" t="str">
        <f>IF(AE48="","",VLOOKUP(AE48,'12. Lists'!$I$47:$K$80,3,FALSE))</f>
        <v/>
      </c>
      <c r="AG48" s="100" t="str">
        <f>IF(D48="","",VLOOKUP(D48,'10. All Habitats + Multipliers'!$C$4:$K$99,7,FALSE))</f>
        <v/>
      </c>
      <c r="AH48" s="101" t="str">
        <f>IF(AG48="","",VLOOKUP(AG48,'12. Lists'!$J$35:$K$38,2,FALSE))</f>
        <v/>
      </c>
    </row>
    <row r="49" spans="2:53" s="27" customFormat="1" ht="15.6">
      <c r="B49" s="106">
        <v>10</v>
      </c>
      <c r="C49" s="83"/>
      <c r="D49" s="78"/>
      <c r="E49" s="127" t="str">
        <f>IF(D49="","",VLOOKUP(D49,'11. Condition and Temporal'!$B$6:$D$101,3,FALSE))</f>
        <v/>
      </c>
      <c r="F49" s="540"/>
      <c r="G49" s="541"/>
      <c r="H49" s="76"/>
      <c r="I49" s="561"/>
      <c r="J49" s="562"/>
      <c r="K49" s="563"/>
      <c r="L49" s="551" t="str">
        <f t="shared" si="12"/>
        <v/>
      </c>
      <c r="M49" s="552"/>
      <c r="N49" s="553"/>
      <c r="O49" s="66"/>
      <c r="P49" s="12"/>
      <c r="R49" s="568"/>
      <c r="U49" s="100" t="str">
        <f>IF(C49="","",VLOOKUP(D49,'10. All Habitats + Multipliers'!$C$4:$K$99,5,FALSE))</f>
        <v/>
      </c>
      <c r="V49" s="101" t="str">
        <f>IF(U49="","",VLOOKUP(U49,'12. Lists'!$B$47:$D$49,2,FALSE))</f>
        <v/>
      </c>
      <c r="W49" s="100" t="str">
        <f t="shared" si="14"/>
        <v/>
      </c>
      <c r="X49" s="101" t="str">
        <f>IF(W49="","",VLOOKUP(W49,'12. Lists'!$F$47:$G$51,2,FALSE))</f>
        <v/>
      </c>
      <c r="Y49" s="100" t="str">
        <f>IF(C49="","",VLOOKUP(D49,'10. All Habitats + Multipliers'!$C$4:$K$99,9,FALSE))</f>
        <v/>
      </c>
      <c r="Z49" s="102" t="str">
        <f>IF(Y49="","",VLOOKUP(Y49,'12. Lists'!$B$36:$D$39,2,FALSE))</f>
        <v/>
      </c>
      <c r="AA49" s="101" t="str">
        <f>IF(Y49="","",VLOOKUP(Y49,'12. Lists'!$B$36:$D$39,3,FALSE))</f>
        <v/>
      </c>
      <c r="AB49" s="100" t="str">
        <f t="shared" si="13"/>
        <v/>
      </c>
      <c r="AC49" s="102" t="str">
        <f>IF(AB49="","",VLOOKUP(AB49,'12. Lists'!$F$36:$H$38,2,FALSE))</f>
        <v/>
      </c>
      <c r="AD49" s="101" t="str">
        <f>IF(AB49="","",VLOOKUP(AB49,'12. Lists'!$F$36:$H$38,3,FALSE))</f>
        <v/>
      </c>
      <c r="AE49" s="100" t="str">
        <f>IF(F49="","",IF(F49="Moderate",VLOOKUP(D49,'11. Condition and Temporal'!$B$6:$J$101,6,FALSE),IF('5. Area Habitats'!F49="Good",VLOOKUP(D49,'11. Condition and Temporal'!$B$6:$J$101,7,FALSE),VLOOKUP(D49,'11. Condition and Temporal'!$B$6:$J$101,8,FALSE))))</f>
        <v/>
      </c>
      <c r="AF49" s="129" t="str">
        <f>IF(AE49="","",VLOOKUP(AE49,'12. Lists'!$I$47:$K$80,3,FALSE))</f>
        <v/>
      </c>
      <c r="AG49" s="100" t="str">
        <f>IF(D49="","",VLOOKUP(D49,'10. All Habitats + Multipliers'!$C$4:$K$99,7,FALSE))</f>
        <v/>
      </c>
      <c r="AH49" s="101" t="str">
        <f>IF(AG49="","",VLOOKUP(AG49,'12. Lists'!$J$35:$K$38,2,FALSE))</f>
        <v/>
      </c>
    </row>
    <row r="50" spans="2:53" s="27" customFormat="1" ht="15.6">
      <c r="B50" s="106">
        <v>11</v>
      </c>
      <c r="C50" s="83"/>
      <c r="D50" s="78"/>
      <c r="E50" s="127" t="str">
        <f>IF(D50="","",VLOOKUP(D50,'11. Condition and Temporal'!$B$6:$D$101,3,FALSE))</f>
        <v/>
      </c>
      <c r="F50" s="540"/>
      <c r="G50" s="541"/>
      <c r="H50" s="76"/>
      <c r="I50" s="561"/>
      <c r="J50" s="562"/>
      <c r="K50" s="563"/>
      <c r="L50" s="551" t="str">
        <f t="shared" si="12"/>
        <v/>
      </c>
      <c r="M50" s="552"/>
      <c r="N50" s="553"/>
      <c r="O50" s="66"/>
      <c r="P50" s="12"/>
      <c r="R50" s="568"/>
      <c r="U50" s="100" t="str">
        <f>IF(C50="","",VLOOKUP(D50,'10. All Habitats + Multipliers'!$C$4:$K$99,5,FALSE))</f>
        <v/>
      </c>
      <c r="V50" s="101" t="str">
        <f>IF(U50="","",VLOOKUP(U50,'12. Lists'!$B$47:$D$49,2,FALSE))</f>
        <v/>
      </c>
      <c r="W50" s="100" t="str">
        <f t="shared" si="14"/>
        <v/>
      </c>
      <c r="X50" s="101" t="str">
        <f>IF(W50="","",VLOOKUP(W50,'12. Lists'!$F$47:$G$51,2,FALSE))</f>
        <v/>
      </c>
      <c r="Y50" s="100" t="str">
        <f>IF(C50="","",VLOOKUP(D50,'10. All Habitats + Multipliers'!$C$4:$K$99,9,FALSE))</f>
        <v/>
      </c>
      <c r="Z50" s="102" t="str">
        <f>IF(Y50="","",VLOOKUP(Y50,'12. Lists'!$B$36:$D$39,2,FALSE))</f>
        <v/>
      </c>
      <c r="AA50" s="101" t="str">
        <f>IF(Y50="","",VLOOKUP(Y50,'12. Lists'!$B$36:$D$39,3,FALSE))</f>
        <v/>
      </c>
      <c r="AB50" s="100" t="str">
        <f t="shared" si="13"/>
        <v/>
      </c>
      <c r="AC50" s="102" t="str">
        <f>IF(AB50="","",VLOOKUP(AB50,'12. Lists'!$F$36:$H$38,2,FALSE))</f>
        <v/>
      </c>
      <c r="AD50" s="101" t="str">
        <f>IF(AB50="","",VLOOKUP(AB50,'12. Lists'!$F$36:$H$38,3,FALSE))</f>
        <v/>
      </c>
      <c r="AE50" s="100" t="str">
        <f>IF(F50="","",IF(F50="Moderate",VLOOKUP(D50,'11. Condition and Temporal'!$B$6:$J$101,6,FALSE),IF('5. Area Habitats'!F50="Good",VLOOKUP(D50,'11. Condition and Temporal'!$B$6:$J$101,7,FALSE),VLOOKUP(D50,'11. Condition and Temporal'!$B$6:$J$101,8,FALSE))))</f>
        <v/>
      </c>
      <c r="AF50" s="129" t="str">
        <f>IF(AE50="","",VLOOKUP(AE50,'12. Lists'!$I$47:$K$80,3,FALSE))</f>
        <v/>
      </c>
      <c r="AG50" s="100" t="str">
        <f>IF(D50="","",VLOOKUP(D50,'10. All Habitats + Multipliers'!$C$4:$K$99,7,FALSE))</f>
        <v/>
      </c>
      <c r="AH50" s="101" t="str">
        <f>IF(AG50="","",VLOOKUP(AG50,'12. Lists'!$J$35:$K$38,2,FALSE))</f>
        <v/>
      </c>
    </row>
    <row r="51" spans="2:53" s="27" customFormat="1" ht="15.6">
      <c r="B51" s="106">
        <v>12</v>
      </c>
      <c r="C51" s="83"/>
      <c r="D51" s="78"/>
      <c r="E51" s="127" t="str">
        <f>IF(D51="","",VLOOKUP(D51,'11. Condition and Temporal'!$B$6:$D$101,3,FALSE))</f>
        <v/>
      </c>
      <c r="F51" s="540"/>
      <c r="G51" s="541"/>
      <c r="H51" s="76"/>
      <c r="I51" s="561"/>
      <c r="J51" s="562"/>
      <c r="K51" s="563"/>
      <c r="L51" s="551" t="str">
        <f t="shared" si="12"/>
        <v/>
      </c>
      <c r="M51" s="552"/>
      <c r="N51" s="553"/>
      <c r="O51" s="66"/>
      <c r="P51" s="12"/>
      <c r="R51" s="568"/>
      <c r="U51" s="100" t="str">
        <f>IF(C51="","",VLOOKUP(D51,'10. All Habitats + Multipliers'!$C$4:$K$99,5,FALSE))</f>
        <v/>
      </c>
      <c r="V51" s="101" t="str">
        <f>IF(U51="","",VLOOKUP(U51,'12. Lists'!$B$47:$D$49,2,FALSE))</f>
        <v/>
      </c>
      <c r="W51" s="100" t="str">
        <f t="shared" si="14"/>
        <v/>
      </c>
      <c r="X51" s="101" t="str">
        <f>IF(W51="","",VLOOKUP(W51,'12. Lists'!$F$47:$G$51,2,FALSE))</f>
        <v/>
      </c>
      <c r="Y51" s="100" t="str">
        <f>IF(C51="","",VLOOKUP(D51,'10. All Habitats + Multipliers'!$C$4:$K$99,9,FALSE))</f>
        <v/>
      </c>
      <c r="Z51" s="102" t="str">
        <f>IF(Y51="","",VLOOKUP(Y51,'12. Lists'!$B$36:$D$39,2,FALSE))</f>
        <v/>
      </c>
      <c r="AA51" s="101" t="str">
        <f>IF(Y51="","",VLOOKUP(Y51,'12. Lists'!$B$36:$D$39,3,FALSE))</f>
        <v/>
      </c>
      <c r="AB51" s="100" t="str">
        <f t="shared" si="13"/>
        <v/>
      </c>
      <c r="AC51" s="102" t="str">
        <f>IF(AB51="","",VLOOKUP(AB51,'12. Lists'!$F$36:$H$38,2,FALSE))</f>
        <v/>
      </c>
      <c r="AD51" s="101" t="str">
        <f>IF(AB51="","",VLOOKUP(AB51,'12. Lists'!$F$36:$H$38,3,FALSE))</f>
        <v/>
      </c>
      <c r="AE51" s="100" t="str">
        <f>IF(F51="","",IF(F51="Moderate",VLOOKUP(D51,'11. Condition and Temporal'!$B$6:$J$101,6,FALSE),IF('5. Area Habitats'!F51="Good",VLOOKUP(D51,'11. Condition and Temporal'!$B$6:$J$101,7,FALSE),VLOOKUP(D51,'11. Condition and Temporal'!$B$6:$J$101,8,FALSE))))</f>
        <v/>
      </c>
      <c r="AF51" s="129" t="str">
        <f>IF(AE51="","",VLOOKUP(AE51,'12. Lists'!$I$47:$K$80,3,FALSE))</f>
        <v/>
      </c>
      <c r="AG51" s="100" t="str">
        <f>IF(D51="","",VLOOKUP(D51,'10. All Habitats + Multipliers'!$C$4:$K$99,7,FALSE))</f>
        <v/>
      </c>
      <c r="AH51" s="101" t="str">
        <f>IF(AG51="","",VLOOKUP(AG51,'12. Lists'!$J$35:$K$38,2,FALSE))</f>
        <v/>
      </c>
    </row>
    <row r="52" spans="2:53" s="27" customFormat="1" ht="15.6">
      <c r="B52" s="106">
        <v>13</v>
      </c>
      <c r="C52" s="83"/>
      <c r="D52" s="78"/>
      <c r="E52" s="127" t="str">
        <f>IF(D52="","",VLOOKUP(D52,'11. Condition and Temporal'!$B$6:$D$101,3,FALSE))</f>
        <v/>
      </c>
      <c r="F52" s="540"/>
      <c r="G52" s="541"/>
      <c r="H52" s="76"/>
      <c r="I52" s="561"/>
      <c r="J52" s="562"/>
      <c r="K52" s="563"/>
      <c r="L52" s="551" t="str">
        <f t="shared" si="12"/>
        <v/>
      </c>
      <c r="M52" s="552"/>
      <c r="N52" s="553"/>
      <c r="O52" s="66"/>
      <c r="P52" s="12"/>
      <c r="R52" s="568"/>
      <c r="U52" s="100" t="str">
        <f>IF(C52="","",VLOOKUP(D52,'10. All Habitats + Multipliers'!$C$4:$K$99,5,FALSE))</f>
        <v/>
      </c>
      <c r="V52" s="101" t="str">
        <f>IF(U52="","",VLOOKUP(U52,'12. Lists'!$B$47:$D$49,2,FALSE))</f>
        <v/>
      </c>
      <c r="W52" s="100" t="str">
        <f t="shared" si="14"/>
        <v/>
      </c>
      <c r="X52" s="101" t="str">
        <f>IF(W52="","",VLOOKUP(W52,'12. Lists'!$F$47:$G$51,2,FALSE))</f>
        <v/>
      </c>
      <c r="Y52" s="100" t="str">
        <f>IF(C52="","",VLOOKUP(D52,'10. All Habitats + Multipliers'!$C$4:$K$99,9,FALSE))</f>
        <v/>
      </c>
      <c r="Z52" s="102" t="str">
        <f>IF(Y52="","",VLOOKUP(Y52,'12. Lists'!$B$36:$D$39,2,FALSE))</f>
        <v/>
      </c>
      <c r="AA52" s="101" t="str">
        <f>IF(Y52="","",VLOOKUP(Y52,'12. Lists'!$B$36:$D$39,3,FALSE))</f>
        <v/>
      </c>
      <c r="AB52" s="100" t="str">
        <f t="shared" si="13"/>
        <v/>
      </c>
      <c r="AC52" s="102" t="str">
        <f>IF(AB52="","",VLOOKUP(AB52,'12. Lists'!$F$36:$H$38,2,FALSE))</f>
        <v/>
      </c>
      <c r="AD52" s="101" t="str">
        <f>IF(AB52="","",VLOOKUP(AB52,'12. Lists'!$F$36:$H$38,3,FALSE))</f>
        <v/>
      </c>
      <c r="AE52" s="100" t="str">
        <f>IF(F52="","",IF(F52="Moderate",VLOOKUP(D52,'11. Condition and Temporal'!$B$6:$J$101,6,FALSE),IF('5. Area Habitats'!F52="Good",VLOOKUP(D52,'11. Condition and Temporal'!$B$6:$J$101,7,FALSE),VLOOKUP(D52,'11. Condition and Temporal'!$B$6:$J$101,8,FALSE))))</f>
        <v/>
      </c>
      <c r="AF52" s="129" t="str">
        <f>IF(AE52="","",VLOOKUP(AE52,'12. Lists'!$I$47:$K$80,3,FALSE))</f>
        <v/>
      </c>
      <c r="AG52" s="100" t="str">
        <f>IF(D52="","",VLOOKUP(D52,'10. All Habitats + Multipliers'!$C$4:$K$99,7,FALSE))</f>
        <v/>
      </c>
      <c r="AH52" s="101" t="str">
        <f>IF(AG52="","",VLOOKUP(AG52,'12. Lists'!$J$35:$K$38,2,FALSE))</f>
        <v/>
      </c>
    </row>
    <row r="53" spans="2:53" s="27" customFormat="1" ht="15.6">
      <c r="B53" s="106">
        <v>14</v>
      </c>
      <c r="C53" s="83"/>
      <c r="D53" s="78"/>
      <c r="E53" s="127" t="str">
        <f>IF(D53="","",VLOOKUP(D53,'11. Condition and Temporal'!$B$6:$D$101,3,FALSE))</f>
        <v/>
      </c>
      <c r="F53" s="540"/>
      <c r="G53" s="541"/>
      <c r="H53" s="76"/>
      <c r="I53" s="561"/>
      <c r="J53" s="562"/>
      <c r="K53" s="563"/>
      <c r="L53" s="551" t="str">
        <f t="shared" si="12"/>
        <v/>
      </c>
      <c r="M53" s="552"/>
      <c r="N53" s="553"/>
      <c r="O53" s="66"/>
      <c r="P53" s="12"/>
      <c r="R53" s="568"/>
      <c r="U53" s="100" t="str">
        <f>IF(C53="","",VLOOKUP(D53,'10. All Habitats + Multipliers'!$C$4:$K$99,5,FALSE))</f>
        <v/>
      </c>
      <c r="V53" s="101" t="str">
        <f>IF(U53="","",VLOOKUP(U53,'12. Lists'!$B$47:$D$49,2,FALSE))</f>
        <v/>
      </c>
      <c r="W53" s="100" t="str">
        <f t="shared" si="14"/>
        <v/>
      </c>
      <c r="X53" s="101" t="str">
        <f>IF(W53="","",VLOOKUP(W53,'12. Lists'!$F$47:$G$51,2,FALSE))</f>
        <v/>
      </c>
      <c r="Y53" s="100" t="str">
        <f>IF(C53="","",VLOOKUP(D53,'10. All Habitats + Multipliers'!$C$4:$K$99,9,FALSE))</f>
        <v/>
      </c>
      <c r="Z53" s="102" t="str">
        <f>IF(Y53="","",VLOOKUP(Y53,'12. Lists'!$B$36:$D$39,2,FALSE))</f>
        <v/>
      </c>
      <c r="AA53" s="101" t="str">
        <f>IF(Y53="","",VLOOKUP(Y53,'12. Lists'!$B$36:$D$39,3,FALSE))</f>
        <v/>
      </c>
      <c r="AB53" s="100" t="str">
        <f t="shared" si="13"/>
        <v/>
      </c>
      <c r="AC53" s="102" t="str">
        <f>IF(AB53="","",VLOOKUP(AB53,'12. Lists'!$F$36:$H$38,2,FALSE))</f>
        <v/>
      </c>
      <c r="AD53" s="101" t="str">
        <f>IF(AB53="","",VLOOKUP(AB53,'12. Lists'!$F$36:$H$38,3,FALSE))</f>
        <v/>
      </c>
      <c r="AE53" s="100" t="str">
        <f>IF(F53="","",IF(F53="Moderate",VLOOKUP(D53,'11. Condition and Temporal'!$B$6:$J$101,6,FALSE),IF('5. Area Habitats'!F53="Good",VLOOKUP(D53,'11. Condition and Temporal'!$B$6:$J$101,7,FALSE),VLOOKUP(D53,'11. Condition and Temporal'!$B$6:$J$101,8,FALSE))))</f>
        <v/>
      </c>
      <c r="AF53" s="129" t="str">
        <f>IF(AE53="","",VLOOKUP(AE53,'12. Lists'!$I$47:$K$80,3,FALSE))</f>
        <v/>
      </c>
      <c r="AG53" s="100" t="str">
        <f>IF(D53="","",VLOOKUP(D53,'10. All Habitats + Multipliers'!$C$4:$K$99,7,FALSE))</f>
        <v/>
      </c>
      <c r="AH53" s="101" t="str">
        <f>IF(AG53="","",VLOOKUP(AG53,'12. Lists'!$J$35:$K$38,2,FALSE))</f>
        <v/>
      </c>
    </row>
    <row r="54" spans="2:53" s="27" customFormat="1" ht="15.6">
      <c r="B54" s="106">
        <v>15</v>
      </c>
      <c r="C54" s="83"/>
      <c r="D54" s="78"/>
      <c r="E54" s="127" t="str">
        <f>IF(D54="","",VLOOKUP(D54,'11. Condition and Temporal'!$B$6:$D$101,3,FALSE))</f>
        <v/>
      </c>
      <c r="F54" s="540"/>
      <c r="G54" s="541"/>
      <c r="H54" s="76"/>
      <c r="I54" s="561"/>
      <c r="J54" s="562"/>
      <c r="K54" s="563"/>
      <c r="L54" s="551" t="str">
        <f t="shared" si="12"/>
        <v/>
      </c>
      <c r="M54" s="552"/>
      <c r="N54" s="553"/>
      <c r="O54" s="66"/>
      <c r="P54" s="12"/>
      <c r="R54" s="568"/>
      <c r="U54" s="100" t="str">
        <f>IF(C54="","",VLOOKUP(D54,'10. All Habitats + Multipliers'!$C$4:$K$99,5,FALSE))</f>
        <v/>
      </c>
      <c r="V54" s="101" t="str">
        <f>IF(U54="","",VLOOKUP(U54,'12. Lists'!$B$47:$D$49,2,FALSE))</f>
        <v/>
      </c>
      <c r="W54" s="100" t="str">
        <f t="shared" si="14"/>
        <v/>
      </c>
      <c r="X54" s="101" t="str">
        <f>IF(W54="","",VLOOKUP(W54,'12. Lists'!$F$47:$G$51,2,FALSE))</f>
        <v/>
      </c>
      <c r="Y54" s="100" t="str">
        <f>IF(C54="","",VLOOKUP(D54,'10. All Habitats + Multipliers'!$C$4:$K$99,9,FALSE))</f>
        <v/>
      </c>
      <c r="Z54" s="102" t="str">
        <f>IF(Y54="","",VLOOKUP(Y54,'12. Lists'!$B$36:$D$39,2,FALSE))</f>
        <v/>
      </c>
      <c r="AA54" s="101" t="str">
        <f>IF(Y54="","",VLOOKUP(Y54,'12. Lists'!$B$36:$D$39,3,FALSE))</f>
        <v/>
      </c>
      <c r="AB54" s="100" t="str">
        <f t="shared" si="13"/>
        <v/>
      </c>
      <c r="AC54" s="102" t="str">
        <f>IF(AB54="","",VLOOKUP(AB54,'12. Lists'!$F$36:$H$38,2,FALSE))</f>
        <v/>
      </c>
      <c r="AD54" s="101" t="str">
        <f>IF(AB54="","",VLOOKUP(AB54,'12. Lists'!$F$36:$H$38,3,FALSE))</f>
        <v/>
      </c>
      <c r="AE54" s="100" t="str">
        <f>IF(F54="","",IF(F54="Moderate",VLOOKUP(D54,'11. Condition and Temporal'!$B$6:$J$101,6,FALSE),IF('5. Area Habitats'!F54="Good",VLOOKUP(D54,'11. Condition and Temporal'!$B$6:$J$101,7,FALSE),VLOOKUP(D54,'11. Condition and Temporal'!$B$6:$J$101,8,FALSE))))</f>
        <v/>
      </c>
      <c r="AF54" s="129" t="str">
        <f>IF(AE54="","",VLOOKUP(AE54,'12. Lists'!$I$47:$K$80,3,FALSE))</f>
        <v/>
      </c>
      <c r="AG54" s="100" t="str">
        <f>IF(D54="","",VLOOKUP(D54,'10. All Habitats + Multipliers'!$C$4:$K$99,7,FALSE))</f>
        <v/>
      </c>
      <c r="AH54" s="101" t="str">
        <f>IF(AG54="","",VLOOKUP(AG54,'12. Lists'!$J$35:$K$38,2,FALSE))</f>
        <v/>
      </c>
    </row>
    <row r="55" spans="2:53" s="27" customFormat="1" ht="15.6">
      <c r="B55" s="106">
        <v>16</v>
      </c>
      <c r="C55" s="83"/>
      <c r="D55" s="78"/>
      <c r="E55" s="127" t="str">
        <f>IF(D55="","",VLOOKUP(D55,'11. Condition and Temporal'!$B$6:$D$101,3,FALSE))</f>
        <v/>
      </c>
      <c r="F55" s="540"/>
      <c r="G55" s="541"/>
      <c r="H55" s="76"/>
      <c r="I55" s="561"/>
      <c r="J55" s="562"/>
      <c r="K55" s="563"/>
      <c r="L55" s="551" t="str">
        <f t="shared" si="12"/>
        <v/>
      </c>
      <c r="M55" s="552"/>
      <c r="N55" s="553"/>
      <c r="O55" s="66"/>
      <c r="P55" s="12"/>
      <c r="R55" s="568"/>
      <c r="U55" s="100" t="str">
        <f>IF(C55="","",VLOOKUP(D55,'10. All Habitats + Multipliers'!$C$4:$K$99,5,FALSE))</f>
        <v/>
      </c>
      <c r="V55" s="101" t="str">
        <f>IF(U55="","",VLOOKUP(U55,'12. Lists'!$B$47:$D$49,2,FALSE))</f>
        <v/>
      </c>
      <c r="W55" s="100" t="str">
        <f t="shared" si="14"/>
        <v/>
      </c>
      <c r="X55" s="101" t="str">
        <f>IF(W55="","",VLOOKUP(W55,'12. Lists'!$F$47:$G$51,2,FALSE))</f>
        <v/>
      </c>
      <c r="Y55" s="100" t="str">
        <f>IF(C55="","",VLOOKUP(D55,'10. All Habitats + Multipliers'!$C$4:$K$99,9,FALSE))</f>
        <v/>
      </c>
      <c r="Z55" s="102" t="str">
        <f>IF(Y55="","",VLOOKUP(Y55,'12. Lists'!$B$36:$D$39,2,FALSE))</f>
        <v/>
      </c>
      <c r="AA55" s="101" t="str">
        <f>IF(Y55="","",VLOOKUP(Y55,'12. Lists'!$B$36:$D$39,3,FALSE))</f>
        <v/>
      </c>
      <c r="AB55" s="100" t="str">
        <f t="shared" si="13"/>
        <v/>
      </c>
      <c r="AC55" s="102" t="str">
        <f>IF(AB55="","",VLOOKUP(AB55,'12. Lists'!$F$36:$H$38,2,FALSE))</f>
        <v/>
      </c>
      <c r="AD55" s="101" t="str">
        <f>IF(AB55="","",VLOOKUP(AB55,'12. Lists'!$F$36:$H$38,3,FALSE))</f>
        <v/>
      </c>
      <c r="AE55" s="100" t="str">
        <f>IF(F55="","",IF(F55="Moderate",VLOOKUP(D55,'11. Condition and Temporal'!$B$6:$J$101,6,FALSE),IF('5. Area Habitats'!F55="Good",VLOOKUP(D55,'11. Condition and Temporal'!$B$6:$J$101,7,FALSE),VLOOKUP(D55,'11. Condition and Temporal'!$B$6:$J$101,8,FALSE))))</f>
        <v/>
      </c>
      <c r="AF55" s="129" t="str">
        <f>IF(AE55="","",VLOOKUP(AE55,'12. Lists'!$I$47:$K$80,3,FALSE))</f>
        <v/>
      </c>
      <c r="AG55" s="100" t="str">
        <f>IF(D55="","",VLOOKUP(D55,'10. All Habitats + Multipliers'!$C$4:$K$99,7,FALSE))</f>
        <v/>
      </c>
      <c r="AH55" s="101" t="str">
        <f>IF(AG55="","",VLOOKUP(AG55,'12. Lists'!$J$35:$K$38,2,FALSE))</f>
        <v/>
      </c>
    </row>
    <row r="56" spans="2:53" s="27" customFormat="1" ht="15.6">
      <c r="B56" s="106">
        <v>17</v>
      </c>
      <c r="C56" s="83"/>
      <c r="D56" s="78"/>
      <c r="E56" s="127" t="str">
        <f>IF(D56="","",VLOOKUP(D56,'11. Condition and Temporal'!$B$6:$D$101,3,FALSE))</f>
        <v/>
      </c>
      <c r="F56" s="540"/>
      <c r="G56" s="541"/>
      <c r="H56" s="76"/>
      <c r="I56" s="561"/>
      <c r="J56" s="562"/>
      <c r="K56" s="563"/>
      <c r="L56" s="551" t="str">
        <f t="shared" si="12"/>
        <v/>
      </c>
      <c r="M56" s="552"/>
      <c r="N56" s="553"/>
      <c r="O56" s="66"/>
      <c r="P56" s="12"/>
      <c r="R56" s="568"/>
      <c r="U56" s="100" t="str">
        <f>IF(C56="","",VLOOKUP(D56,'10. All Habitats + Multipliers'!$C$4:$K$99,5,FALSE))</f>
        <v/>
      </c>
      <c r="V56" s="101" t="str">
        <f>IF(U56="","",VLOOKUP(U56,'12. Lists'!$B$47:$D$49,2,FALSE))</f>
        <v/>
      </c>
      <c r="W56" s="100" t="str">
        <f t="shared" si="14"/>
        <v/>
      </c>
      <c r="X56" s="101" t="str">
        <f>IF(W56="","",VLOOKUP(W56,'12. Lists'!$F$47:$G$51,2,FALSE))</f>
        <v/>
      </c>
      <c r="Y56" s="100" t="str">
        <f>IF(C56="","",VLOOKUP(D56,'10. All Habitats + Multipliers'!$C$4:$K$99,9,FALSE))</f>
        <v/>
      </c>
      <c r="Z56" s="102" t="str">
        <f>IF(Y56="","",VLOOKUP(Y56,'12. Lists'!$B$36:$D$39,2,FALSE))</f>
        <v/>
      </c>
      <c r="AA56" s="101" t="str">
        <f>IF(Y56="","",VLOOKUP(Y56,'12. Lists'!$B$36:$D$39,3,FALSE))</f>
        <v/>
      </c>
      <c r="AB56" s="100" t="str">
        <f t="shared" si="13"/>
        <v/>
      </c>
      <c r="AC56" s="102" t="str">
        <f>IF(AB56="","",VLOOKUP(AB56,'12. Lists'!$F$36:$H$38,2,FALSE))</f>
        <v/>
      </c>
      <c r="AD56" s="101" t="str">
        <f>IF(AB56="","",VLOOKUP(AB56,'12. Lists'!$F$36:$H$38,3,FALSE))</f>
        <v/>
      </c>
      <c r="AE56" s="100" t="str">
        <f>IF(F56="","",IF(F56="Moderate",VLOOKUP(D56,'11. Condition and Temporal'!$B$6:$J$101,6,FALSE),IF('5. Area Habitats'!F56="Good",VLOOKUP(D56,'11. Condition and Temporal'!$B$6:$J$101,7,FALSE),VLOOKUP(D56,'11. Condition and Temporal'!$B$6:$J$101,8,FALSE))))</f>
        <v/>
      </c>
      <c r="AF56" s="129" t="str">
        <f>IF(AE56="","",VLOOKUP(AE56,'12. Lists'!$I$47:$K$80,3,FALSE))</f>
        <v/>
      </c>
      <c r="AG56" s="100" t="str">
        <f>IF(D56="","",VLOOKUP(D56,'10. All Habitats + Multipliers'!$C$4:$K$99,7,FALSE))</f>
        <v/>
      </c>
      <c r="AH56" s="101" t="str">
        <f>IF(AG56="","",VLOOKUP(AG56,'12. Lists'!$J$35:$K$38,2,FALSE))</f>
        <v/>
      </c>
    </row>
    <row r="57" spans="2:53" s="27" customFormat="1" ht="15.6">
      <c r="B57" s="106">
        <v>18</v>
      </c>
      <c r="C57" s="83"/>
      <c r="D57" s="78"/>
      <c r="E57" s="127" t="str">
        <f>IF(D57="","",VLOOKUP(D57,'11. Condition and Temporal'!$B$6:$D$101,3,FALSE))</f>
        <v/>
      </c>
      <c r="F57" s="540"/>
      <c r="G57" s="541"/>
      <c r="H57" s="76"/>
      <c r="I57" s="561"/>
      <c r="J57" s="562"/>
      <c r="K57" s="563"/>
      <c r="L57" s="551" t="str">
        <f t="shared" si="12"/>
        <v/>
      </c>
      <c r="M57" s="552"/>
      <c r="N57" s="553"/>
      <c r="O57" s="66"/>
      <c r="P57" s="12"/>
      <c r="R57" s="568"/>
      <c r="U57" s="100" t="str">
        <f>IF(C57="","",VLOOKUP(D57,'10. All Habitats + Multipliers'!$C$4:$K$99,5,FALSE))</f>
        <v/>
      </c>
      <c r="V57" s="101" t="str">
        <f>IF(U57="","",VLOOKUP(U57,'12. Lists'!$B$47:$D$49,2,FALSE))</f>
        <v/>
      </c>
      <c r="W57" s="100" t="str">
        <f t="shared" si="14"/>
        <v/>
      </c>
      <c r="X57" s="101" t="str">
        <f>IF(W57="","",VLOOKUP(W57,'12. Lists'!$F$47:$G$51,2,FALSE))</f>
        <v/>
      </c>
      <c r="Y57" s="100" t="str">
        <f>IF(C57="","",VLOOKUP(D57,'10. All Habitats + Multipliers'!$C$4:$K$99,9,FALSE))</f>
        <v/>
      </c>
      <c r="Z57" s="102" t="str">
        <f>IF(Y57="","",VLOOKUP(Y57,'12. Lists'!$B$36:$D$39,2,FALSE))</f>
        <v/>
      </c>
      <c r="AA57" s="101" t="str">
        <f>IF(Y57="","",VLOOKUP(Y57,'12. Lists'!$B$36:$D$39,3,FALSE))</f>
        <v/>
      </c>
      <c r="AB57" s="100" t="str">
        <f t="shared" si="13"/>
        <v/>
      </c>
      <c r="AC57" s="102" t="str">
        <f>IF(AB57="","",VLOOKUP(AB57,'12. Lists'!$F$36:$H$38,2,FALSE))</f>
        <v/>
      </c>
      <c r="AD57" s="101" t="str">
        <f>IF(AB57="","",VLOOKUP(AB57,'12. Lists'!$F$36:$H$38,3,FALSE))</f>
        <v/>
      </c>
      <c r="AE57" s="100" t="str">
        <f>IF(F57="","",IF(F57="Moderate",VLOOKUP(D57,'11. Condition and Temporal'!$B$6:$J$101,6,FALSE),IF('5. Area Habitats'!F57="Good",VLOOKUP(D57,'11. Condition and Temporal'!$B$6:$J$101,7,FALSE),VLOOKUP(D57,'11. Condition and Temporal'!$B$6:$J$101,8,FALSE))))</f>
        <v/>
      </c>
      <c r="AF57" s="129" t="str">
        <f>IF(AE57="","",VLOOKUP(AE57,'12. Lists'!$I$47:$K$80,3,FALSE))</f>
        <v/>
      </c>
      <c r="AG57" s="100" t="str">
        <f>IF(D57="","",VLOOKUP(D57,'10. All Habitats + Multipliers'!$C$4:$K$99,7,FALSE))</f>
        <v/>
      </c>
      <c r="AH57" s="101" t="str">
        <f>IF(AG57="","",VLOOKUP(AG57,'12. Lists'!$J$35:$K$38,2,FALSE))</f>
        <v/>
      </c>
    </row>
    <row r="58" spans="2:53" s="27" customFormat="1" ht="15.6">
      <c r="B58" s="106">
        <v>19</v>
      </c>
      <c r="C58" s="83"/>
      <c r="D58" s="78"/>
      <c r="E58" s="127" t="str">
        <f>IF(D58="","",VLOOKUP(D58,'11. Condition and Temporal'!$B$6:$D$101,3,FALSE))</f>
        <v/>
      </c>
      <c r="F58" s="540"/>
      <c r="G58" s="541"/>
      <c r="H58" s="76"/>
      <c r="I58" s="561"/>
      <c r="J58" s="562"/>
      <c r="K58" s="563"/>
      <c r="L58" s="551" t="str">
        <f t="shared" si="12"/>
        <v/>
      </c>
      <c r="M58" s="552"/>
      <c r="N58" s="553"/>
      <c r="O58" s="66"/>
      <c r="P58" s="12"/>
      <c r="R58" s="568"/>
      <c r="U58" s="100" t="str">
        <f>IF(C58="","",VLOOKUP(D58,'10. All Habitats + Multipliers'!$C$4:$K$99,5,FALSE))</f>
        <v/>
      </c>
      <c r="V58" s="101" t="str">
        <f>IF(U58="","",VLOOKUP(U58,'12. Lists'!$B$47:$D$49,2,FALSE))</f>
        <v/>
      </c>
      <c r="W58" s="100" t="str">
        <f t="shared" si="14"/>
        <v/>
      </c>
      <c r="X58" s="101" t="str">
        <f>IF(W58="","",VLOOKUP(W58,'12. Lists'!$F$47:$G$51,2,FALSE))</f>
        <v/>
      </c>
      <c r="Y58" s="100" t="str">
        <f>IF(C58="","",VLOOKUP(D58,'10. All Habitats + Multipliers'!$C$4:$K$99,9,FALSE))</f>
        <v/>
      </c>
      <c r="Z58" s="102" t="str">
        <f>IF(Y58="","",VLOOKUP(Y58,'12. Lists'!$B$36:$D$39,2,FALSE))</f>
        <v/>
      </c>
      <c r="AA58" s="101" t="str">
        <f>IF(Y58="","",VLOOKUP(Y58,'12. Lists'!$B$36:$D$39,3,FALSE))</f>
        <v/>
      </c>
      <c r="AB58" s="100" t="str">
        <f t="shared" si="13"/>
        <v/>
      </c>
      <c r="AC58" s="102" t="str">
        <f>IF(AB58="","",VLOOKUP(AB58,'12. Lists'!$F$36:$H$38,2,FALSE))</f>
        <v/>
      </c>
      <c r="AD58" s="101" t="str">
        <f>IF(AB58="","",VLOOKUP(AB58,'12. Lists'!$F$36:$H$38,3,FALSE))</f>
        <v/>
      </c>
      <c r="AE58" s="100" t="str">
        <f>IF(F58="","",IF(F58="Moderate",VLOOKUP(D58,'11. Condition and Temporal'!$B$6:$J$101,6,FALSE),IF('5. Area Habitats'!F58="Good",VLOOKUP(D58,'11. Condition and Temporal'!$B$6:$J$101,7,FALSE),VLOOKUP(D58,'11. Condition and Temporal'!$B$6:$J$101,8,FALSE))))</f>
        <v/>
      </c>
      <c r="AF58" s="129" t="str">
        <f>IF(AE58="","",VLOOKUP(AE58,'12. Lists'!$I$47:$K$80,3,FALSE))</f>
        <v/>
      </c>
      <c r="AG58" s="100" t="str">
        <f>IF(D58="","",VLOOKUP(D58,'10. All Habitats + Multipliers'!$C$4:$K$99,7,FALSE))</f>
        <v/>
      </c>
      <c r="AH58" s="101" t="str">
        <f>IF(AG58="","",VLOOKUP(AG58,'12. Lists'!$J$35:$K$38,2,FALSE))</f>
        <v/>
      </c>
    </row>
    <row r="59" spans="2:53" s="27" customFormat="1" ht="16.149999999999999" thickBot="1">
      <c r="B59" s="130">
        <v>20</v>
      </c>
      <c r="C59" s="83"/>
      <c r="D59" s="78"/>
      <c r="E59" s="127" t="str">
        <f>IF(D59="","",VLOOKUP(D59,'11. Condition and Temporal'!$B$6:$D$101,3,FALSE))</f>
        <v/>
      </c>
      <c r="F59" s="540"/>
      <c r="G59" s="541"/>
      <c r="H59" s="84"/>
      <c r="I59" s="561"/>
      <c r="J59" s="562"/>
      <c r="K59" s="563"/>
      <c r="L59" s="551" t="str">
        <f t="shared" si="12"/>
        <v/>
      </c>
      <c r="M59" s="552"/>
      <c r="N59" s="553"/>
      <c r="O59" s="24"/>
      <c r="P59" s="6"/>
      <c r="R59" s="568"/>
      <c r="U59" s="100" t="str">
        <f>IF(C59="","",VLOOKUP(D59,'10. All Habitats + Multipliers'!$C$4:$K$99,5,FALSE))</f>
        <v/>
      </c>
      <c r="V59" s="101" t="str">
        <f>IF(U59="","",VLOOKUP(U59,'12. Lists'!$B$47:$D$49,2,FALSE))</f>
        <v/>
      </c>
      <c r="W59" s="100" t="str">
        <f t="shared" si="14"/>
        <v/>
      </c>
      <c r="X59" s="101" t="str">
        <f>IF(W59="","",VLOOKUP(W59,'12. Lists'!$F$47:$G$51,2,FALSE))</f>
        <v/>
      </c>
      <c r="Y59" s="100" t="str">
        <f>IF(C59="","",VLOOKUP(D59,'10. All Habitats + Multipliers'!$C$4:$K$99,9,FALSE))</f>
        <v/>
      </c>
      <c r="Z59" s="102" t="str">
        <f>IF(Y59="","",VLOOKUP(Y59,'12. Lists'!$B$36:$D$39,2,FALSE))</f>
        <v/>
      </c>
      <c r="AA59" s="101" t="str">
        <f>IF(Y59="","",VLOOKUP(Y59,'12. Lists'!$B$36:$D$39,3,FALSE))</f>
        <v/>
      </c>
      <c r="AB59" s="100" t="str">
        <f t="shared" si="13"/>
        <v/>
      </c>
      <c r="AC59" s="102" t="str">
        <f>IF(AB59="","",VLOOKUP(AB59,'12. Lists'!$F$36:$H$38,2,FALSE))</f>
        <v/>
      </c>
      <c r="AD59" s="101" t="str">
        <f>IF(AB59="","",VLOOKUP(AB59,'12. Lists'!$F$36:$H$38,3,FALSE))</f>
        <v/>
      </c>
      <c r="AE59" s="100" t="str">
        <f>IF(F59="","",IF(F59="Moderate",VLOOKUP(D59,'11. Condition and Temporal'!$B$6:$J$101,6,FALSE),IF('5. Area Habitats'!F59="Good",VLOOKUP(D59,'11. Condition and Temporal'!$B$6:$J$101,7,FALSE),VLOOKUP(D59,'11. Condition and Temporal'!$B$6:$J$101,8,FALSE))))</f>
        <v/>
      </c>
      <c r="AF59" s="129" t="str">
        <f>IF(AE59="","",VLOOKUP(AE59,'12. Lists'!$I$47:$K$80,3,FALSE))</f>
        <v/>
      </c>
      <c r="AG59" s="100" t="str">
        <f>IF(D59="","",VLOOKUP(D59,'10. All Habitats + Multipliers'!$C$4:$K$99,7,FALSE))</f>
        <v/>
      </c>
      <c r="AH59" s="101" t="str">
        <f>IF(AG59="","",VLOOKUP(AG59,'12. Lists'!$J$35:$K$38,2,FALSE))</f>
        <v/>
      </c>
    </row>
    <row r="60" spans="2:53" s="27" customFormat="1" ht="16.149999999999999" thickBot="1">
      <c r="B60" s="131" t="s">
        <v>120</v>
      </c>
      <c r="C60" s="132" t="s">
        <v>117</v>
      </c>
      <c r="D60" s="133" t="s">
        <v>121</v>
      </c>
      <c r="E60" s="134" t="s">
        <v>142</v>
      </c>
      <c r="F60" s="549" t="s">
        <v>142</v>
      </c>
      <c r="G60" s="550"/>
      <c r="H60" s="135" t="s">
        <v>122</v>
      </c>
      <c r="I60" s="594">
        <f>P99</f>
        <v>0</v>
      </c>
      <c r="J60" s="595"/>
      <c r="K60" s="596"/>
      <c r="L60" s="554">
        <f t="shared" ref="L60" si="15">IF(D60="","",((I60/10000)*(V60*X60))*(AH60*AF60)*(AA60*AD60))</f>
        <v>0</v>
      </c>
      <c r="M60" s="555"/>
      <c r="N60" s="556"/>
      <c r="O60" s="40"/>
      <c r="P60" s="41"/>
      <c r="R60" s="568"/>
      <c r="U60" s="116" t="str">
        <f>IF(C60="","",VLOOKUP(D60,'10. All Habitats + Multipliers'!$C$4:$K$99,5,FALSE))</f>
        <v>Medium</v>
      </c>
      <c r="V60" s="117">
        <f>IF(U60="","",VLOOKUP(U60,'12. Lists'!$B$47:$D$49,2,FALSE))</f>
        <v>4</v>
      </c>
      <c r="W60" s="116" t="str">
        <f>IF(F60="","",F60)</f>
        <v>Moderate</v>
      </c>
      <c r="X60" s="117">
        <f>IF(W60="","",VLOOKUP(W60,'12. Lists'!$F$47:$G$51,2,FALSE))</f>
        <v>2</v>
      </c>
      <c r="Y60" s="116" t="str">
        <f>IF(C60="","",VLOOKUP(D60,'10. All Habitats + Multipliers'!$C$4:$K$99,9,FALSE))</f>
        <v>Low</v>
      </c>
      <c r="Z60" s="118" t="str">
        <f>IF(Y60="","",VLOOKUP(Y60,'12. Lists'!$B$36:$D$39,2,FALSE))</f>
        <v>Unconnected habitat</v>
      </c>
      <c r="AA60" s="117">
        <f>IF(Y60="","",VLOOKUP(Y60,'12. Lists'!$B$36:$D$39,3,FALSE))</f>
        <v>1</v>
      </c>
      <c r="AB60" s="116" t="str">
        <f t="shared" si="13"/>
        <v>Area not in local strategy</v>
      </c>
      <c r="AC60" s="118" t="str">
        <f>IF(AB60="","",VLOOKUP(AB60,'12. Lists'!$F$36:$H$38,2,FALSE))</f>
        <v>Low Strategic Significance</v>
      </c>
      <c r="AD60" s="117">
        <f>IF(AB60="","",VLOOKUP(AB60,'12. Lists'!$F$36:$H$38,3,FALSE))</f>
        <v>1</v>
      </c>
      <c r="AE60" s="116">
        <f>IF(F60="","",IF(F60="Moderate",VLOOKUP(D60,'11. Condition and Temporal'!$B$6:$J$101,6,FALSE),IF('5. Area Habitats'!F60="Good",VLOOKUP(D60,'11. Condition and Temporal'!$B$6:$J$101,7,FALSE),VLOOKUP(D60,'11. Condition and Temporal'!$B$6:$J$101,8,FALSE))))</f>
        <v>27</v>
      </c>
      <c r="AF60" s="136">
        <f>IF(AE60="","",VLOOKUP(AE60,'12. Lists'!$I$47:$K$80,3,FALSE))</f>
        <v>0.38215316459999998</v>
      </c>
      <c r="AG60" s="116" t="str">
        <f>IF(D60="","",VLOOKUP(D60,'10. All Habitats + Multipliers'!$C$4:$K$99,7,FALSE))</f>
        <v>Low</v>
      </c>
      <c r="AH60" s="117">
        <f>IF(AG60="","",VLOOKUP(AG60,'12. Lists'!$J$35:$K$38,2,FALSE))</f>
        <v>1</v>
      </c>
    </row>
    <row r="61" spans="2:53" s="27" customFormat="1" ht="15" thickBot="1">
      <c r="H61" s="205" t="s">
        <v>123</v>
      </c>
      <c r="I61" s="654">
        <f>SUM(I40:K59)</f>
        <v>2367</v>
      </c>
      <c r="J61" s="655"/>
      <c r="K61" s="656"/>
      <c r="L61" s="526">
        <f>SUM(L40:N60)</f>
        <v>0.63883811708510396</v>
      </c>
      <c r="M61" s="657"/>
      <c r="N61" s="527"/>
      <c r="R61" s="568"/>
    </row>
    <row r="62" spans="2:53" s="27" customFormat="1" ht="15" thickBot="1">
      <c r="H62" s="137" t="s">
        <v>148</v>
      </c>
      <c r="I62" s="557" t="str">
        <f>IF(I61&lt;&gt;M32,"Error - Area of habitat creation must match area lost","Areas Acceptable")</f>
        <v>Areas Acceptable</v>
      </c>
      <c r="J62" s="558"/>
      <c r="K62" s="558"/>
      <c r="L62" s="558"/>
      <c r="M62" s="558"/>
      <c r="N62" s="559"/>
      <c r="O62" s="230">
        <f>IFERROR(FIND("Error",I62),0)</f>
        <v>0</v>
      </c>
      <c r="R62" s="568"/>
    </row>
    <row r="63" spans="2:53" s="27" customFormat="1">
      <c r="R63" s="568"/>
      <c r="BA63" s="53" t="s">
        <v>149</v>
      </c>
    </row>
    <row r="64" spans="2:53" s="27" customFormat="1" ht="21">
      <c r="B64" s="62" t="s">
        <v>150</v>
      </c>
      <c r="D64" s="93"/>
      <c r="H64" s="28"/>
      <c r="R64" s="568"/>
      <c r="BA64" s="53" t="s">
        <v>151</v>
      </c>
    </row>
    <row r="65" spans="1:76" s="27" customFormat="1" ht="15" thickBot="1">
      <c r="A65" s="94"/>
      <c r="R65" s="568"/>
    </row>
    <row r="66" spans="1:76" s="27" customFormat="1" ht="16.149999999999999" customHeight="1" thickBot="1">
      <c r="A66" s="94"/>
      <c r="B66" s="510" t="s">
        <v>152</v>
      </c>
      <c r="C66" s="591" t="s">
        <v>153</v>
      </c>
      <c r="D66" s="592"/>
      <c r="E66" s="578" t="s">
        <v>154</v>
      </c>
      <c r="F66" s="583"/>
      <c r="G66" s="593"/>
      <c r="H66" s="648" t="s">
        <v>155</v>
      </c>
      <c r="I66" s="648" t="s">
        <v>156</v>
      </c>
      <c r="J66" s="650" t="s">
        <v>157</v>
      </c>
      <c r="K66" s="651"/>
      <c r="L66" s="591" t="s">
        <v>158</v>
      </c>
      <c r="M66" s="604" t="s">
        <v>159</v>
      </c>
      <c r="N66" s="592"/>
      <c r="O66" s="646" t="s">
        <v>85</v>
      </c>
      <c r="P66" s="647"/>
      <c r="R66" s="568"/>
      <c r="U66" s="673" t="s">
        <v>160</v>
      </c>
      <c r="V66" s="674"/>
      <c r="W66" s="674"/>
      <c r="X66" s="674"/>
      <c r="Y66" s="674"/>
      <c r="Z66" s="674"/>
      <c r="AA66" s="674"/>
      <c r="AB66" s="674"/>
      <c r="AC66" s="674"/>
      <c r="AD66" s="674"/>
      <c r="AE66" s="675"/>
      <c r="AF66" s="676" t="s">
        <v>161</v>
      </c>
      <c r="AG66" s="678" t="s">
        <v>162</v>
      </c>
      <c r="AH66" s="674"/>
      <c r="AI66" s="674"/>
      <c r="AJ66" s="674"/>
      <c r="AK66" s="674"/>
      <c r="AL66" s="674"/>
      <c r="AM66" s="674"/>
      <c r="AN66" s="674"/>
      <c r="AO66" s="674"/>
      <c r="AP66" s="674"/>
      <c r="AQ66" s="674"/>
      <c r="AR66" s="674"/>
      <c r="AS66" s="674"/>
      <c r="AT66" s="674"/>
      <c r="AU66" s="674"/>
      <c r="AV66" s="679"/>
      <c r="AW66" s="680"/>
      <c r="BA66" s="204" t="s">
        <v>163</v>
      </c>
      <c r="BB66" s="297">
        <f>COUNTIF(BB68:BB87,"?*")</f>
        <v>0</v>
      </c>
      <c r="BC66" s="297">
        <f t="shared" ref="BC66:BU66" si="16">COUNTIF(BC68:BC87,"?*")</f>
        <v>0</v>
      </c>
      <c r="BD66" s="297">
        <f t="shared" si="16"/>
        <v>0</v>
      </c>
      <c r="BE66" s="297">
        <f t="shared" si="16"/>
        <v>0</v>
      </c>
      <c r="BF66" s="297">
        <f t="shared" si="16"/>
        <v>0</v>
      </c>
      <c r="BG66" s="297">
        <f t="shared" si="16"/>
        <v>0</v>
      </c>
      <c r="BH66" s="297">
        <f t="shared" si="16"/>
        <v>0</v>
      </c>
      <c r="BI66" s="297">
        <f t="shared" si="16"/>
        <v>0</v>
      </c>
      <c r="BJ66" s="297">
        <f t="shared" si="16"/>
        <v>0</v>
      </c>
      <c r="BK66" s="297">
        <f t="shared" si="16"/>
        <v>0</v>
      </c>
      <c r="BL66" s="297">
        <f t="shared" si="16"/>
        <v>0</v>
      </c>
      <c r="BM66" s="297">
        <f t="shared" si="16"/>
        <v>0</v>
      </c>
      <c r="BN66" s="297">
        <f t="shared" si="16"/>
        <v>0</v>
      </c>
      <c r="BO66" s="297">
        <f t="shared" si="16"/>
        <v>0</v>
      </c>
      <c r="BP66" s="297">
        <f t="shared" si="16"/>
        <v>0</v>
      </c>
      <c r="BQ66" s="297">
        <f t="shared" si="16"/>
        <v>0</v>
      </c>
      <c r="BR66" s="297">
        <f t="shared" si="16"/>
        <v>0</v>
      </c>
      <c r="BS66" s="297">
        <f t="shared" si="16"/>
        <v>0</v>
      </c>
      <c r="BT66" s="297">
        <f t="shared" si="16"/>
        <v>0</v>
      </c>
      <c r="BU66" s="297">
        <f t="shared" si="16"/>
        <v>0</v>
      </c>
    </row>
    <row r="67" spans="1:76" s="27" customFormat="1" ht="31.9" customHeight="1" thickBot="1">
      <c r="A67" s="94"/>
      <c r="B67" s="511"/>
      <c r="C67" s="336" t="s">
        <v>164</v>
      </c>
      <c r="D67" s="95" t="s">
        <v>165</v>
      </c>
      <c r="E67" s="91" t="s">
        <v>166</v>
      </c>
      <c r="F67" s="522" t="s">
        <v>167</v>
      </c>
      <c r="G67" s="546"/>
      <c r="H67" s="649"/>
      <c r="I67" s="649"/>
      <c r="J67" s="652"/>
      <c r="K67" s="653"/>
      <c r="L67" s="696"/>
      <c r="M67" s="671"/>
      <c r="N67" s="672"/>
      <c r="O67" s="314" t="s">
        <v>101</v>
      </c>
      <c r="P67" s="95" t="s">
        <v>102</v>
      </c>
      <c r="R67" s="568"/>
      <c r="U67" s="285" t="s">
        <v>168</v>
      </c>
      <c r="V67" s="139" t="s">
        <v>169</v>
      </c>
      <c r="W67" s="140" t="s">
        <v>170</v>
      </c>
      <c r="X67" s="139" t="s">
        <v>171</v>
      </c>
      <c r="Y67" s="140" t="s">
        <v>172</v>
      </c>
      <c r="Z67" s="139" t="s">
        <v>173</v>
      </c>
      <c r="AA67" s="141" t="s">
        <v>174</v>
      </c>
      <c r="AB67" s="140" t="s">
        <v>175</v>
      </c>
      <c r="AC67" s="139" t="s">
        <v>176</v>
      </c>
      <c r="AD67" s="141" t="s">
        <v>177</v>
      </c>
      <c r="AE67" s="140" t="s">
        <v>178</v>
      </c>
      <c r="AF67" s="677"/>
      <c r="AG67" s="138" t="s">
        <v>168</v>
      </c>
      <c r="AH67" s="139" t="s">
        <v>103</v>
      </c>
      <c r="AI67" s="140" t="s">
        <v>104</v>
      </c>
      <c r="AJ67" s="139" t="s">
        <v>105</v>
      </c>
      <c r="AK67" s="140" t="s">
        <v>104</v>
      </c>
      <c r="AL67" s="139" t="s">
        <v>179</v>
      </c>
      <c r="AM67" s="141" t="s">
        <v>106</v>
      </c>
      <c r="AN67" s="140" t="s">
        <v>107</v>
      </c>
      <c r="AO67" s="139" t="s">
        <v>89</v>
      </c>
      <c r="AP67" s="141" t="s">
        <v>89</v>
      </c>
      <c r="AQ67" s="140" t="s">
        <v>108</v>
      </c>
      <c r="AR67" s="139" t="s">
        <v>180</v>
      </c>
      <c r="AS67" s="140" t="s">
        <v>181</v>
      </c>
      <c r="AT67" s="139" t="s">
        <v>182</v>
      </c>
      <c r="AU67" s="140" t="s">
        <v>183</v>
      </c>
      <c r="AV67" s="142" t="s">
        <v>184</v>
      </c>
      <c r="AW67" s="260" t="s">
        <v>185</v>
      </c>
      <c r="AX67" s="293" t="s">
        <v>186</v>
      </c>
      <c r="AY67" s="294" t="s">
        <v>187</v>
      </c>
      <c r="BA67" s="88" t="s">
        <v>188</v>
      </c>
      <c r="BB67" s="266">
        <v>1</v>
      </c>
      <c r="BC67" s="266">
        <v>2</v>
      </c>
      <c r="BD67" s="266">
        <v>3</v>
      </c>
      <c r="BE67" s="266">
        <v>4</v>
      </c>
      <c r="BF67" s="266">
        <v>5</v>
      </c>
      <c r="BG67" s="266">
        <v>6</v>
      </c>
      <c r="BH67" s="266">
        <v>7</v>
      </c>
      <c r="BI67" s="266">
        <v>8</v>
      </c>
      <c r="BJ67" s="266">
        <v>9</v>
      </c>
      <c r="BK67" s="266">
        <v>10</v>
      </c>
      <c r="BL67" s="266">
        <v>11</v>
      </c>
      <c r="BM67" s="266">
        <v>12</v>
      </c>
      <c r="BN67" s="266">
        <v>13</v>
      </c>
      <c r="BO67" s="266">
        <v>14</v>
      </c>
      <c r="BP67" s="266">
        <v>15</v>
      </c>
      <c r="BQ67" s="266">
        <v>16</v>
      </c>
      <c r="BR67" s="266">
        <v>17</v>
      </c>
      <c r="BS67" s="266">
        <v>18</v>
      </c>
      <c r="BT67" s="266">
        <v>19</v>
      </c>
      <c r="BU67" s="266">
        <v>20</v>
      </c>
      <c r="BV67" s="295" t="s">
        <v>189</v>
      </c>
      <c r="BW67" s="266" t="s">
        <v>190</v>
      </c>
      <c r="BX67" s="266" t="s">
        <v>191</v>
      </c>
    </row>
    <row r="68" spans="1:76" s="27" customFormat="1" ht="15.6">
      <c r="A68" s="94"/>
      <c r="B68" s="98">
        <v>1</v>
      </c>
      <c r="C68" s="330" t="str">
        <f t="shared" ref="C68:C87" si="17">IF(D68="","",C11)</f>
        <v/>
      </c>
      <c r="D68" s="331" t="str">
        <f t="shared" ref="D68:D87" si="18">IF(K11="","",D11)</f>
        <v/>
      </c>
      <c r="E68" s="332" t="str">
        <f>IF(AY68="","",AY68)</f>
        <v/>
      </c>
      <c r="F68" s="544"/>
      <c r="G68" s="545"/>
      <c r="H68" s="333" t="str">
        <f>IF(D68="","",AC68)</f>
        <v/>
      </c>
      <c r="I68" s="334" t="str">
        <f t="shared" ref="I68:I88" si="19">IF(K11="","",K11)</f>
        <v/>
      </c>
      <c r="J68" s="542" t="str">
        <f>IF(F68="","",VLOOKUP(F68,'11. Condition and Temporal'!$B$6:$F$101,5,FALSE))</f>
        <v/>
      </c>
      <c r="K68" s="543"/>
      <c r="L68" s="192" t="str">
        <f>IFERROR(IF(D68="","",IF(AY68="Distinctivness",((((I68*AI68*AK68)-(I68*W68*Y68))*(AW68*AU68))+(I68*W68*Y68))*(AN68*AQ68),((((I68*AI68*AK68)-(I68*W68*Y68))*(AW68*AS68))+(I68*W68*Y68))*(AN68*AQ68))/10000),"Value missing")</f>
        <v/>
      </c>
      <c r="M68" s="552" t="str">
        <f>IF(F68="","",L68-AE68)</f>
        <v/>
      </c>
      <c r="N68" s="695"/>
      <c r="O68" s="335"/>
      <c r="P68" s="1"/>
      <c r="R68" s="568"/>
      <c r="U68" s="286" t="str">
        <f>IF(D68="","",K11)</f>
        <v/>
      </c>
      <c r="V68" s="145" t="str">
        <f t="shared" ref="V68:AC68" si="20">IF($D68="","",U11)</f>
        <v/>
      </c>
      <c r="W68" s="146" t="str">
        <f t="shared" si="20"/>
        <v/>
      </c>
      <c r="X68" s="145" t="str">
        <f t="shared" si="20"/>
        <v/>
      </c>
      <c r="Y68" s="146" t="str">
        <f t="shared" si="20"/>
        <v/>
      </c>
      <c r="Z68" s="145" t="str">
        <f t="shared" si="20"/>
        <v/>
      </c>
      <c r="AA68" s="147" t="str">
        <f t="shared" si="20"/>
        <v/>
      </c>
      <c r="AB68" s="146" t="str">
        <f t="shared" si="20"/>
        <v/>
      </c>
      <c r="AC68" s="145" t="str">
        <f t="shared" si="20"/>
        <v/>
      </c>
      <c r="AD68" s="147" t="str">
        <f>IF($D68="","",AD11)</f>
        <v/>
      </c>
      <c r="AE68" s="146" t="str">
        <f>IF(AD68="","",(U68*W68*Y68)*(AB68*AD68)/10000)</f>
        <v/>
      </c>
      <c r="AF68" s="288" t="str">
        <f>IF(AE68="","",IF(AI68&lt;W68,"Not Acceptable","Acceptable"))</f>
        <v/>
      </c>
      <c r="AG68" s="144" t="str">
        <f t="shared" ref="AG68:AG87" si="21">IF(D68="","",I68)</f>
        <v/>
      </c>
      <c r="AH68" s="145" t="str">
        <f>IF(D68="","",VLOOKUP(F68,'10. All Habitats + Multipliers'!$C$4:$K$99,5,FALSE))</f>
        <v/>
      </c>
      <c r="AI68" s="146" t="str">
        <f>IF(AH68="","",VLOOKUP(AH68,'12. Lists'!$B$47:$D$49,2,FALSE))</f>
        <v/>
      </c>
      <c r="AJ68" s="145" t="str">
        <f t="shared" ref="AJ68:AJ87" si="22">IF(D68="","",J68)</f>
        <v/>
      </c>
      <c r="AK68" s="146" t="str">
        <f>IF(AJ68="","",VLOOKUP(AJ68,'12. Lists'!$F$47:$G$51,2,FALSE))</f>
        <v/>
      </c>
      <c r="AL68" s="145" t="str">
        <f>IF(D68="","",VLOOKUP(F68,'10. All Habitats + Multipliers'!$C$4:$K$99,9,FALSE))</f>
        <v/>
      </c>
      <c r="AM68" s="147" t="str">
        <f>IF(AL68="","",VLOOKUP(AL68,'12. Lists'!$B$36:$D$39,2,FALSE))</f>
        <v/>
      </c>
      <c r="AN68" s="146" t="str">
        <f>IF(AL68="","",VLOOKUP(AL68,'12. Lists'!$B$36:$D$39,3,FALSE))</f>
        <v/>
      </c>
      <c r="AO68" s="145" t="str">
        <f t="shared" ref="AO68:AO87" si="23">IF(H68="","",H68)</f>
        <v/>
      </c>
      <c r="AP68" s="147" t="str">
        <f>IF(AO68="","",VLOOKUP(AO68,'12. Lists'!$F$36:$H$38,2,FALSE))</f>
        <v/>
      </c>
      <c r="AQ68" s="146" t="str">
        <f>IF(AO68="","",VLOOKUP(AO68,'12. Lists'!$F$36:$H$38,3,FALSE))</f>
        <v/>
      </c>
      <c r="AR68" s="145" t="str">
        <f>IF(D68="","",VLOOKUP(F68,'11. Condition and Temporal'!$B$6:$J$101,9,FALSE))</f>
        <v/>
      </c>
      <c r="AS68" s="149" t="str">
        <f>IF(AR68="","",VLOOKUP(AR68,'12. Lists'!$I$47:$K$80,3,FALSE))</f>
        <v/>
      </c>
      <c r="AT68" s="175" t="str">
        <f>IF(D68="","",VLOOKUP(F68,'11. Condition and Temporal'!$B$6:$K$104,10,FALSE))</f>
        <v/>
      </c>
      <c r="AU68" s="149" t="str">
        <f>IF(AT68="","",VLOOKUP(AT68,'12. Lists'!$I$47:$K$80,3,FALSE))</f>
        <v/>
      </c>
      <c r="AV68" s="148" t="str">
        <f>IF(D68="","",VLOOKUP(F68,'10. All Habitats + Multipliers'!$C$4:$K$99,8,FALSE))</f>
        <v/>
      </c>
      <c r="AW68" s="146" t="str">
        <f>IF(AV68="","",VLOOKUP(AV68,'12. Lists'!$J$35:$K$38,2,FALSE))</f>
        <v/>
      </c>
      <c r="AX68" s="145" t="str">
        <f>IF(D68="","",VLOOKUP(D68,'11. Condition and Temporal'!$B$6:$K$101,4,FALSE))</f>
        <v/>
      </c>
      <c r="AY68" s="146" t="str">
        <f>IF(F68="","",IF(D68=F68,"Condition","Distinctivness"))</f>
        <v/>
      </c>
      <c r="BA68" s="100">
        <v>1</v>
      </c>
      <c r="BB68" s="102" t="str">
        <f>TRIM(MID(SUBSTITUTE($AX$68,$BA$64,REPT(" ",LEN($AX$68))),($BA68-1)*LEN($AX$68)+1,LEN($AX$68)))</f>
        <v/>
      </c>
      <c r="BC68" s="102" t="str">
        <f>TRIM(MID(SUBSTITUTE($AX$69,$BA$64,REPT(" ",LEN($AX$69))),($BA68-1)*LEN($AX$69)+1,LEN($AX$69)))</f>
        <v/>
      </c>
      <c r="BD68" s="102" t="str">
        <f>TRIM(MID(SUBSTITUTE($AX$70,$BA$64,REPT(" ",LEN($AX$70))),($BA68-1)*LEN($AX$70)+1,LEN($AX$70)))</f>
        <v/>
      </c>
      <c r="BE68" s="102" t="str">
        <f>TRIM(MID(SUBSTITUTE($AX$71,$BA$64,REPT(" ",LEN($AX$71))),($BA68-1)*LEN($AX$71)+1,LEN($AX$71)))</f>
        <v/>
      </c>
      <c r="BF68" s="102" t="str">
        <f>TRIM(MID(SUBSTITUTE($AX$72,$BA$64,REPT(" ",LEN($AX$72))),($BA68-1)*LEN($AX$72)+1,LEN($AX$72)))</f>
        <v/>
      </c>
      <c r="BG68" s="102" t="str">
        <f>TRIM(MID(SUBSTITUTE($AX$73,$BA$64,REPT(" ",LEN($AX$73))),($BA68-1)*LEN($AX$73)+1,LEN($AX$73)))</f>
        <v/>
      </c>
      <c r="BH68" s="102" t="str">
        <f>TRIM(MID(SUBSTITUTE($AX$74,$BA$64,REPT(" ",LEN($AX$74))),($BA68-1)*LEN($AX$74)+1,LEN($AX$74)))</f>
        <v/>
      </c>
      <c r="BI68" s="102" t="str">
        <f>TRIM(MID(SUBSTITUTE($AX$75,$BA$64,REPT(" ",LEN($AX$75))),($BA68-1)*LEN($AX$75)+1,LEN($AX$75)))</f>
        <v/>
      </c>
      <c r="BJ68" s="102" t="str">
        <f>TRIM(MID(SUBSTITUTE($AX$76,$BA$64,REPT(" ",LEN($AX$76))),($BA68-1)*LEN($AX$76)+1,LEN($AX$76)))</f>
        <v/>
      </c>
      <c r="BK68" s="102" t="str">
        <f>TRIM(MID(SUBSTITUTE($AX$77,$BA$64,REPT(" ",LEN($AX$77))),($BA68-1)*LEN($AX$77)+1,LEN($AX$77)))</f>
        <v/>
      </c>
      <c r="BL68" s="102" t="str">
        <f t="shared" ref="BL68:BL87" si="24">TRIM(MID(SUBSTITUTE($AX$78,$BA$64,REPT(" ",LEN($AX$78))),($BA68-1)*LEN($AX$78)+1,LEN($AX$78)))</f>
        <v/>
      </c>
      <c r="BM68" s="102" t="str">
        <f t="shared" ref="BM68:BM87" si="25">TRIM(MID(SUBSTITUTE($AX$79,$BA$64,REPT(" ",LEN($AX$79))),($BA68-1)*LEN($AX$79)+1,LEN($AX$79)))</f>
        <v/>
      </c>
      <c r="BN68" s="102" t="str">
        <f t="shared" ref="BN68:BN87" si="26">TRIM(MID(SUBSTITUTE($AX$80,$BA$64,REPT(" ",LEN($AX$80))),($BA68-1)*LEN($AX$80)+1,LEN($AX$80)))</f>
        <v/>
      </c>
      <c r="BO68" s="102" t="str">
        <f t="shared" ref="BO68:BO87" si="27">TRIM(MID(SUBSTITUTE($AX$81,$BA$64,REPT(" ",LEN($AX$81))),($BA68-1)*LEN($AX$81)+1,LEN($AX$81)))</f>
        <v/>
      </c>
      <c r="BP68" s="102" t="str">
        <f t="shared" ref="BP68:BP87" si="28">TRIM(MID(SUBSTITUTE($AX$82,$BA$64,REPT(" ",LEN($AX$82))),($BA68-1)*LEN($AX$82)+1,LEN($AX$82)))</f>
        <v/>
      </c>
      <c r="BQ68" s="102" t="str">
        <f t="shared" ref="BQ68:BQ87" si="29">TRIM(MID(SUBSTITUTE($AX$83,$BA$64,REPT(" ",LEN($AX$83))),($BA68-1)*LEN($AX$83)+1,LEN($AX$83)))</f>
        <v/>
      </c>
      <c r="BR68" s="102" t="str">
        <f t="shared" ref="BR68:BR87" si="30">TRIM(MID(SUBSTITUTE($AX$84,$BA$64,REPT(" ",LEN($AX$84))),($BA68-1)*LEN($AX$84)+1,LEN($AX$84)))</f>
        <v/>
      </c>
      <c r="BS68" s="102" t="str">
        <f t="shared" ref="BS68:BS87" si="31">TRIM(MID(SUBSTITUTE($AX$85,$BA$64,REPT(" ",LEN($AX$85))),($BA68-1)*LEN($AX$85)+1,LEN($AX$85)))</f>
        <v/>
      </c>
      <c r="BT68" s="102" t="str">
        <f t="shared" ref="BT68:BT87" si="32">TRIM(MID(SUBSTITUTE($AX$86,$BA$64,REPT(" ",LEN($AX$86))),($BA68-1)*LEN($AX$86)+1,LEN($AX$86)))</f>
        <v/>
      </c>
      <c r="BU68" s="101" t="str">
        <f t="shared" ref="BU68:BU87" si="33">TRIM(MID(SUBSTITUTE($AX$87,$BA$64,REPT(" ",LEN($AX$87))),($BA68-1)*LEN($AX$87)+1,LEN($AX$87)))</f>
        <v/>
      </c>
      <c r="BV68" s="296" t="str">
        <f>IF(BX68=0,"",CONCATENATE(BW68,"68:",BW68,BX68+67))</f>
        <v/>
      </c>
      <c r="BW68" s="102" t="s">
        <v>192</v>
      </c>
      <c r="BX68" s="102">
        <f>BB66</f>
        <v>0</v>
      </c>
    </row>
    <row r="69" spans="1:76" s="27" customFormat="1" ht="15.6">
      <c r="A69" s="94"/>
      <c r="B69" s="106">
        <v>2</v>
      </c>
      <c r="C69" s="150" t="str">
        <f t="shared" si="17"/>
        <v/>
      </c>
      <c r="D69" s="151" t="str">
        <f t="shared" si="18"/>
        <v/>
      </c>
      <c r="E69" s="259" t="str">
        <f t="shared" ref="E69:E88" si="34">IF(AY69="","",AY69)</f>
        <v/>
      </c>
      <c r="F69" s="534"/>
      <c r="G69" s="535"/>
      <c r="H69" s="241" t="str">
        <f t="shared" ref="H69:H87" si="35">IF(D69="","",AC69)</f>
        <v/>
      </c>
      <c r="I69" s="227" t="str">
        <f t="shared" si="19"/>
        <v/>
      </c>
      <c r="J69" s="520" t="str">
        <f>IF(F69="","",VLOOKUP(F69,'11. Condition and Temporal'!$B$6:$F$101,5,FALSE))</f>
        <v/>
      </c>
      <c r="K69" s="521"/>
      <c r="L69" s="192" t="str">
        <f t="shared" ref="L69:L87" si="36">IFERROR(IF(D69="","",IF(AY69="Distinctivness",((((I69*AI69*AK69)-(I69*W69*Y69))*(AW69*AU69))+(I69*W69*Y69))*(AN69*AQ69),((((I69*AI69*AK69)-(I69*W69*Y69))*(AW69*AS69))+(I69*W69*Y69))*(AN69*AQ69))/10000),"Value missing")</f>
        <v/>
      </c>
      <c r="M69" s="512" t="str">
        <f t="shared" ref="M69:M87" si="37">IF(F69="","",L69-AE69)</f>
        <v/>
      </c>
      <c r="N69" s="513"/>
      <c r="O69" s="79"/>
      <c r="P69" s="12"/>
      <c r="R69" s="568"/>
      <c r="U69" s="286" t="str">
        <f t="shared" ref="U69:U88" si="38">IF(D69="","",K12)</f>
        <v/>
      </c>
      <c r="V69" s="100" t="str">
        <f t="shared" ref="V69:AC69" si="39">IF($D69="","",U12)</f>
        <v/>
      </c>
      <c r="W69" s="101" t="str">
        <f t="shared" si="39"/>
        <v/>
      </c>
      <c r="X69" s="100" t="str">
        <f t="shared" si="39"/>
        <v/>
      </c>
      <c r="Y69" s="101" t="str">
        <f t="shared" si="39"/>
        <v/>
      </c>
      <c r="Z69" s="100" t="str">
        <f t="shared" si="39"/>
        <v/>
      </c>
      <c r="AA69" s="102" t="str">
        <f t="shared" si="39"/>
        <v/>
      </c>
      <c r="AB69" s="101" t="str">
        <f t="shared" si="39"/>
        <v/>
      </c>
      <c r="AC69" s="100" t="str">
        <f t="shared" si="39"/>
        <v/>
      </c>
      <c r="AD69" s="147" t="str">
        <f t="shared" ref="AD69:AD88" si="40">IF($D69="","",AD12)</f>
        <v/>
      </c>
      <c r="AE69" s="146" t="str">
        <f t="shared" ref="AE69:AE88" si="41">IF(AD69="","",(U69*W69*Y69)*(AB69*AD69)/10000)</f>
        <v/>
      </c>
      <c r="AF69" s="288" t="str">
        <f>IF(AE69="","",IF(AI69&lt;W69,"Not Acceptable","Acceptable"))</f>
        <v/>
      </c>
      <c r="AG69" s="291" t="str">
        <f t="shared" si="21"/>
        <v/>
      </c>
      <c r="AH69" s="145" t="str">
        <f>IF(D69="","",VLOOKUP(F69,'10. All Habitats + Multipliers'!$C$4:$K$99,5,FALSE))</f>
        <v/>
      </c>
      <c r="AI69" s="101" t="str">
        <f>IF(AH69="","",VLOOKUP(AH69,'12. Lists'!$B$47:$D$49,2,FALSE))</f>
        <v/>
      </c>
      <c r="AJ69" s="100" t="str">
        <f t="shared" si="22"/>
        <v/>
      </c>
      <c r="AK69" s="101" t="str">
        <f>IF(AJ69="","",VLOOKUP(AJ69,'12. Lists'!$F$47:$G$51,2,FALSE))</f>
        <v/>
      </c>
      <c r="AL69" s="145" t="str">
        <f>IF(D69="","",VLOOKUP(F69,'10. All Habitats + Multipliers'!$C$4:$K$99,9,FALSE))</f>
        <v/>
      </c>
      <c r="AM69" s="102" t="str">
        <f>IF(AL69="","",VLOOKUP(AL69,'12. Lists'!$B$36:$D$39,2,FALSE))</f>
        <v/>
      </c>
      <c r="AN69" s="101" t="str">
        <f>IF(AL69="","",VLOOKUP(AL69,'12. Lists'!$B$36:$D$39,3,FALSE))</f>
        <v/>
      </c>
      <c r="AO69" s="100" t="str">
        <f t="shared" si="23"/>
        <v/>
      </c>
      <c r="AP69" s="102" t="str">
        <f>IF(AO69="","",VLOOKUP(AO69,'12. Lists'!$F$36:$H$38,2,FALSE))</f>
        <v/>
      </c>
      <c r="AQ69" s="101" t="str">
        <f>IF(AO69="","",VLOOKUP(AO69,'12. Lists'!$F$36:$H$38,3,FALSE))</f>
        <v/>
      </c>
      <c r="AR69" s="145" t="str">
        <f>IF(D69="","",VLOOKUP(F69,'11. Condition and Temporal'!$B$6:$J$101,9,FALSE))</f>
        <v/>
      </c>
      <c r="AS69" s="149" t="str">
        <f>IF(AR69="","",VLOOKUP(AR69,'12. Lists'!$I$47:$K$80,3,FALSE))</f>
        <v/>
      </c>
      <c r="AT69" s="175" t="str">
        <f>IF(D69="","",VLOOKUP(F69,'11. Condition and Temporal'!$B$6:$K$104,10,FALSE))</f>
        <v/>
      </c>
      <c r="AU69" s="149" t="str">
        <f>IF(AT69="","",VLOOKUP(AT69,'12. Lists'!$I$47:$K$80,3,FALSE))</f>
        <v/>
      </c>
      <c r="AV69" s="148" t="str">
        <f>IF(D69="","",VLOOKUP(F69,'10. All Habitats + Multipliers'!$C$4:$K$99,8,FALSE))</f>
        <v/>
      </c>
      <c r="AW69" s="146" t="str">
        <f>IF(AV69="","",VLOOKUP(AV69,'12. Lists'!$J$35:$K$38,2,FALSE))</f>
        <v/>
      </c>
      <c r="AX69" s="145" t="str">
        <f>IF(D69="","",VLOOKUP(D69,'11. Condition and Temporal'!$B$6:$K$101,4,FALSE))</f>
        <v/>
      </c>
      <c r="AY69" s="146" t="str">
        <f>IF(F69="","",IF(D69=F69,"Condition","Distinctivness"))</f>
        <v/>
      </c>
      <c r="BA69" s="100">
        <v>2</v>
      </c>
      <c r="BB69" s="102" t="str">
        <f t="shared" ref="BB69:BB87" si="42">TRIM(MID(SUBSTITUTE($AX$68,$BA$64,REPT(" ",LEN($AX$68))),($BA69-1)*LEN($AX$68)+1,LEN($AX$68)))</f>
        <v/>
      </c>
      <c r="BC69" s="102" t="str">
        <f t="shared" ref="BC69:BC87" si="43">TRIM(MID(SUBSTITUTE($AX$69,$BA$64,REPT(" ",LEN($AX$69))),($BA69-1)*LEN($AX$69)+1,LEN($AX$69)))</f>
        <v/>
      </c>
      <c r="BD69" s="102" t="str">
        <f t="shared" ref="BD69:BD87" si="44">TRIM(MID(SUBSTITUTE($AX$70,$BA$64,REPT(" ",LEN($AX$70))),($BA69-1)*LEN($AX$70)+1,LEN($AX$70)))</f>
        <v/>
      </c>
      <c r="BE69" s="102" t="str">
        <f t="shared" ref="BE69:BE87" si="45">TRIM(MID(SUBSTITUTE($AX$71,$BA$64,REPT(" ",LEN($AX$71))),($BA69-1)*LEN($AX$71)+1,LEN($AX$71)))</f>
        <v/>
      </c>
      <c r="BF69" s="102" t="str">
        <f t="shared" ref="BF69:BF87" si="46">TRIM(MID(SUBSTITUTE($AX$72,$BA$64,REPT(" ",LEN($AX$72))),($BA69-1)*LEN($AX$72)+1,LEN($AX$72)))</f>
        <v/>
      </c>
      <c r="BG69" s="102" t="str">
        <f t="shared" ref="BG69:BG87" si="47">TRIM(MID(SUBSTITUTE($AX$73,$BA$64,REPT(" ",LEN($AX$73))),($BA69-1)*LEN($AX$73)+1,LEN($AX$73)))</f>
        <v/>
      </c>
      <c r="BH69" s="102" t="str">
        <f t="shared" ref="BH69:BH87" si="48">TRIM(MID(SUBSTITUTE($AX$74,$BA$64,REPT(" ",LEN($AX$74))),($BA69-1)*LEN($AX$74)+1,LEN($AX$74)))</f>
        <v/>
      </c>
      <c r="BI69" s="102" t="str">
        <f t="shared" ref="BI69:BI87" si="49">TRIM(MID(SUBSTITUTE($AX$75,$BA$64,REPT(" ",LEN($AX$75))),($BA69-1)*LEN($AX$75)+1,LEN($AX$75)))</f>
        <v/>
      </c>
      <c r="BJ69" s="102" t="str">
        <f t="shared" ref="BJ69:BJ87" si="50">TRIM(MID(SUBSTITUTE($AX$76,$BA$64,REPT(" ",LEN($AX$76))),($BA69-1)*LEN($AX$76)+1,LEN($AX$76)))</f>
        <v/>
      </c>
      <c r="BK69" s="102" t="str">
        <f t="shared" ref="BK69:BK87" si="51">TRIM(MID(SUBSTITUTE($AX$77,$BA$64,REPT(" ",LEN($AX$77))),($BA69-1)*LEN($AX$77)+1,LEN($AX$77)))</f>
        <v/>
      </c>
      <c r="BL69" s="102" t="str">
        <f t="shared" si="24"/>
        <v/>
      </c>
      <c r="BM69" s="102" t="str">
        <f t="shared" si="25"/>
        <v/>
      </c>
      <c r="BN69" s="102" t="str">
        <f t="shared" si="26"/>
        <v/>
      </c>
      <c r="BO69" s="102" t="str">
        <f t="shared" si="27"/>
        <v/>
      </c>
      <c r="BP69" s="102" t="str">
        <f t="shared" si="28"/>
        <v/>
      </c>
      <c r="BQ69" s="102" t="str">
        <f t="shared" si="29"/>
        <v/>
      </c>
      <c r="BR69" s="102" t="str">
        <f t="shared" si="30"/>
        <v/>
      </c>
      <c r="BS69" s="102" t="str">
        <f t="shared" si="31"/>
        <v/>
      </c>
      <c r="BT69" s="102" t="str">
        <f t="shared" si="32"/>
        <v/>
      </c>
      <c r="BU69" s="101" t="str">
        <f t="shared" si="33"/>
        <v/>
      </c>
      <c r="BV69" s="296" t="str">
        <f t="shared" ref="BV69:BV87" si="52">IF(BX69=0,"",CONCATENATE(BW69,"68:",BW69,BX69+67))</f>
        <v/>
      </c>
      <c r="BW69" s="102" t="s">
        <v>193</v>
      </c>
      <c r="BX69" s="102">
        <f>BC66</f>
        <v>0</v>
      </c>
    </row>
    <row r="70" spans="1:76" s="27" customFormat="1" ht="15.6">
      <c r="A70" s="94"/>
      <c r="B70" s="106">
        <v>3</v>
      </c>
      <c r="C70" s="150" t="str">
        <f t="shared" si="17"/>
        <v/>
      </c>
      <c r="D70" s="151" t="str">
        <f t="shared" si="18"/>
        <v/>
      </c>
      <c r="E70" s="259" t="str">
        <f t="shared" si="34"/>
        <v/>
      </c>
      <c r="F70" s="534"/>
      <c r="G70" s="535"/>
      <c r="H70" s="241" t="str">
        <f t="shared" si="35"/>
        <v/>
      </c>
      <c r="I70" s="227" t="str">
        <f t="shared" si="19"/>
        <v/>
      </c>
      <c r="J70" s="520" t="str">
        <f>IF(F70="","",VLOOKUP(F70,'11. Condition and Temporal'!$B$6:$F$101,5,FALSE))</f>
        <v/>
      </c>
      <c r="K70" s="521"/>
      <c r="L70" s="192" t="str">
        <f t="shared" si="36"/>
        <v/>
      </c>
      <c r="M70" s="512" t="str">
        <f t="shared" si="37"/>
        <v/>
      </c>
      <c r="N70" s="513"/>
      <c r="O70" s="79"/>
      <c r="P70" s="12"/>
      <c r="R70" s="568"/>
      <c r="U70" s="286" t="str">
        <f t="shared" si="38"/>
        <v/>
      </c>
      <c r="V70" s="100" t="str">
        <f t="shared" ref="V70:AC70" si="53">IF($D70="","",U13)</f>
        <v/>
      </c>
      <c r="W70" s="101" t="str">
        <f t="shared" si="53"/>
        <v/>
      </c>
      <c r="X70" s="100" t="str">
        <f t="shared" si="53"/>
        <v/>
      </c>
      <c r="Y70" s="101" t="str">
        <f t="shared" si="53"/>
        <v/>
      </c>
      <c r="Z70" s="100" t="str">
        <f t="shared" si="53"/>
        <v/>
      </c>
      <c r="AA70" s="102" t="str">
        <f t="shared" si="53"/>
        <v/>
      </c>
      <c r="AB70" s="101" t="str">
        <f t="shared" si="53"/>
        <v/>
      </c>
      <c r="AC70" s="100" t="str">
        <f t="shared" si="53"/>
        <v/>
      </c>
      <c r="AD70" s="147" t="str">
        <f t="shared" si="40"/>
        <v/>
      </c>
      <c r="AE70" s="146" t="str">
        <f t="shared" si="41"/>
        <v/>
      </c>
      <c r="AF70" s="288" t="str">
        <f t="shared" ref="AF70:AF87" si="54">IF(AE70="","",IF(AI70&lt;W70,"Not Acceptable","Acceptable"))</f>
        <v/>
      </c>
      <c r="AG70" s="291" t="str">
        <f t="shared" si="21"/>
        <v/>
      </c>
      <c r="AH70" s="145" t="str">
        <f>IF(D70="","",VLOOKUP(F70,'10. All Habitats + Multipliers'!$C$4:$K$99,5,FALSE))</f>
        <v/>
      </c>
      <c r="AI70" s="101" t="str">
        <f>IF(AH70="","",VLOOKUP(AH70,'12. Lists'!$B$47:$D$49,2,FALSE))</f>
        <v/>
      </c>
      <c r="AJ70" s="100" t="str">
        <f t="shared" si="22"/>
        <v/>
      </c>
      <c r="AK70" s="101" t="str">
        <f>IF(AJ70="","",VLOOKUP(AJ70,'12. Lists'!$F$47:$G$51,2,FALSE))</f>
        <v/>
      </c>
      <c r="AL70" s="145" t="str">
        <f>IF(D70="","",VLOOKUP(F70,'10. All Habitats + Multipliers'!$C$4:$K$99,9,FALSE))</f>
        <v/>
      </c>
      <c r="AM70" s="102" t="str">
        <f>IF(AL70="","",VLOOKUP(AL70,'12. Lists'!$B$36:$D$39,2,FALSE))</f>
        <v/>
      </c>
      <c r="AN70" s="101" t="str">
        <f>IF(AL70="","",VLOOKUP(AL70,'12. Lists'!$B$36:$D$39,3,FALSE))</f>
        <v/>
      </c>
      <c r="AO70" s="100" t="str">
        <f t="shared" si="23"/>
        <v/>
      </c>
      <c r="AP70" s="102" t="str">
        <f>IF(AO70="","",VLOOKUP(AO70,'12. Lists'!$F$36:$H$38,2,FALSE))</f>
        <v/>
      </c>
      <c r="AQ70" s="101" t="str">
        <f>IF(AO70="","",VLOOKUP(AO70,'12. Lists'!$F$36:$H$38,3,FALSE))</f>
        <v/>
      </c>
      <c r="AR70" s="145" t="str">
        <f>IF(D70="","",VLOOKUP(F70,'11. Condition and Temporal'!$B$6:$J$101,9,FALSE))</f>
        <v/>
      </c>
      <c r="AS70" s="149" t="str">
        <f>IF(AR70="","",VLOOKUP(AR70,'12. Lists'!$I$47:$K$80,3,FALSE))</f>
        <v/>
      </c>
      <c r="AT70" s="175" t="str">
        <f>IF(D70="","",VLOOKUP(F70,'11. Condition and Temporal'!$B$6:$K$104,10,FALSE))</f>
        <v/>
      </c>
      <c r="AU70" s="149" t="str">
        <f>IF(AT70="","",VLOOKUP(AT70,'12. Lists'!$I$47:$K$80,3,FALSE))</f>
        <v/>
      </c>
      <c r="AV70" s="148" t="str">
        <f>IF(D70="","",VLOOKUP(F70,'10. All Habitats + Multipliers'!$C$4:$K$99,8,FALSE))</f>
        <v/>
      </c>
      <c r="AW70" s="146" t="str">
        <f>IF(AV70="","",VLOOKUP(AV70,'12. Lists'!$J$35:$K$38,2,FALSE))</f>
        <v/>
      </c>
      <c r="AX70" s="145" t="str">
        <f>IF(D70="","",VLOOKUP(D70,'11. Condition and Temporal'!$B$6:$K$101,4,FALSE))</f>
        <v/>
      </c>
      <c r="AY70" s="146" t="str">
        <f t="shared" ref="AY70:AY87" si="55">IF(F70="","",IF(D70=F70,"Condition","Distinctivness"))</f>
        <v/>
      </c>
      <c r="BA70" s="100">
        <v>3</v>
      </c>
      <c r="BB70" s="102" t="str">
        <f t="shared" si="42"/>
        <v/>
      </c>
      <c r="BC70" s="102" t="str">
        <f t="shared" si="43"/>
        <v/>
      </c>
      <c r="BD70" s="102" t="str">
        <f t="shared" si="44"/>
        <v/>
      </c>
      <c r="BE70" s="102" t="str">
        <f t="shared" si="45"/>
        <v/>
      </c>
      <c r="BF70" s="102" t="str">
        <f t="shared" si="46"/>
        <v/>
      </c>
      <c r="BG70" s="102" t="str">
        <f t="shared" si="47"/>
        <v/>
      </c>
      <c r="BH70" s="102" t="str">
        <f t="shared" si="48"/>
        <v/>
      </c>
      <c r="BI70" s="102" t="str">
        <f t="shared" si="49"/>
        <v/>
      </c>
      <c r="BJ70" s="102" t="str">
        <f t="shared" si="50"/>
        <v/>
      </c>
      <c r="BK70" s="102" t="str">
        <f t="shared" si="51"/>
        <v/>
      </c>
      <c r="BL70" s="102" t="str">
        <f t="shared" si="24"/>
        <v/>
      </c>
      <c r="BM70" s="102" t="str">
        <f t="shared" si="25"/>
        <v/>
      </c>
      <c r="BN70" s="102" t="str">
        <f t="shared" si="26"/>
        <v/>
      </c>
      <c r="BO70" s="102" t="str">
        <f t="shared" si="27"/>
        <v/>
      </c>
      <c r="BP70" s="102" t="str">
        <f t="shared" si="28"/>
        <v/>
      </c>
      <c r="BQ70" s="102" t="str">
        <f t="shared" si="29"/>
        <v/>
      </c>
      <c r="BR70" s="102" t="str">
        <f t="shared" si="30"/>
        <v/>
      </c>
      <c r="BS70" s="102" t="str">
        <f t="shared" si="31"/>
        <v/>
      </c>
      <c r="BT70" s="102" t="str">
        <f t="shared" si="32"/>
        <v/>
      </c>
      <c r="BU70" s="101" t="str">
        <f t="shared" si="33"/>
        <v/>
      </c>
      <c r="BV70" s="296" t="str">
        <f t="shared" si="52"/>
        <v/>
      </c>
      <c r="BW70" s="102" t="s">
        <v>194</v>
      </c>
      <c r="BX70" s="102">
        <f>BD66</f>
        <v>0</v>
      </c>
    </row>
    <row r="71" spans="1:76" s="27" customFormat="1" ht="15.6">
      <c r="A71" s="94"/>
      <c r="B71" s="106">
        <v>4</v>
      </c>
      <c r="C71" s="150" t="str">
        <f t="shared" si="17"/>
        <v/>
      </c>
      <c r="D71" s="151" t="str">
        <f t="shared" si="18"/>
        <v/>
      </c>
      <c r="E71" s="259" t="str">
        <f t="shared" si="34"/>
        <v/>
      </c>
      <c r="F71" s="534"/>
      <c r="G71" s="535"/>
      <c r="H71" s="241" t="str">
        <f t="shared" si="35"/>
        <v/>
      </c>
      <c r="I71" s="227" t="str">
        <f t="shared" si="19"/>
        <v/>
      </c>
      <c r="J71" s="520" t="str">
        <f>IF(F71="","",VLOOKUP(F71,'11. Condition and Temporal'!$B$6:$F$101,5,FALSE))</f>
        <v/>
      </c>
      <c r="K71" s="521"/>
      <c r="L71" s="192" t="str">
        <f t="shared" si="36"/>
        <v/>
      </c>
      <c r="M71" s="512" t="str">
        <f t="shared" si="37"/>
        <v/>
      </c>
      <c r="N71" s="513"/>
      <c r="O71" s="79"/>
      <c r="P71" s="12"/>
      <c r="R71" s="568"/>
      <c r="U71" s="286" t="str">
        <f t="shared" si="38"/>
        <v/>
      </c>
      <c r="V71" s="100" t="str">
        <f t="shared" ref="V71:AC71" si="56">IF($D71="","",U14)</f>
        <v/>
      </c>
      <c r="W71" s="101" t="str">
        <f t="shared" si="56"/>
        <v/>
      </c>
      <c r="X71" s="100" t="str">
        <f t="shared" si="56"/>
        <v/>
      </c>
      <c r="Y71" s="101" t="str">
        <f t="shared" si="56"/>
        <v/>
      </c>
      <c r="Z71" s="100" t="str">
        <f t="shared" si="56"/>
        <v/>
      </c>
      <c r="AA71" s="102" t="str">
        <f t="shared" si="56"/>
        <v/>
      </c>
      <c r="AB71" s="101" t="str">
        <f t="shared" si="56"/>
        <v/>
      </c>
      <c r="AC71" s="100" t="str">
        <f t="shared" si="56"/>
        <v/>
      </c>
      <c r="AD71" s="147" t="str">
        <f t="shared" si="40"/>
        <v/>
      </c>
      <c r="AE71" s="146" t="str">
        <f t="shared" si="41"/>
        <v/>
      </c>
      <c r="AF71" s="288" t="str">
        <f t="shared" si="54"/>
        <v/>
      </c>
      <c r="AG71" s="291" t="str">
        <f t="shared" si="21"/>
        <v/>
      </c>
      <c r="AH71" s="145" t="str">
        <f>IF(D71="","",VLOOKUP(F71,'10. All Habitats + Multipliers'!$C$4:$K$99,5,FALSE))</f>
        <v/>
      </c>
      <c r="AI71" s="101" t="str">
        <f>IF(AH71="","",VLOOKUP(AH71,'12. Lists'!$B$47:$D$49,2,FALSE))</f>
        <v/>
      </c>
      <c r="AJ71" s="100" t="str">
        <f t="shared" si="22"/>
        <v/>
      </c>
      <c r="AK71" s="101" t="str">
        <f>IF(AJ71="","",VLOOKUP(AJ71,'12. Lists'!$F$47:$G$51,2,FALSE))</f>
        <v/>
      </c>
      <c r="AL71" s="145" t="str">
        <f>IF(D71="","",VLOOKUP(F71,'10. All Habitats + Multipliers'!$C$4:$K$99,9,FALSE))</f>
        <v/>
      </c>
      <c r="AM71" s="102" t="str">
        <f>IF(AL71="","",VLOOKUP(AL71,'12. Lists'!$B$36:$D$39,2,FALSE))</f>
        <v/>
      </c>
      <c r="AN71" s="101" t="str">
        <f>IF(AL71="","",VLOOKUP(AL71,'12. Lists'!$B$36:$D$39,3,FALSE))</f>
        <v/>
      </c>
      <c r="AO71" s="100" t="str">
        <f t="shared" si="23"/>
        <v/>
      </c>
      <c r="AP71" s="102" t="str">
        <f>IF(AO71="","",VLOOKUP(AO71,'12. Lists'!$F$36:$H$38,2,FALSE))</f>
        <v/>
      </c>
      <c r="AQ71" s="101" t="str">
        <f>IF(AO71="","",VLOOKUP(AO71,'12. Lists'!$F$36:$H$38,3,FALSE))</f>
        <v/>
      </c>
      <c r="AR71" s="145" t="str">
        <f>IF(D71="","",VLOOKUP(F71,'11. Condition and Temporal'!$B$6:$J$101,9,FALSE))</f>
        <v/>
      </c>
      <c r="AS71" s="149" t="str">
        <f>IF(AR71="","",VLOOKUP(AR71,'12. Lists'!$I$47:$K$80,3,FALSE))</f>
        <v/>
      </c>
      <c r="AT71" s="175" t="str">
        <f>IF(D71="","",VLOOKUP(F71,'11. Condition and Temporal'!$B$6:$K$104,10,FALSE))</f>
        <v/>
      </c>
      <c r="AU71" s="149" t="str">
        <f>IF(AT71="","",VLOOKUP(AT71,'12. Lists'!$I$47:$K$80,3,FALSE))</f>
        <v/>
      </c>
      <c r="AV71" s="148" t="str">
        <f>IF(D71="","",VLOOKUP(F71,'10. All Habitats + Multipliers'!$C$4:$K$99,8,FALSE))</f>
        <v/>
      </c>
      <c r="AW71" s="146" t="str">
        <f>IF(AV71="","",VLOOKUP(AV71,'12. Lists'!$J$35:$K$38,2,FALSE))</f>
        <v/>
      </c>
      <c r="AX71" s="145" t="str">
        <f>IF(D71="","",VLOOKUP(D71,'11. Condition and Temporal'!$B$6:$K$101,4,FALSE))</f>
        <v/>
      </c>
      <c r="AY71" s="146" t="str">
        <f t="shared" si="55"/>
        <v/>
      </c>
      <c r="BA71" s="100">
        <v>4</v>
      </c>
      <c r="BB71" s="102" t="str">
        <f t="shared" si="42"/>
        <v/>
      </c>
      <c r="BC71" s="102" t="str">
        <f t="shared" si="43"/>
        <v/>
      </c>
      <c r="BD71" s="102" t="str">
        <f t="shared" si="44"/>
        <v/>
      </c>
      <c r="BE71" s="102" t="str">
        <f t="shared" si="45"/>
        <v/>
      </c>
      <c r="BF71" s="102" t="str">
        <f t="shared" si="46"/>
        <v/>
      </c>
      <c r="BG71" s="102" t="str">
        <f t="shared" si="47"/>
        <v/>
      </c>
      <c r="BH71" s="102" t="str">
        <f t="shared" si="48"/>
        <v/>
      </c>
      <c r="BI71" s="102" t="str">
        <f t="shared" si="49"/>
        <v/>
      </c>
      <c r="BJ71" s="102" t="str">
        <f t="shared" si="50"/>
        <v/>
      </c>
      <c r="BK71" s="102" t="str">
        <f t="shared" si="51"/>
        <v/>
      </c>
      <c r="BL71" s="102" t="str">
        <f t="shared" si="24"/>
        <v/>
      </c>
      <c r="BM71" s="102" t="str">
        <f t="shared" si="25"/>
        <v/>
      </c>
      <c r="BN71" s="102" t="str">
        <f t="shared" si="26"/>
        <v/>
      </c>
      <c r="BO71" s="102" t="str">
        <f t="shared" si="27"/>
        <v/>
      </c>
      <c r="BP71" s="102" t="str">
        <f t="shared" si="28"/>
        <v/>
      </c>
      <c r="BQ71" s="102" t="str">
        <f t="shared" si="29"/>
        <v/>
      </c>
      <c r="BR71" s="102" t="str">
        <f t="shared" si="30"/>
        <v/>
      </c>
      <c r="BS71" s="102" t="str">
        <f t="shared" si="31"/>
        <v/>
      </c>
      <c r="BT71" s="102" t="str">
        <f t="shared" si="32"/>
        <v/>
      </c>
      <c r="BU71" s="101" t="str">
        <f t="shared" si="33"/>
        <v/>
      </c>
      <c r="BV71" s="296" t="str">
        <f t="shared" si="52"/>
        <v/>
      </c>
      <c r="BW71" s="102" t="s">
        <v>195</v>
      </c>
      <c r="BX71" s="102">
        <f>BE66</f>
        <v>0</v>
      </c>
    </row>
    <row r="72" spans="1:76" s="27" customFormat="1" ht="15.6">
      <c r="A72" s="94"/>
      <c r="B72" s="106">
        <v>5</v>
      </c>
      <c r="C72" s="150" t="str">
        <f t="shared" si="17"/>
        <v/>
      </c>
      <c r="D72" s="151" t="str">
        <f t="shared" si="18"/>
        <v/>
      </c>
      <c r="E72" s="259" t="str">
        <f t="shared" si="34"/>
        <v/>
      </c>
      <c r="F72" s="534"/>
      <c r="G72" s="535"/>
      <c r="H72" s="241" t="str">
        <f t="shared" si="35"/>
        <v/>
      </c>
      <c r="I72" s="227" t="str">
        <f t="shared" si="19"/>
        <v/>
      </c>
      <c r="J72" s="520" t="str">
        <f>IF(F72="","",VLOOKUP(F72,'11. Condition and Temporal'!$B$6:$F$101,5,FALSE))</f>
        <v/>
      </c>
      <c r="K72" s="521"/>
      <c r="L72" s="192" t="str">
        <f t="shared" si="36"/>
        <v/>
      </c>
      <c r="M72" s="512" t="str">
        <f t="shared" si="37"/>
        <v/>
      </c>
      <c r="N72" s="513"/>
      <c r="O72" s="79"/>
      <c r="P72" s="12"/>
      <c r="R72" s="568"/>
      <c r="U72" s="286" t="str">
        <f t="shared" si="38"/>
        <v/>
      </c>
      <c r="V72" s="100" t="str">
        <f t="shared" ref="V72:AC72" si="57">IF($D72="","",U15)</f>
        <v/>
      </c>
      <c r="W72" s="101" t="str">
        <f t="shared" si="57"/>
        <v/>
      </c>
      <c r="X72" s="100" t="str">
        <f t="shared" si="57"/>
        <v/>
      </c>
      <c r="Y72" s="101" t="str">
        <f t="shared" si="57"/>
        <v/>
      </c>
      <c r="Z72" s="100" t="str">
        <f t="shared" si="57"/>
        <v/>
      </c>
      <c r="AA72" s="102" t="str">
        <f t="shared" si="57"/>
        <v/>
      </c>
      <c r="AB72" s="101" t="str">
        <f t="shared" si="57"/>
        <v/>
      </c>
      <c r="AC72" s="100" t="str">
        <f t="shared" si="57"/>
        <v/>
      </c>
      <c r="AD72" s="147" t="str">
        <f t="shared" si="40"/>
        <v/>
      </c>
      <c r="AE72" s="146" t="str">
        <f t="shared" si="41"/>
        <v/>
      </c>
      <c r="AF72" s="288" t="str">
        <f t="shared" si="54"/>
        <v/>
      </c>
      <c r="AG72" s="291" t="str">
        <f t="shared" si="21"/>
        <v/>
      </c>
      <c r="AH72" s="145" t="str">
        <f>IF(D72="","",VLOOKUP(F72,'10. All Habitats + Multipliers'!$C$4:$K$99,5,FALSE))</f>
        <v/>
      </c>
      <c r="AI72" s="101" t="str">
        <f>IF(AH72="","",VLOOKUP(AH72,'12. Lists'!$B$47:$D$49,2,FALSE))</f>
        <v/>
      </c>
      <c r="AJ72" s="100" t="str">
        <f t="shared" si="22"/>
        <v/>
      </c>
      <c r="AK72" s="101" t="str">
        <f>IF(AJ72="","",VLOOKUP(AJ72,'12. Lists'!$F$47:$G$51,2,FALSE))</f>
        <v/>
      </c>
      <c r="AL72" s="145" t="str">
        <f>IF(D72="","",VLOOKUP(F72,'10. All Habitats + Multipliers'!$C$4:$K$99,9,FALSE))</f>
        <v/>
      </c>
      <c r="AM72" s="102" t="str">
        <f>IF(AL72="","",VLOOKUP(AL72,'12. Lists'!$B$36:$D$39,2,FALSE))</f>
        <v/>
      </c>
      <c r="AN72" s="101" t="str">
        <f>IF(AL72="","",VLOOKUP(AL72,'12. Lists'!$B$36:$D$39,3,FALSE))</f>
        <v/>
      </c>
      <c r="AO72" s="100" t="str">
        <f t="shared" si="23"/>
        <v/>
      </c>
      <c r="AP72" s="102" t="str">
        <f>IF(AO72="","",VLOOKUP(AO72,'12. Lists'!$F$36:$H$38,2,FALSE))</f>
        <v/>
      </c>
      <c r="AQ72" s="101" t="str">
        <f>IF(AO72="","",VLOOKUP(AO72,'12. Lists'!$F$36:$H$38,3,FALSE))</f>
        <v/>
      </c>
      <c r="AR72" s="145" t="str">
        <f>IF(D72="","",VLOOKUP(F72,'11. Condition and Temporal'!$B$6:$J$101,9,FALSE))</f>
        <v/>
      </c>
      <c r="AS72" s="149" t="str">
        <f>IF(AR72="","",VLOOKUP(AR72,'12. Lists'!$I$47:$K$80,3,FALSE))</f>
        <v/>
      </c>
      <c r="AT72" s="175" t="str">
        <f>IF(D72="","",VLOOKUP(F72,'11. Condition and Temporal'!$B$6:$K$104,10,FALSE))</f>
        <v/>
      </c>
      <c r="AU72" s="149" t="str">
        <f>IF(AT72="","",VLOOKUP(AT72,'12. Lists'!$I$47:$K$80,3,FALSE))</f>
        <v/>
      </c>
      <c r="AV72" s="148" t="str">
        <f>IF(D72="","",VLOOKUP(F72,'10. All Habitats + Multipliers'!$C$4:$K$99,8,FALSE))</f>
        <v/>
      </c>
      <c r="AW72" s="146" t="str">
        <f>IF(AV72="","",VLOOKUP(AV72,'12. Lists'!$J$35:$K$38,2,FALSE))</f>
        <v/>
      </c>
      <c r="AX72" s="145" t="str">
        <f>IF(D72="","",VLOOKUP(D72,'11. Condition and Temporal'!$B$6:$K$101,4,FALSE))</f>
        <v/>
      </c>
      <c r="AY72" s="146" t="str">
        <f t="shared" si="55"/>
        <v/>
      </c>
      <c r="BA72" s="100">
        <v>5</v>
      </c>
      <c r="BB72" s="102" t="str">
        <f t="shared" si="42"/>
        <v/>
      </c>
      <c r="BC72" s="102" t="str">
        <f t="shared" si="43"/>
        <v/>
      </c>
      <c r="BD72" s="102" t="str">
        <f t="shared" si="44"/>
        <v/>
      </c>
      <c r="BE72" s="102" t="str">
        <f t="shared" si="45"/>
        <v/>
      </c>
      <c r="BF72" s="102" t="str">
        <f t="shared" si="46"/>
        <v/>
      </c>
      <c r="BG72" s="102" t="str">
        <f t="shared" si="47"/>
        <v/>
      </c>
      <c r="BH72" s="102" t="str">
        <f t="shared" si="48"/>
        <v/>
      </c>
      <c r="BI72" s="102" t="str">
        <f t="shared" si="49"/>
        <v/>
      </c>
      <c r="BJ72" s="102" t="str">
        <f t="shared" si="50"/>
        <v/>
      </c>
      <c r="BK72" s="102" t="str">
        <f t="shared" si="51"/>
        <v/>
      </c>
      <c r="BL72" s="102" t="str">
        <f t="shared" si="24"/>
        <v/>
      </c>
      <c r="BM72" s="102" t="str">
        <f t="shared" si="25"/>
        <v/>
      </c>
      <c r="BN72" s="102" t="str">
        <f t="shared" si="26"/>
        <v/>
      </c>
      <c r="BO72" s="102" t="str">
        <f t="shared" si="27"/>
        <v/>
      </c>
      <c r="BP72" s="102" t="str">
        <f t="shared" si="28"/>
        <v/>
      </c>
      <c r="BQ72" s="102" t="str">
        <f t="shared" si="29"/>
        <v/>
      </c>
      <c r="BR72" s="102" t="str">
        <f t="shared" si="30"/>
        <v/>
      </c>
      <c r="BS72" s="102" t="str">
        <f t="shared" si="31"/>
        <v/>
      </c>
      <c r="BT72" s="102" t="str">
        <f t="shared" si="32"/>
        <v/>
      </c>
      <c r="BU72" s="101" t="str">
        <f t="shared" si="33"/>
        <v/>
      </c>
      <c r="BV72" s="296" t="str">
        <f t="shared" si="52"/>
        <v/>
      </c>
      <c r="BW72" s="102" t="s">
        <v>196</v>
      </c>
      <c r="BX72" s="102">
        <f>BF66</f>
        <v>0</v>
      </c>
    </row>
    <row r="73" spans="1:76" s="27" customFormat="1" ht="15.6">
      <c r="A73" s="94"/>
      <c r="B73" s="106">
        <v>6</v>
      </c>
      <c r="C73" s="150" t="str">
        <f t="shared" si="17"/>
        <v/>
      </c>
      <c r="D73" s="151" t="str">
        <f t="shared" si="18"/>
        <v/>
      </c>
      <c r="E73" s="259" t="str">
        <f t="shared" si="34"/>
        <v/>
      </c>
      <c r="F73" s="534"/>
      <c r="G73" s="535"/>
      <c r="H73" s="241" t="str">
        <f t="shared" si="35"/>
        <v/>
      </c>
      <c r="I73" s="227" t="str">
        <f t="shared" si="19"/>
        <v/>
      </c>
      <c r="J73" s="520" t="str">
        <f>IF(F73="","",VLOOKUP(F73,'11. Condition and Temporal'!$B$6:$F$101,5,FALSE))</f>
        <v/>
      </c>
      <c r="K73" s="521"/>
      <c r="L73" s="192" t="str">
        <f t="shared" si="36"/>
        <v/>
      </c>
      <c r="M73" s="512" t="str">
        <f t="shared" si="37"/>
        <v/>
      </c>
      <c r="N73" s="513"/>
      <c r="O73" s="79"/>
      <c r="P73" s="12"/>
      <c r="R73" s="568"/>
      <c r="U73" s="286" t="str">
        <f t="shared" si="38"/>
        <v/>
      </c>
      <c r="V73" s="100" t="str">
        <f t="shared" ref="V73:AC73" si="58">IF($D73="","",U16)</f>
        <v/>
      </c>
      <c r="W73" s="101" t="str">
        <f t="shared" si="58"/>
        <v/>
      </c>
      <c r="X73" s="100" t="str">
        <f t="shared" si="58"/>
        <v/>
      </c>
      <c r="Y73" s="101" t="str">
        <f t="shared" si="58"/>
        <v/>
      </c>
      <c r="Z73" s="100" t="str">
        <f t="shared" si="58"/>
        <v/>
      </c>
      <c r="AA73" s="102" t="str">
        <f t="shared" si="58"/>
        <v/>
      </c>
      <c r="AB73" s="101" t="str">
        <f t="shared" si="58"/>
        <v/>
      </c>
      <c r="AC73" s="100" t="str">
        <f t="shared" si="58"/>
        <v/>
      </c>
      <c r="AD73" s="147" t="str">
        <f t="shared" si="40"/>
        <v/>
      </c>
      <c r="AE73" s="146" t="str">
        <f t="shared" si="41"/>
        <v/>
      </c>
      <c r="AF73" s="288" t="str">
        <f t="shared" si="54"/>
        <v/>
      </c>
      <c r="AG73" s="291" t="str">
        <f t="shared" si="21"/>
        <v/>
      </c>
      <c r="AH73" s="145" t="str">
        <f>IF(D73="","",VLOOKUP(F73,'10. All Habitats + Multipliers'!$C$4:$K$99,5,FALSE))</f>
        <v/>
      </c>
      <c r="AI73" s="101" t="str">
        <f>IF(AH73="","",VLOOKUP(AH73,'12. Lists'!$B$47:$D$49,2,FALSE))</f>
        <v/>
      </c>
      <c r="AJ73" s="100" t="str">
        <f t="shared" si="22"/>
        <v/>
      </c>
      <c r="AK73" s="101" t="str">
        <f>IF(AJ73="","",VLOOKUP(AJ73,'12. Lists'!$F$47:$G$51,2,FALSE))</f>
        <v/>
      </c>
      <c r="AL73" s="145" t="str">
        <f>IF(D73="","",VLOOKUP(F73,'10. All Habitats + Multipliers'!$C$4:$K$99,9,FALSE))</f>
        <v/>
      </c>
      <c r="AM73" s="102" t="str">
        <f>IF(AL73="","",VLOOKUP(AL73,'12. Lists'!$B$36:$D$39,2,FALSE))</f>
        <v/>
      </c>
      <c r="AN73" s="101" t="str">
        <f>IF(AL73="","",VLOOKUP(AL73,'12. Lists'!$B$36:$D$39,3,FALSE))</f>
        <v/>
      </c>
      <c r="AO73" s="100" t="str">
        <f t="shared" si="23"/>
        <v/>
      </c>
      <c r="AP73" s="102" t="str">
        <f>IF(AO73="","",VLOOKUP(AO73,'12. Lists'!$F$36:$H$38,2,FALSE))</f>
        <v/>
      </c>
      <c r="AQ73" s="101" t="str">
        <f>IF(AO73="","",VLOOKUP(AO73,'12. Lists'!$F$36:$H$38,3,FALSE))</f>
        <v/>
      </c>
      <c r="AR73" s="145" t="str">
        <f>IF(D73="","",VLOOKUP(F73,'11. Condition and Temporal'!$B$6:$J$101,9,FALSE))</f>
        <v/>
      </c>
      <c r="AS73" s="149" t="str">
        <f>IF(AR73="","",VLOOKUP(AR73,'12. Lists'!$I$47:$K$80,3,FALSE))</f>
        <v/>
      </c>
      <c r="AT73" s="175" t="str">
        <f>IF(D73="","",VLOOKUP(F73,'11. Condition and Temporal'!$B$6:$K$104,10,FALSE))</f>
        <v/>
      </c>
      <c r="AU73" s="149" t="str">
        <f>IF(AT73="","",VLOOKUP(AT73,'12. Lists'!$I$47:$K$80,3,FALSE))</f>
        <v/>
      </c>
      <c r="AV73" s="148" t="str">
        <f>IF(D73="","",VLOOKUP(F73,'10. All Habitats + Multipliers'!$C$4:$K$99,8,FALSE))</f>
        <v/>
      </c>
      <c r="AW73" s="146" t="str">
        <f>IF(AV73="","",VLOOKUP(AV73,'12. Lists'!$J$35:$K$38,2,FALSE))</f>
        <v/>
      </c>
      <c r="AX73" s="145" t="str">
        <f>IF(D73="","",VLOOKUP(D73,'11. Condition and Temporal'!$B$6:$K$101,4,FALSE))</f>
        <v/>
      </c>
      <c r="AY73" s="146" t="str">
        <f t="shared" si="55"/>
        <v/>
      </c>
      <c r="BA73" s="100">
        <v>6</v>
      </c>
      <c r="BB73" s="102" t="str">
        <f t="shared" si="42"/>
        <v/>
      </c>
      <c r="BC73" s="102" t="str">
        <f t="shared" si="43"/>
        <v/>
      </c>
      <c r="BD73" s="102" t="str">
        <f t="shared" si="44"/>
        <v/>
      </c>
      <c r="BE73" s="102" t="str">
        <f t="shared" si="45"/>
        <v/>
      </c>
      <c r="BF73" s="102" t="str">
        <f t="shared" si="46"/>
        <v/>
      </c>
      <c r="BG73" s="102" t="str">
        <f t="shared" si="47"/>
        <v/>
      </c>
      <c r="BH73" s="102" t="str">
        <f t="shared" si="48"/>
        <v/>
      </c>
      <c r="BI73" s="102" t="str">
        <f t="shared" si="49"/>
        <v/>
      </c>
      <c r="BJ73" s="102" t="str">
        <f t="shared" si="50"/>
        <v/>
      </c>
      <c r="BK73" s="102" t="str">
        <f t="shared" si="51"/>
        <v/>
      </c>
      <c r="BL73" s="102" t="str">
        <f t="shared" si="24"/>
        <v/>
      </c>
      <c r="BM73" s="102" t="str">
        <f t="shared" si="25"/>
        <v/>
      </c>
      <c r="BN73" s="102" t="str">
        <f t="shared" si="26"/>
        <v/>
      </c>
      <c r="BO73" s="102" t="str">
        <f t="shared" si="27"/>
        <v/>
      </c>
      <c r="BP73" s="102" t="str">
        <f t="shared" si="28"/>
        <v/>
      </c>
      <c r="BQ73" s="102" t="str">
        <f t="shared" si="29"/>
        <v/>
      </c>
      <c r="BR73" s="102" t="str">
        <f t="shared" si="30"/>
        <v/>
      </c>
      <c r="BS73" s="102" t="str">
        <f t="shared" si="31"/>
        <v/>
      </c>
      <c r="BT73" s="102" t="str">
        <f t="shared" si="32"/>
        <v/>
      </c>
      <c r="BU73" s="101" t="str">
        <f t="shared" si="33"/>
        <v/>
      </c>
      <c r="BV73" s="296" t="str">
        <f t="shared" si="52"/>
        <v/>
      </c>
      <c r="BW73" s="102" t="s">
        <v>197</v>
      </c>
      <c r="BX73" s="102">
        <f>BG66</f>
        <v>0</v>
      </c>
    </row>
    <row r="74" spans="1:76" s="27" customFormat="1" ht="15.6">
      <c r="A74" s="94"/>
      <c r="B74" s="106">
        <v>7</v>
      </c>
      <c r="C74" s="150" t="str">
        <f t="shared" si="17"/>
        <v/>
      </c>
      <c r="D74" s="151" t="str">
        <f t="shared" si="18"/>
        <v/>
      </c>
      <c r="E74" s="259" t="str">
        <f t="shared" si="34"/>
        <v/>
      </c>
      <c r="F74" s="534"/>
      <c r="G74" s="535"/>
      <c r="H74" s="241" t="str">
        <f t="shared" si="35"/>
        <v/>
      </c>
      <c r="I74" s="227" t="str">
        <f t="shared" si="19"/>
        <v/>
      </c>
      <c r="J74" s="520" t="str">
        <f>IF(F74="","",VLOOKUP(F74,'11. Condition and Temporal'!$B$6:$F$101,5,FALSE))</f>
        <v/>
      </c>
      <c r="K74" s="521"/>
      <c r="L74" s="192" t="str">
        <f t="shared" si="36"/>
        <v/>
      </c>
      <c r="M74" s="512" t="str">
        <f t="shared" si="37"/>
        <v/>
      </c>
      <c r="N74" s="513"/>
      <c r="O74" s="79"/>
      <c r="P74" s="12"/>
      <c r="R74" s="568"/>
      <c r="U74" s="286" t="str">
        <f t="shared" si="38"/>
        <v/>
      </c>
      <c r="V74" s="100" t="str">
        <f t="shared" ref="V74:AC74" si="59">IF($D74="","",U17)</f>
        <v/>
      </c>
      <c r="W74" s="101" t="str">
        <f t="shared" si="59"/>
        <v/>
      </c>
      <c r="X74" s="100" t="str">
        <f t="shared" si="59"/>
        <v/>
      </c>
      <c r="Y74" s="101" t="str">
        <f t="shared" si="59"/>
        <v/>
      </c>
      <c r="Z74" s="100" t="str">
        <f t="shared" si="59"/>
        <v/>
      </c>
      <c r="AA74" s="102" t="str">
        <f t="shared" si="59"/>
        <v/>
      </c>
      <c r="AB74" s="101" t="str">
        <f t="shared" si="59"/>
        <v/>
      </c>
      <c r="AC74" s="100" t="str">
        <f t="shared" si="59"/>
        <v/>
      </c>
      <c r="AD74" s="147" t="str">
        <f t="shared" si="40"/>
        <v/>
      </c>
      <c r="AE74" s="146" t="str">
        <f t="shared" si="41"/>
        <v/>
      </c>
      <c r="AF74" s="288" t="str">
        <f t="shared" si="54"/>
        <v/>
      </c>
      <c r="AG74" s="291" t="str">
        <f t="shared" si="21"/>
        <v/>
      </c>
      <c r="AH74" s="145" t="str">
        <f>IF(D74="","",VLOOKUP(F74,'10. All Habitats + Multipliers'!$C$4:$K$99,5,FALSE))</f>
        <v/>
      </c>
      <c r="AI74" s="101" t="str">
        <f>IF(AH74="","",VLOOKUP(AH74,'12. Lists'!$B$47:$D$49,2,FALSE))</f>
        <v/>
      </c>
      <c r="AJ74" s="100" t="str">
        <f t="shared" si="22"/>
        <v/>
      </c>
      <c r="AK74" s="101" t="str">
        <f>IF(AJ74="","",VLOOKUP(AJ74,'12. Lists'!$F$47:$G$51,2,FALSE))</f>
        <v/>
      </c>
      <c r="AL74" s="145" t="str">
        <f>IF(D74="","",VLOOKUP(F74,'10. All Habitats + Multipliers'!$C$4:$K$99,9,FALSE))</f>
        <v/>
      </c>
      <c r="AM74" s="102" t="str">
        <f>IF(AL74="","",VLOOKUP(AL74,'12. Lists'!$B$36:$D$39,2,FALSE))</f>
        <v/>
      </c>
      <c r="AN74" s="101" t="str">
        <f>IF(AL74="","",VLOOKUP(AL74,'12. Lists'!$B$36:$D$39,3,FALSE))</f>
        <v/>
      </c>
      <c r="AO74" s="100" t="str">
        <f t="shared" si="23"/>
        <v/>
      </c>
      <c r="AP74" s="102" t="str">
        <f>IF(AO74="","",VLOOKUP(AO74,'12. Lists'!$F$36:$H$38,2,FALSE))</f>
        <v/>
      </c>
      <c r="AQ74" s="101" t="str">
        <f>IF(AO74="","",VLOOKUP(AO74,'12. Lists'!$F$36:$H$38,3,FALSE))</f>
        <v/>
      </c>
      <c r="AR74" s="145" t="str">
        <f>IF(D74="","",VLOOKUP(F74,'11. Condition and Temporal'!$B$6:$J$101,9,FALSE))</f>
        <v/>
      </c>
      <c r="AS74" s="149" t="str">
        <f>IF(AR74="","",VLOOKUP(AR74,'12. Lists'!$I$47:$K$80,3,FALSE))</f>
        <v/>
      </c>
      <c r="AT74" s="175" t="str">
        <f>IF(D74="","",VLOOKUP(F74,'11. Condition and Temporal'!$B$6:$K$104,10,FALSE))</f>
        <v/>
      </c>
      <c r="AU74" s="149" t="str">
        <f>IF(AT74="","",VLOOKUP(AT74,'12. Lists'!$I$47:$K$80,3,FALSE))</f>
        <v/>
      </c>
      <c r="AV74" s="148" t="str">
        <f>IF(D74="","",VLOOKUP(F74,'10. All Habitats + Multipliers'!$C$4:$K$99,8,FALSE))</f>
        <v/>
      </c>
      <c r="AW74" s="146" t="str">
        <f>IF(AV74="","",VLOOKUP(AV74,'12. Lists'!$J$35:$K$38,2,FALSE))</f>
        <v/>
      </c>
      <c r="AX74" s="145" t="str">
        <f>IF(D74="","",VLOOKUP(D74,'11. Condition and Temporal'!$B$6:$K$101,4,FALSE))</f>
        <v/>
      </c>
      <c r="AY74" s="146" t="str">
        <f t="shared" si="55"/>
        <v/>
      </c>
      <c r="BA74" s="100">
        <v>7</v>
      </c>
      <c r="BB74" s="102" t="str">
        <f t="shared" si="42"/>
        <v/>
      </c>
      <c r="BC74" s="102" t="str">
        <f t="shared" si="43"/>
        <v/>
      </c>
      <c r="BD74" s="102" t="str">
        <f t="shared" si="44"/>
        <v/>
      </c>
      <c r="BE74" s="102" t="str">
        <f t="shared" si="45"/>
        <v/>
      </c>
      <c r="BF74" s="102" t="str">
        <f t="shared" si="46"/>
        <v/>
      </c>
      <c r="BG74" s="102" t="str">
        <f t="shared" si="47"/>
        <v/>
      </c>
      <c r="BH74" s="102" t="str">
        <f t="shared" si="48"/>
        <v/>
      </c>
      <c r="BI74" s="102" t="str">
        <f t="shared" si="49"/>
        <v/>
      </c>
      <c r="BJ74" s="102" t="str">
        <f t="shared" si="50"/>
        <v/>
      </c>
      <c r="BK74" s="102" t="str">
        <f t="shared" si="51"/>
        <v/>
      </c>
      <c r="BL74" s="102" t="str">
        <f t="shared" si="24"/>
        <v/>
      </c>
      <c r="BM74" s="102" t="str">
        <f t="shared" si="25"/>
        <v/>
      </c>
      <c r="BN74" s="102" t="str">
        <f t="shared" si="26"/>
        <v/>
      </c>
      <c r="BO74" s="102" t="str">
        <f t="shared" si="27"/>
        <v/>
      </c>
      <c r="BP74" s="102" t="str">
        <f t="shared" si="28"/>
        <v/>
      </c>
      <c r="BQ74" s="102" t="str">
        <f t="shared" si="29"/>
        <v/>
      </c>
      <c r="BR74" s="102" t="str">
        <f t="shared" si="30"/>
        <v/>
      </c>
      <c r="BS74" s="102" t="str">
        <f t="shared" si="31"/>
        <v/>
      </c>
      <c r="BT74" s="102" t="str">
        <f t="shared" si="32"/>
        <v/>
      </c>
      <c r="BU74" s="101" t="str">
        <f t="shared" si="33"/>
        <v/>
      </c>
      <c r="BV74" s="296" t="str">
        <f t="shared" si="52"/>
        <v/>
      </c>
      <c r="BW74" s="102" t="s">
        <v>198</v>
      </c>
      <c r="BX74" s="102">
        <f>BH66</f>
        <v>0</v>
      </c>
    </row>
    <row r="75" spans="1:76" s="27" customFormat="1" ht="15.6">
      <c r="A75" s="94"/>
      <c r="B75" s="106">
        <v>8</v>
      </c>
      <c r="C75" s="150" t="str">
        <f t="shared" si="17"/>
        <v/>
      </c>
      <c r="D75" s="151" t="str">
        <f t="shared" si="18"/>
        <v/>
      </c>
      <c r="E75" s="259" t="str">
        <f t="shared" si="34"/>
        <v/>
      </c>
      <c r="F75" s="534"/>
      <c r="G75" s="535"/>
      <c r="H75" s="241" t="str">
        <f t="shared" si="35"/>
        <v/>
      </c>
      <c r="I75" s="227" t="str">
        <f t="shared" si="19"/>
        <v/>
      </c>
      <c r="J75" s="520" t="str">
        <f>IF(F75="","",VLOOKUP(F75,'11. Condition and Temporal'!$B$6:$F$101,5,FALSE))</f>
        <v/>
      </c>
      <c r="K75" s="521"/>
      <c r="L75" s="192" t="str">
        <f t="shared" si="36"/>
        <v/>
      </c>
      <c r="M75" s="512" t="str">
        <f t="shared" si="37"/>
        <v/>
      </c>
      <c r="N75" s="513"/>
      <c r="O75" s="79"/>
      <c r="P75" s="12"/>
      <c r="R75" s="568"/>
      <c r="U75" s="286" t="str">
        <f t="shared" si="38"/>
        <v/>
      </c>
      <c r="V75" s="100" t="str">
        <f t="shared" ref="V75:AC75" si="60">IF($D75="","",U18)</f>
        <v/>
      </c>
      <c r="W75" s="101" t="str">
        <f t="shared" si="60"/>
        <v/>
      </c>
      <c r="X75" s="100" t="str">
        <f t="shared" si="60"/>
        <v/>
      </c>
      <c r="Y75" s="101" t="str">
        <f t="shared" si="60"/>
        <v/>
      </c>
      <c r="Z75" s="100" t="str">
        <f t="shared" si="60"/>
        <v/>
      </c>
      <c r="AA75" s="102" t="str">
        <f t="shared" si="60"/>
        <v/>
      </c>
      <c r="AB75" s="101" t="str">
        <f t="shared" si="60"/>
        <v/>
      </c>
      <c r="AC75" s="100" t="str">
        <f t="shared" si="60"/>
        <v/>
      </c>
      <c r="AD75" s="147" t="str">
        <f t="shared" si="40"/>
        <v/>
      </c>
      <c r="AE75" s="146" t="str">
        <f t="shared" si="41"/>
        <v/>
      </c>
      <c r="AF75" s="288" t="str">
        <f t="shared" si="54"/>
        <v/>
      </c>
      <c r="AG75" s="291" t="str">
        <f t="shared" si="21"/>
        <v/>
      </c>
      <c r="AH75" s="145" t="str">
        <f>IF(D75="","",VLOOKUP(F75,'10. All Habitats + Multipliers'!$C$4:$K$99,5,FALSE))</f>
        <v/>
      </c>
      <c r="AI75" s="101" t="str">
        <f>IF(AH75="","",VLOOKUP(AH75,'12. Lists'!$B$47:$D$49,2,FALSE))</f>
        <v/>
      </c>
      <c r="AJ75" s="100" t="str">
        <f t="shared" si="22"/>
        <v/>
      </c>
      <c r="AK75" s="101" t="str">
        <f>IF(AJ75="","",VLOOKUP(AJ75,'12. Lists'!$F$47:$G$51,2,FALSE))</f>
        <v/>
      </c>
      <c r="AL75" s="145" t="str">
        <f>IF(D75="","",VLOOKUP(F75,'10. All Habitats + Multipliers'!$C$4:$K$99,9,FALSE))</f>
        <v/>
      </c>
      <c r="AM75" s="102" t="str">
        <f>IF(AL75="","",VLOOKUP(AL75,'12. Lists'!$B$36:$D$39,2,FALSE))</f>
        <v/>
      </c>
      <c r="AN75" s="101" t="str">
        <f>IF(AL75="","",VLOOKUP(AL75,'12. Lists'!$B$36:$D$39,3,FALSE))</f>
        <v/>
      </c>
      <c r="AO75" s="100" t="str">
        <f t="shared" si="23"/>
        <v/>
      </c>
      <c r="AP75" s="102" t="str">
        <f>IF(AO75="","",VLOOKUP(AO75,'12. Lists'!$F$36:$H$38,2,FALSE))</f>
        <v/>
      </c>
      <c r="AQ75" s="101" t="str">
        <f>IF(AO75="","",VLOOKUP(AO75,'12. Lists'!$F$36:$H$38,3,FALSE))</f>
        <v/>
      </c>
      <c r="AR75" s="145" t="str">
        <f>IF(D75="","",VLOOKUP(F75,'11. Condition and Temporal'!$B$6:$J$101,9,FALSE))</f>
        <v/>
      </c>
      <c r="AS75" s="149" t="str">
        <f>IF(AR75="","",VLOOKUP(AR75,'12. Lists'!$I$47:$K$80,3,FALSE))</f>
        <v/>
      </c>
      <c r="AT75" s="175" t="str">
        <f>IF(D75="","",VLOOKUP(F75,'11. Condition and Temporal'!$B$6:$K$104,10,FALSE))</f>
        <v/>
      </c>
      <c r="AU75" s="149" t="str">
        <f>IF(AT75="","",VLOOKUP(AT75,'12. Lists'!$I$47:$K$80,3,FALSE))</f>
        <v/>
      </c>
      <c r="AV75" s="148" t="str">
        <f>IF(D75="","",VLOOKUP(F75,'10. All Habitats + Multipliers'!$C$4:$K$99,8,FALSE))</f>
        <v/>
      </c>
      <c r="AW75" s="146" t="str">
        <f>IF(AV75="","",VLOOKUP(AV75,'12. Lists'!$J$35:$K$38,2,FALSE))</f>
        <v/>
      </c>
      <c r="AX75" s="145" t="str">
        <f>IF(D75="","",VLOOKUP(D75,'11. Condition and Temporal'!$B$6:$K$101,4,FALSE))</f>
        <v/>
      </c>
      <c r="AY75" s="146" t="str">
        <f t="shared" si="55"/>
        <v/>
      </c>
      <c r="BA75" s="100">
        <v>8</v>
      </c>
      <c r="BB75" s="102" t="str">
        <f t="shared" si="42"/>
        <v/>
      </c>
      <c r="BC75" s="102" t="str">
        <f t="shared" si="43"/>
        <v/>
      </c>
      <c r="BD75" s="102" t="str">
        <f t="shared" si="44"/>
        <v/>
      </c>
      <c r="BE75" s="102" t="str">
        <f t="shared" si="45"/>
        <v/>
      </c>
      <c r="BF75" s="102" t="str">
        <f t="shared" si="46"/>
        <v/>
      </c>
      <c r="BG75" s="102" t="str">
        <f t="shared" si="47"/>
        <v/>
      </c>
      <c r="BH75" s="102" t="str">
        <f t="shared" si="48"/>
        <v/>
      </c>
      <c r="BI75" s="102" t="str">
        <f t="shared" si="49"/>
        <v/>
      </c>
      <c r="BJ75" s="102" t="str">
        <f t="shared" si="50"/>
        <v/>
      </c>
      <c r="BK75" s="102" t="str">
        <f t="shared" si="51"/>
        <v/>
      </c>
      <c r="BL75" s="102" t="str">
        <f t="shared" si="24"/>
        <v/>
      </c>
      <c r="BM75" s="102" t="str">
        <f t="shared" si="25"/>
        <v/>
      </c>
      <c r="BN75" s="102" t="str">
        <f t="shared" si="26"/>
        <v/>
      </c>
      <c r="BO75" s="102" t="str">
        <f t="shared" si="27"/>
        <v/>
      </c>
      <c r="BP75" s="102" t="str">
        <f t="shared" si="28"/>
        <v/>
      </c>
      <c r="BQ75" s="102" t="str">
        <f t="shared" si="29"/>
        <v/>
      </c>
      <c r="BR75" s="102" t="str">
        <f t="shared" si="30"/>
        <v/>
      </c>
      <c r="BS75" s="102" t="str">
        <f t="shared" si="31"/>
        <v/>
      </c>
      <c r="BT75" s="102" t="str">
        <f t="shared" si="32"/>
        <v/>
      </c>
      <c r="BU75" s="101" t="str">
        <f t="shared" si="33"/>
        <v/>
      </c>
      <c r="BV75" s="296" t="str">
        <f t="shared" si="52"/>
        <v/>
      </c>
      <c r="BW75" s="102" t="s">
        <v>199</v>
      </c>
      <c r="BX75" s="102">
        <f>BI66</f>
        <v>0</v>
      </c>
    </row>
    <row r="76" spans="1:76" s="27" customFormat="1" ht="15.6">
      <c r="A76" s="94"/>
      <c r="B76" s="106">
        <v>9</v>
      </c>
      <c r="C76" s="150" t="str">
        <f t="shared" si="17"/>
        <v/>
      </c>
      <c r="D76" s="151" t="str">
        <f t="shared" si="18"/>
        <v/>
      </c>
      <c r="E76" s="259" t="str">
        <f t="shared" si="34"/>
        <v/>
      </c>
      <c r="F76" s="534"/>
      <c r="G76" s="535"/>
      <c r="H76" s="241" t="str">
        <f t="shared" si="35"/>
        <v/>
      </c>
      <c r="I76" s="227" t="str">
        <f t="shared" si="19"/>
        <v/>
      </c>
      <c r="J76" s="520" t="str">
        <f>IF(F76="","",VLOOKUP(F76,'11. Condition and Temporal'!$B$6:$F$101,5,FALSE))</f>
        <v/>
      </c>
      <c r="K76" s="521"/>
      <c r="L76" s="192" t="str">
        <f t="shared" si="36"/>
        <v/>
      </c>
      <c r="M76" s="512" t="str">
        <f t="shared" si="37"/>
        <v/>
      </c>
      <c r="N76" s="513"/>
      <c r="O76" s="79"/>
      <c r="P76" s="12"/>
      <c r="R76" s="568"/>
      <c r="U76" s="286" t="str">
        <f t="shared" si="38"/>
        <v/>
      </c>
      <c r="V76" s="100" t="str">
        <f t="shared" ref="V76:AC76" si="61">IF($D76="","",U19)</f>
        <v/>
      </c>
      <c r="W76" s="101" t="str">
        <f t="shared" si="61"/>
        <v/>
      </c>
      <c r="X76" s="100" t="str">
        <f t="shared" si="61"/>
        <v/>
      </c>
      <c r="Y76" s="101" t="str">
        <f t="shared" si="61"/>
        <v/>
      </c>
      <c r="Z76" s="100" t="str">
        <f t="shared" si="61"/>
        <v/>
      </c>
      <c r="AA76" s="102" t="str">
        <f t="shared" si="61"/>
        <v/>
      </c>
      <c r="AB76" s="101" t="str">
        <f t="shared" si="61"/>
        <v/>
      </c>
      <c r="AC76" s="100" t="str">
        <f t="shared" si="61"/>
        <v/>
      </c>
      <c r="AD76" s="147" t="str">
        <f t="shared" si="40"/>
        <v/>
      </c>
      <c r="AE76" s="146" t="str">
        <f t="shared" si="41"/>
        <v/>
      </c>
      <c r="AF76" s="288" t="str">
        <f t="shared" si="54"/>
        <v/>
      </c>
      <c r="AG76" s="291" t="str">
        <f t="shared" si="21"/>
        <v/>
      </c>
      <c r="AH76" s="145" t="str">
        <f>IF(D76="","",VLOOKUP(F76,'10. All Habitats + Multipliers'!$C$4:$K$99,5,FALSE))</f>
        <v/>
      </c>
      <c r="AI76" s="101" t="str">
        <f>IF(AH76="","",VLOOKUP(AH76,'12. Lists'!$B$47:$D$49,2,FALSE))</f>
        <v/>
      </c>
      <c r="AJ76" s="100" t="str">
        <f t="shared" si="22"/>
        <v/>
      </c>
      <c r="AK76" s="101" t="str">
        <f>IF(AJ76="","",VLOOKUP(AJ76,'12. Lists'!$F$47:$G$51,2,FALSE))</f>
        <v/>
      </c>
      <c r="AL76" s="145" t="str">
        <f>IF(D76="","",VLOOKUP(F76,'10. All Habitats + Multipliers'!$C$4:$K$99,9,FALSE))</f>
        <v/>
      </c>
      <c r="AM76" s="102" t="str">
        <f>IF(AL76="","",VLOOKUP(AL76,'12. Lists'!$B$36:$D$39,2,FALSE))</f>
        <v/>
      </c>
      <c r="AN76" s="101" t="str">
        <f>IF(AL76="","",VLOOKUP(AL76,'12. Lists'!$B$36:$D$39,3,FALSE))</f>
        <v/>
      </c>
      <c r="AO76" s="100" t="str">
        <f t="shared" si="23"/>
        <v/>
      </c>
      <c r="AP76" s="102" t="str">
        <f>IF(AO76="","",VLOOKUP(AO76,'12. Lists'!$F$36:$H$38,2,FALSE))</f>
        <v/>
      </c>
      <c r="AQ76" s="101" t="str">
        <f>IF(AO76="","",VLOOKUP(AO76,'12. Lists'!$F$36:$H$38,3,FALSE))</f>
        <v/>
      </c>
      <c r="AR76" s="145" t="str">
        <f>IF(D76="","",VLOOKUP(F76,'11. Condition and Temporal'!$B$6:$J$101,9,FALSE))</f>
        <v/>
      </c>
      <c r="AS76" s="149" t="str">
        <f>IF(AR76="","",VLOOKUP(AR76,'12. Lists'!$I$47:$K$80,3,FALSE))</f>
        <v/>
      </c>
      <c r="AT76" s="175" t="str">
        <f>IF(D76="","",VLOOKUP(F76,'11. Condition and Temporal'!$B$6:$K$104,10,FALSE))</f>
        <v/>
      </c>
      <c r="AU76" s="149" t="str">
        <f>IF(AT76="","",VLOOKUP(AT76,'12. Lists'!$I$47:$K$80,3,FALSE))</f>
        <v/>
      </c>
      <c r="AV76" s="148" t="str">
        <f>IF(D76="","",VLOOKUP(F76,'10. All Habitats + Multipliers'!$C$4:$K$99,8,FALSE))</f>
        <v/>
      </c>
      <c r="AW76" s="146" t="str">
        <f>IF(AV76="","",VLOOKUP(AV76,'12. Lists'!$J$35:$K$38,2,FALSE))</f>
        <v/>
      </c>
      <c r="AX76" s="145" t="str">
        <f>IF(D76="","",VLOOKUP(D76,'11. Condition and Temporal'!$B$6:$K$101,4,FALSE))</f>
        <v/>
      </c>
      <c r="AY76" s="146" t="str">
        <f t="shared" si="55"/>
        <v/>
      </c>
      <c r="BA76" s="100">
        <v>9</v>
      </c>
      <c r="BB76" s="102" t="str">
        <f t="shared" si="42"/>
        <v/>
      </c>
      <c r="BC76" s="102" t="str">
        <f t="shared" si="43"/>
        <v/>
      </c>
      <c r="BD76" s="102" t="str">
        <f t="shared" si="44"/>
        <v/>
      </c>
      <c r="BE76" s="102" t="str">
        <f t="shared" si="45"/>
        <v/>
      </c>
      <c r="BF76" s="102" t="str">
        <f t="shared" si="46"/>
        <v/>
      </c>
      <c r="BG76" s="102" t="str">
        <f t="shared" si="47"/>
        <v/>
      </c>
      <c r="BH76" s="102" t="str">
        <f t="shared" si="48"/>
        <v/>
      </c>
      <c r="BI76" s="102" t="str">
        <f t="shared" si="49"/>
        <v/>
      </c>
      <c r="BJ76" s="102" t="str">
        <f t="shared" si="50"/>
        <v/>
      </c>
      <c r="BK76" s="102" t="str">
        <f t="shared" si="51"/>
        <v/>
      </c>
      <c r="BL76" s="102" t="str">
        <f t="shared" si="24"/>
        <v/>
      </c>
      <c r="BM76" s="102" t="str">
        <f t="shared" si="25"/>
        <v/>
      </c>
      <c r="BN76" s="102" t="str">
        <f t="shared" si="26"/>
        <v/>
      </c>
      <c r="BO76" s="102" t="str">
        <f t="shared" si="27"/>
        <v/>
      </c>
      <c r="BP76" s="102" t="str">
        <f t="shared" si="28"/>
        <v/>
      </c>
      <c r="BQ76" s="102" t="str">
        <f t="shared" si="29"/>
        <v/>
      </c>
      <c r="BR76" s="102" t="str">
        <f t="shared" si="30"/>
        <v/>
      </c>
      <c r="BS76" s="102" t="str">
        <f t="shared" si="31"/>
        <v/>
      </c>
      <c r="BT76" s="102" t="str">
        <f t="shared" si="32"/>
        <v/>
      </c>
      <c r="BU76" s="101" t="str">
        <f t="shared" si="33"/>
        <v/>
      </c>
      <c r="BV76" s="296" t="str">
        <f t="shared" si="52"/>
        <v/>
      </c>
      <c r="BW76" s="102" t="s">
        <v>200</v>
      </c>
      <c r="BX76" s="102">
        <f>BJ66</f>
        <v>0</v>
      </c>
    </row>
    <row r="77" spans="1:76" s="27" customFormat="1" ht="15.6">
      <c r="A77" s="94"/>
      <c r="B77" s="106">
        <v>10</v>
      </c>
      <c r="C77" s="150" t="str">
        <f t="shared" si="17"/>
        <v/>
      </c>
      <c r="D77" s="151" t="str">
        <f t="shared" si="18"/>
        <v/>
      </c>
      <c r="E77" s="259" t="str">
        <f t="shared" si="34"/>
        <v/>
      </c>
      <c r="F77" s="534"/>
      <c r="G77" s="535"/>
      <c r="H77" s="241" t="str">
        <f t="shared" si="35"/>
        <v/>
      </c>
      <c r="I77" s="227" t="str">
        <f t="shared" si="19"/>
        <v/>
      </c>
      <c r="J77" s="520" t="str">
        <f>IF(F77="","",VLOOKUP(F77,'11. Condition and Temporal'!$B$6:$F$101,5,FALSE))</f>
        <v/>
      </c>
      <c r="K77" s="521"/>
      <c r="L77" s="192" t="str">
        <f t="shared" si="36"/>
        <v/>
      </c>
      <c r="M77" s="512" t="str">
        <f t="shared" si="37"/>
        <v/>
      </c>
      <c r="N77" s="513"/>
      <c r="O77" s="79"/>
      <c r="P77" s="12"/>
      <c r="R77" s="568"/>
      <c r="U77" s="286" t="str">
        <f t="shared" si="38"/>
        <v/>
      </c>
      <c r="V77" s="100" t="str">
        <f t="shared" ref="V77:AC77" si="62">IF($D77="","",U20)</f>
        <v/>
      </c>
      <c r="W77" s="101" t="str">
        <f t="shared" si="62"/>
        <v/>
      </c>
      <c r="X77" s="100" t="str">
        <f t="shared" si="62"/>
        <v/>
      </c>
      <c r="Y77" s="101" t="str">
        <f t="shared" si="62"/>
        <v/>
      </c>
      <c r="Z77" s="100" t="str">
        <f t="shared" si="62"/>
        <v/>
      </c>
      <c r="AA77" s="102" t="str">
        <f t="shared" si="62"/>
        <v/>
      </c>
      <c r="AB77" s="101" t="str">
        <f t="shared" si="62"/>
        <v/>
      </c>
      <c r="AC77" s="100" t="str">
        <f t="shared" si="62"/>
        <v/>
      </c>
      <c r="AD77" s="147" t="str">
        <f t="shared" si="40"/>
        <v/>
      </c>
      <c r="AE77" s="146" t="str">
        <f t="shared" si="41"/>
        <v/>
      </c>
      <c r="AF77" s="288" t="str">
        <f t="shared" si="54"/>
        <v/>
      </c>
      <c r="AG77" s="291" t="str">
        <f t="shared" si="21"/>
        <v/>
      </c>
      <c r="AH77" s="145" t="str">
        <f>IF(D77="","",VLOOKUP(F77,'10. All Habitats + Multipliers'!$C$4:$K$99,5,FALSE))</f>
        <v/>
      </c>
      <c r="AI77" s="101" t="str">
        <f>IF(AH77="","",VLOOKUP(AH77,'12. Lists'!$B$47:$D$49,2,FALSE))</f>
        <v/>
      </c>
      <c r="AJ77" s="100" t="str">
        <f t="shared" si="22"/>
        <v/>
      </c>
      <c r="AK77" s="101" t="str">
        <f>IF(AJ77="","",VLOOKUP(AJ77,'12. Lists'!$F$47:$G$51,2,FALSE))</f>
        <v/>
      </c>
      <c r="AL77" s="145" t="str">
        <f>IF(D77="","",VLOOKUP(F77,'10. All Habitats + Multipliers'!$C$4:$K$99,9,FALSE))</f>
        <v/>
      </c>
      <c r="AM77" s="102" t="str">
        <f>IF(AL77="","",VLOOKUP(AL77,'12. Lists'!$B$36:$D$39,2,FALSE))</f>
        <v/>
      </c>
      <c r="AN77" s="101" t="str">
        <f>IF(AL77="","",VLOOKUP(AL77,'12. Lists'!$B$36:$D$39,3,FALSE))</f>
        <v/>
      </c>
      <c r="AO77" s="100" t="str">
        <f t="shared" si="23"/>
        <v/>
      </c>
      <c r="AP77" s="102" t="str">
        <f>IF(AO77="","",VLOOKUP(AO77,'12. Lists'!$F$36:$H$38,2,FALSE))</f>
        <v/>
      </c>
      <c r="AQ77" s="101" t="str">
        <f>IF(AO77="","",VLOOKUP(AO77,'12. Lists'!$F$36:$H$38,3,FALSE))</f>
        <v/>
      </c>
      <c r="AR77" s="145" t="str">
        <f>IF(D77="","",VLOOKUP(F77,'11. Condition and Temporal'!$B$6:$J$101,9,FALSE))</f>
        <v/>
      </c>
      <c r="AS77" s="149" t="str">
        <f>IF(AR77="","",VLOOKUP(AR77,'12. Lists'!$I$47:$K$80,3,FALSE))</f>
        <v/>
      </c>
      <c r="AT77" s="175" t="str">
        <f>IF(D77="","",VLOOKUP(F77,'11. Condition and Temporal'!$B$6:$K$104,10,FALSE))</f>
        <v/>
      </c>
      <c r="AU77" s="149" t="str">
        <f>IF(AT77="","",VLOOKUP(AT77,'12. Lists'!$I$47:$K$80,3,FALSE))</f>
        <v/>
      </c>
      <c r="AV77" s="148" t="str">
        <f>IF(D77="","",VLOOKUP(F77,'10. All Habitats + Multipliers'!$C$4:$K$99,8,FALSE))</f>
        <v/>
      </c>
      <c r="AW77" s="146" t="str">
        <f>IF(AV77="","",VLOOKUP(AV77,'12. Lists'!$J$35:$K$38,2,FALSE))</f>
        <v/>
      </c>
      <c r="AX77" s="145" t="str">
        <f>IF(D77="","",VLOOKUP(D77,'11. Condition and Temporal'!$B$6:$K$101,4,FALSE))</f>
        <v/>
      </c>
      <c r="AY77" s="146" t="str">
        <f t="shared" si="55"/>
        <v/>
      </c>
      <c r="BA77" s="100">
        <v>10</v>
      </c>
      <c r="BB77" s="102" t="str">
        <f t="shared" si="42"/>
        <v/>
      </c>
      <c r="BC77" s="102" t="str">
        <f t="shared" si="43"/>
        <v/>
      </c>
      <c r="BD77" s="102" t="str">
        <f t="shared" si="44"/>
        <v/>
      </c>
      <c r="BE77" s="102" t="str">
        <f t="shared" si="45"/>
        <v/>
      </c>
      <c r="BF77" s="102" t="str">
        <f t="shared" si="46"/>
        <v/>
      </c>
      <c r="BG77" s="102" t="str">
        <f t="shared" si="47"/>
        <v/>
      </c>
      <c r="BH77" s="102" t="str">
        <f t="shared" si="48"/>
        <v/>
      </c>
      <c r="BI77" s="102" t="str">
        <f t="shared" si="49"/>
        <v/>
      </c>
      <c r="BJ77" s="102" t="str">
        <f t="shared" si="50"/>
        <v/>
      </c>
      <c r="BK77" s="102" t="str">
        <f t="shared" si="51"/>
        <v/>
      </c>
      <c r="BL77" s="102" t="str">
        <f t="shared" si="24"/>
        <v/>
      </c>
      <c r="BM77" s="102" t="str">
        <f t="shared" si="25"/>
        <v/>
      </c>
      <c r="BN77" s="102" t="str">
        <f t="shared" si="26"/>
        <v/>
      </c>
      <c r="BO77" s="102" t="str">
        <f t="shared" si="27"/>
        <v/>
      </c>
      <c r="BP77" s="102" t="str">
        <f t="shared" si="28"/>
        <v/>
      </c>
      <c r="BQ77" s="102" t="str">
        <f t="shared" si="29"/>
        <v/>
      </c>
      <c r="BR77" s="102" t="str">
        <f t="shared" si="30"/>
        <v/>
      </c>
      <c r="BS77" s="102" t="str">
        <f t="shared" si="31"/>
        <v/>
      </c>
      <c r="BT77" s="102" t="str">
        <f t="shared" si="32"/>
        <v/>
      </c>
      <c r="BU77" s="101" t="str">
        <f t="shared" si="33"/>
        <v/>
      </c>
      <c r="BV77" s="296" t="str">
        <f t="shared" si="52"/>
        <v/>
      </c>
      <c r="BW77" s="102" t="s">
        <v>201</v>
      </c>
      <c r="BX77" s="102">
        <f>BK66</f>
        <v>0</v>
      </c>
    </row>
    <row r="78" spans="1:76" s="27" customFormat="1" ht="15.6">
      <c r="A78" s="94"/>
      <c r="B78" s="106">
        <v>11</v>
      </c>
      <c r="C78" s="150" t="str">
        <f t="shared" si="17"/>
        <v/>
      </c>
      <c r="D78" s="151" t="str">
        <f t="shared" si="18"/>
        <v/>
      </c>
      <c r="E78" s="259" t="str">
        <f t="shared" si="34"/>
        <v/>
      </c>
      <c r="F78" s="534"/>
      <c r="G78" s="535"/>
      <c r="H78" s="241" t="str">
        <f t="shared" si="35"/>
        <v/>
      </c>
      <c r="I78" s="227" t="str">
        <f t="shared" si="19"/>
        <v/>
      </c>
      <c r="J78" s="520" t="str">
        <f>IF(F78="","",VLOOKUP(F78,'11. Condition and Temporal'!$B$6:$F$101,5,FALSE))</f>
        <v/>
      </c>
      <c r="K78" s="521"/>
      <c r="L78" s="192" t="str">
        <f t="shared" si="36"/>
        <v/>
      </c>
      <c r="M78" s="512" t="str">
        <f t="shared" si="37"/>
        <v/>
      </c>
      <c r="N78" s="513"/>
      <c r="O78" s="79"/>
      <c r="P78" s="12"/>
      <c r="R78" s="568"/>
      <c r="U78" s="286" t="str">
        <f t="shared" si="38"/>
        <v/>
      </c>
      <c r="V78" s="100" t="str">
        <f t="shared" ref="V78:AC78" si="63">IF($D78="","",U21)</f>
        <v/>
      </c>
      <c r="W78" s="101" t="str">
        <f t="shared" si="63"/>
        <v/>
      </c>
      <c r="X78" s="100" t="str">
        <f t="shared" si="63"/>
        <v/>
      </c>
      <c r="Y78" s="101" t="str">
        <f t="shared" si="63"/>
        <v/>
      </c>
      <c r="Z78" s="100" t="str">
        <f t="shared" si="63"/>
        <v/>
      </c>
      <c r="AA78" s="102" t="str">
        <f t="shared" si="63"/>
        <v/>
      </c>
      <c r="AB78" s="101" t="str">
        <f t="shared" si="63"/>
        <v/>
      </c>
      <c r="AC78" s="100" t="str">
        <f t="shared" si="63"/>
        <v/>
      </c>
      <c r="AD78" s="147" t="str">
        <f t="shared" si="40"/>
        <v/>
      </c>
      <c r="AE78" s="146" t="str">
        <f t="shared" si="41"/>
        <v/>
      </c>
      <c r="AF78" s="288" t="str">
        <f t="shared" si="54"/>
        <v/>
      </c>
      <c r="AG78" s="291" t="str">
        <f t="shared" si="21"/>
        <v/>
      </c>
      <c r="AH78" s="145" t="str">
        <f>IF(D78="","",VLOOKUP(F78,'10. All Habitats + Multipliers'!$C$4:$K$99,5,FALSE))</f>
        <v/>
      </c>
      <c r="AI78" s="101" t="str">
        <f>IF(AH78="","",VLOOKUP(AH78,'12. Lists'!$B$47:$D$49,2,FALSE))</f>
        <v/>
      </c>
      <c r="AJ78" s="100" t="str">
        <f t="shared" si="22"/>
        <v/>
      </c>
      <c r="AK78" s="101" t="str">
        <f>IF(AJ78="","",VLOOKUP(AJ78,'12. Lists'!$F$47:$G$51,2,FALSE))</f>
        <v/>
      </c>
      <c r="AL78" s="145" t="str">
        <f>IF(D78="","",VLOOKUP(F78,'10. All Habitats + Multipliers'!$C$4:$K$99,9,FALSE))</f>
        <v/>
      </c>
      <c r="AM78" s="102" t="str">
        <f>IF(AL78="","",VLOOKUP(AL78,'12. Lists'!$B$36:$D$39,2,FALSE))</f>
        <v/>
      </c>
      <c r="AN78" s="101" t="str">
        <f>IF(AL78="","",VLOOKUP(AL78,'12. Lists'!$B$36:$D$39,3,FALSE))</f>
        <v/>
      </c>
      <c r="AO78" s="100" t="str">
        <f t="shared" si="23"/>
        <v/>
      </c>
      <c r="AP78" s="102" t="str">
        <f>IF(AO78="","",VLOOKUP(AO78,'12. Lists'!$F$36:$H$38,2,FALSE))</f>
        <v/>
      </c>
      <c r="AQ78" s="101" t="str">
        <f>IF(AO78="","",VLOOKUP(AO78,'12. Lists'!$F$36:$H$38,3,FALSE))</f>
        <v/>
      </c>
      <c r="AR78" s="145" t="str">
        <f>IF(D78="","",VLOOKUP(F78,'11. Condition and Temporal'!$B$6:$J$101,9,FALSE))</f>
        <v/>
      </c>
      <c r="AS78" s="149" t="str">
        <f>IF(AR78="","",VLOOKUP(AR78,'12. Lists'!$I$47:$K$80,3,FALSE))</f>
        <v/>
      </c>
      <c r="AT78" s="175" t="str">
        <f>IF(D78="","",VLOOKUP(F78,'11. Condition and Temporal'!$B$6:$K$104,10,FALSE))</f>
        <v/>
      </c>
      <c r="AU78" s="149" t="str">
        <f>IF(AT78="","",VLOOKUP(AT78,'12. Lists'!$I$47:$K$80,3,FALSE))</f>
        <v/>
      </c>
      <c r="AV78" s="148" t="str">
        <f>IF(D78="","",VLOOKUP(F78,'10. All Habitats + Multipliers'!$C$4:$K$99,8,FALSE))</f>
        <v/>
      </c>
      <c r="AW78" s="146" t="str">
        <f>IF(AV78="","",VLOOKUP(AV78,'12. Lists'!$J$35:$K$38,2,FALSE))</f>
        <v/>
      </c>
      <c r="AX78" s="145" t="str">
        <f>IF(D78="","",VLOOKUP(D78,'11. Condition and Temporal'!$B$6:$K$101,4,FALSE))</f>
        <v/>
      </c>
      <c r="AY78" s="146" t="str">
        <f t="shared" si="55"/>
        <v/>
      </c>
      <c r="BA78" s="100">
        <v>11</v>
      </c>
      <c r="BB78" s="102" t="str">
        <f t="shared" si="42"/>
        <v/>
      </c>
      <c r="BC78" s="102" t="str">
        <f t="shared" si="43"/>
        <v/>
      </c>
      <c r="BD78" s="102" t="str">
        <f t="shared" si="44"/>
        <v/>
      </c>
      <c r="BE78" s="102" t="str">
        <f t="shared" si="45"/>
        <v/>
      </c>
      <c r="BF78" s="102" t="str">
        <f t="shared" si="46"/>
        <v/>
      </c>
      <c r="BG78" s="102" t="str">
        <f t="shared" si="47"/>
        <v/>
      </c>
      <c r="BH78" s="102" t="str">
        <f t="shared" si="48"/>
        <v/>
      </c>
      <c r="BI78" s="102" t="str">
        <f t="shared" si="49"/>
        <v/>
      </c>
      <c r="BJ78" s="102" t="str">
        <f t="shared" si="50"/>
        <v/>
      </c>
      <c r="BK78" s="102" t="str">
        <f t="shared" si="51"/>
        <v/>
      </c>
      <c r="BL78" s="102" t="str">
        <f t="shared" si="24"/>
        <v/>
      </c>
      <c r="BM78" s="102" t="str">
        <f t="shared" si="25"/>
        <v/>
      </c>
      <c r="BN78" s="102" t="str">
        <f t="shared" si="26"/>
        <v/>
      </c>
      <c r="BO78" s="102" t="str">
        <f t="shared" si="27"/>
        <v/>
      </c>
      <c r="BP78" s="102" t="str">
        <f t="shared" si="28"/>
        <v/>
      </c>
      <c r="BQ78" s="102" t="str">
        <f t="shared" si="29"/>
        <v/>
      </c>
      <c r="BR78" s="102" t="str">
        <f t="shared" si="30"/>
        <v/>
      </c>
      <c r="BS78" s="102" t="str">
        <f t="shared" si="31"/>
        <v/>
      </c>
      <c r="BT78" s="102" t="str">
        <f t="shared" si="32"/>
        <v/>
      </c>
      <c r="BU78" s="101" t="str">
        <f t="shared" si="33"/>
        <v/>
      </c>
      <c r="BV78" s="296" t="str">
        <f t="shared" si="52"/>
        <v/>
      </c>
      <c r="BW78" s="102" t="s">
        <v>202</v>
      </c>
      <c r="BX78" s="102">
        <f>BL66</f>
        <v>0</v>
      </c>
    </row>
    <row r="79" spans="1:76" s="27" customFormat="1" ht="15.6">
      <c r="A79" s="94"/>
      <c r="B79" s="106">
        <v>12</v>
      </c>
      <c r="C79" s="150" t="str">
        <f t="shared" si="17"/>
        <v/>
      </c>
      <c r="D79" s="151" t="str">
        <f t="shared" si="18"/>
        <v/>
      </c>
      <c r="E79" s="259" t="str">
        <f t="shared" si="34"/>
        <v/>
      </c>
      <c r="F79" s="534"/>
      <c r="G79" s="535"/>
      <c r="H79" s="241" t="str">
        <f t="shared" si="35"/>
        <v/>
      </c>
      <c r="I79" s="227" t="str">
        <f t="shared" si="19"/>
        <v/>
      </c>
      <c r="J79" s="520" t="str">
        <f>IF(F79="","",VLOOKUP(F79,'11. Condition and Temporal'!$B$6:$F$101,5,FALSE))</f>
        <v/>
      </c>
      <c r="K79" s="521"/>
      <c r="L79" s="192" t="str">
        <f t="shared" si="36"/>
        <v/>
      </c>
      <c r="M79" s="512" t="str">
        <f t="shared" si="37"/>
        <v/>
      </c>
      <c r="N79" s="513"/>
      <c r="O79" s="79"/>
      <c r="P79" s="12"/>
      <c r="R79" s="568"/>
      <c r="U79" s="286" t="str">
        <f t="shared" si="38"/>
        <v/>
      </c>
      <c r="V79" s="100" t="str">
        <f t="shared" ref="V79:AC79" si="64">IF($D79="","",U22)</f>
        <v/>
      </c>
      <c r="W79" s="101" t="str">
        <f t="shared" si="64"/>
        <v/>
      </c>
      <c r="X79" s="100" t="str">
        <f t="shared" si="64"/>
        <v/>
      </c>
      <c r="Y79" s="101" t="str">
        <f t="shared" si="64"/>
        <v/>
      </c>
      <c r="Z79" s="100" t="str">
        <f t="shared" si="64"/>
        <v/>
      </c>
      <c r="AA79" s="102" t="str">
        <f t="shared" si="64"/>
        <v/>
      </c>
      <c r="AB79" s="101" t="str">
        <f t="shared" si="64"/>
        <v/>
      </c>
      <c r="AC79" s="100" t="str">
        <f t="shared" si="64"/>
        <v/>
      </c>
      <c r="AD79" s="147" t="str">
        <f t="shared" si="40"/>
        <v/>
      </c>
      <c r="AE79" s="146" t="str">
        <f t="shared" si="41"/>
        <v/>
      </c>
      <c r="AF79" s="288" t="str">
        <f t="shared" si="54"/>
        <v/>
      </c>
      <c r="AG79" s="291" t="str">
        <f t="shared" si="21"/>
        <v/>
      </c>
      <c r="AH79" s="145" t="str">
        <f>IF(D79="","",VLOOKUP(F79,'10. All Habitats + Multipliers'!$C$4:$K$99,5,FALSE))</f>
        <v/>
      </c>
      <c r="AI79" s="101" t="str">
        <f>IF(AH79="","",VLOOKUP(AH79,'12. Lists'!$B$47:$D$49,2,FALSE))</f>
        <v/>
      </c>
      <c r="AJ79" s="100" t="str">
        <f t="shared" si="22"/>
        <v/>
      </c>
      <c r="AK79" s="101" t="str">
        <f>IF(AJ79="","",VLOOKUP(AJ79,'12. Lists'!$F$47:$G$51,2,FALSE))</f>
        <v/>
      </c>
      <c r="AL79" s="145" t="str">
        <f>IF(D79="","",VLOOKUP(F79,'10. All Habitats + Multipliers'!$C$4:$K$99,9,FALSE))</f>
        <v/>
      </c>
      <c r="AM79" s="102" t="str">
        <f>IF(AL79="","",VLOOKUP(AL79,'12. Lists'!$B$36:$D$39,2,FALSE))</f>
        <v/>
      </c>
      <c r="AN79" s="101" t="str">
        <f>IF(AL79="","",VLOOKUP(AL79,'12. Lists'!$B$36:$D$39,3,FALSE))</f>
        <v/>
      </c>
      <c r="AO79" s="100" t="str">
        <f t="shared" si="23"/>
        <v/>
      </c>
      <c r="AP79" s="102" t="str">
        <f>IF(AO79="","",VLOOKUP(AO79,'12. Lists'!$F$36:$H$38,2,FALSE))</f>
        <v/>
      </c>
      <c r="AQ79" s="101" t="str">
        <f>IF(AO79="","",VLOOKUP(AO79,'12. Lists'!$F$36:$H$38,3,FALSE))</f>
        <v/>
      </c>
      <c r="AR79" s="145" t="str">
        <f>IF(D79="","",VLOOKUP(F79,'11. Condition and Temporal'!$B$6:$J$101,9,FALSE))</f>
        <v/>
      </c>
      <c r="AS79" s="149" t="str">
        <f>IF(AR79="","",VLOOKUP(AR79,'12. Lists'!$I$47:$K$80,3,FALSE))</f>
        <v/>
      </c>
      <c r="AT79" s="175" t="str">
        <f>IF(D79="","",VLOOKUP(F79,'11. Condition and Temporal'!$B$6:$K$104,10,FALSE))</f>
        <v/>
      </c>
      <c r="AU79" s="149" t="str">
        <f>IF(AT79="","",VLOOKUP(AT79,'12. Lists'!$I$47:$K$80,3,FALSE))</f>
        <v/>
      </c>
      <c r="AV79" s="148" t="str">
        <f>IF(D79="","",VLOOKUP(F79,'10. All Habitats + Multipliers'!$C$4:$K$99,8,FALSE))</f>
        <v/>
      </c>
      <c r="AW79" s="146" t="str">
        <f>IF(AV79="","",VLOOKUP(AV79,'12. Lists'!$J$35:$K$38,2,FALSE))</f>
        <v/>
      </c>
      <c r="AX79" s="145" t="str">
        <f>IF(D79="","",VLOOKUP(D79,'11. Condition and Temporal'!$B$6:$K$101,4,FALSE))</f>
        <v/>
      </c>
      <c r="AY79" s="146" t="str">
        <f t="shared" si="55"/>
        <v/>
      </c>
      <c r="BA79" s="100">
        <v>12</v>
      </c>
      <c r="BB79" s="102" t="str">
        <f t="shared" si="42"/>
        <v/>
      </c>
      <c r="BC79" s="102" t="str">
        <f t="shared" si="43"/>
        <v/>
      </c>
      <c r="BD79" s="102" t="str">
        <f t="shared" si="44"/>
        <v/>
      </c>
      <c r="BE79" s="102" t="str">
        <f t="shared" si="45"/>
        <v/>
      </c>
      <c r="BF79" s="102" t="str">
        <f t="shared" si="46"/>
        <v/>
      </c>
      <c r="BG79" s="102" t="str">
        <f t="shared" si="47"/>
        <v/>
      </c>
      <c r="BH79" s="102" t="str">
        <f t="shared" si="48"/>
        <v/>
      </c>
      <c r="BI79" s="102" t="str">
        <f t="shared" si="49"/>
        <v/>
      </c>
      <c r="BJ79" s="102" t="str">
        <f t="shared" si="50"/>
        <v/>
      </c>
      <c r="BK79" s="102" t="str">
        <f t="shared" si="51"/>
        <v/>
      </c>
      <c r="BL79" s="102" t="str">
        <f t="shared" si="24"/>
        <v/>
      </c>
      <c r="BM79" s="102" t="str">
        <f t="shared" si="25"/>
        <v/>
      </c>
      <c r="BN79" s="102" t="str">
        <f t="shared" si="26"/>
        <v/>
      </c>
      <c r="BO79" s="102" t="str">
        <f t="shared" si="27"/>
        <v/>
      </c>
      <c r="BP79" s="102" t="str">
        <f t="shared" si="28"/>
        <v/>
      </c>
      <c r="BQ79" s="102" t="str">
        <f t="shared" si="29"/>
        <v/>
      </c>
      <c r="BR79" s="102" t="str">
        <f t="shared" si="30"/>
        <v/>
      </c>
      <c r="BS79" s="102" t="str">
        <f t="shared" si="31"/>
        <v/>
      </c>
      <c r="BT79" s="102" t="str">
        <f t="shared" si="32"/>
        <v/>
      </c>
      <c r="BU79" s="101" t="str">
        <f t="shared" si="33"/>
        <v/>
      </c>
      <c r="BV79" s="296" t="str">
        <f t="shared" si="52"/>
        <v/>
      </c>
      <c r="BW79" s="102" t="s">
        <v>203</v>
      </c>
      <c r="BX79" s="102">
        <f>BM66</f>
        <v>0</v>
      </c>
    </row>
    <row r="80" spans="1:76" s="27" customFormat="1" ht="15.6">
      <c r="A80" s="94"/>
      <c r="B80" s="106">
        <v>13</v>
      </c>
      <c r="C80" s="150" t="str">
        <f t="shared" si="17"/>
        <v/>
      </c>
      <c r="D80" s="151" t="str">
        <f t="shared" si="18"/>
        <v/>
      </c>
      <c r="E80" s="259" t="str">
        <f t="shared" si="34"/>
        <v/>
      </c>
      <c r="F80" s="534"/>
      <c r="G80" s="535"/>
      <c r="H80" s="241" t="str">
        <f t="shared" si="35"/>
        <v/>
      </c>
      <c r="I80" s="227" t="str">
        <f t="shared" si="19"/>
        <v/>
      </c>
      <c r="J80" s="520" t="str">
        <f>IF(F80="","",VLOOKUP(F80,'11. Condition and Temporal'!$B$6:$F$101,5,FALSE))</f>
        <v/>
      </c>
      <c r="K80" s="521"/>
      <c r="L80" s="192" t="str">
        <f t="shared" si="36"/>
        <v/>
      </c>
      <c r="M80" s="512" t="str">
        <f t="shared" si="37"/>
        <v/>
      </c>
      <c r="N80" s="513"/>
      <c r="O80" s="79"/>
      <c r="P80" s="12"/>
      <c r="R80" s="568"/>
      <c r="U80" s="286" t="str">
        <f t="shared" si="38"/>
        <v/>
      </c>
      <c r="V80" s="100" t="str">
        <f t="shared" ref="V80:AC80" si="65">IF($D80="","",U23)</f>
        <v/>
      </c>
      <c r="W80" s="101" t="str">
        <f t="shared" si="65"/>
        <v/>
      </c>
      <c r="X80" s="100" t="str">
        <f t="shared" si="65"/>
        <v/>
      </c>
      <c r="Y80" s="101" t="str">
        <f t="shared" si="65"/>
        <v/>
      </c>
      <c r="Z80" s="100" t="str">
        <f t="shared" si="65"/>
        <v/>
      </c>
      <c r="AA80" s="102" t="str">
        <f t="shared" si="65"/>
        <v/>
      </c>
      <c r="AB80" s="101" t="str">
        <f t="shared" si="65"/>
        <v/>
      </c>
      <c r="AC80" s="100" t="str">
        <f t="shared" si="65"/>
        <v/>
      </c>
      <c r="AD80" s="147" t="str">
        <f t="shared" si="40"/>
        <v/>
      </c>
      <c r="AE80" s="146" t="str">
        <f t="shared" si="41"/>
        <v/>
      </c>
      <c r="AF80" s="288" t="str">
        <f t="shared" si="54"/>
        <v/>
      </c>
      <c r="AG80" s="291" t="str">
        <f t="shared" si="21"/>
        <v/>
      </c>
      <c r="AH80" s="145" t="str">
        <f>IF(D80="","",VLOOKUP(F80,'10. All Habitats + Multipliers'!$C$4:$K$99,5,FALSE))</f>
        <v/>
      </c>
      <c r="AI80" s="101" t="str">
        <f>IF(AH80="","",VLOOKUP(AH80,'12. Lists'!$B$47:$D$49,2,FALSE))</f>
        <v/>
      </c>
      <c r="AJ80" s="100" t="str">
        <f t="shared" si="22"/>
        <v/>
      </c>
      <c r="AK80" s="101" t="str">
        <f>IF(AJ80="","",VLOOKUP(AJ80,'12. Lists'!$F$47:$G$51,2,FALSE))</f>
        <v/>
      </c>
      <c r="AL80" s="145" t="str">
        <f>IF(D80="","",VLOOKUP(F80,'10. All Habitats + Multipliers'!$C$4:$K$99,9,FALSE))</f>
        <v/>
      </c>
      <c r="AM80" s="102" t="str">
        <f>IF(AL80="","",VLOOKUP(AL80,'12. Lists'!$B$36:$D$39,2,FALSE))</f>
        <v/>
      </c>
      <c r="AN80" s="101" t="str">
        <f>IF(AL80="","",VLOOKUP(AL80,'12. Lists'!$B$36:$D$39,3,FALSE))</f>
        <v/>
      </c>
      <c r="AO80" s="100" t="str">
        <f t="shared" si="23"/>
        <v/>
      </c>
      <c r="AP80" s="102" t="str">
        <f>IF(AO80="","",VLOOKUP(AO80,'12. Lists'!$F$36:$H$38,2,FALSE))</f>
        <v/>
      </c>
      <c r="AQ80" s="101" t="str">
        <f>IF(AO80="","",VLOOKUP(AO80,'12. Lists'!$F$36:$H$38,3,FALSE))</f>
        <v/>
      </c>
      <c r="AR80" s="145" t="str">
        <f>IF(D80="","",VLOOKUP(F80,'11. Condition and Temporal'!$B$6:$J$101,9,FALSE))</f>
        <v/>
      </c>
      <c r="AS80" s="149" t="str">
        <f>IF(AR80="","",VLOOKUP(AR80,'12. Lists'!$I$47:$K$80,3,FALSE))</f>
        <v/>
      </c>
      <c r="AT80" s="175" t="str">
        <f>IF(D80="","",VLOOKUP(F80,'11. Condition and Temporal'!$B$6:$K$104,10,FALSE))</f>
        <v/>
      </c>
      <c r="AU80" s="149" t="str">
        <f>IF(AT80="","",VLOOKUP(AT80,'12. Lists'!$I$47:$K$80,3,FALSE))</f>
        <v/>
      </c>
      <c r="AV80" s="148" t="str">
        <f>IF(D80="","",VLOOKUP(F80,'10. All Habitats + Multipliers'!$C$4:$K$99,8,FALSE))</f>
        <v/>
      </c>
      <c r="AW80" s="146" t="str">
        <f>IF(AV80="","",VLOOKUP(AV80,'12. Lists'!$J$35:$K$38,2,FALSE))</f>
        <v/>
      </c>
      <c r="AX80" s="145" t="str">
        <f>IF(D80="","",VLOOKUP(D80,'11. Condition and Temporal'!$B$6:$K$101,4,FALSE))</f>
        <v/>
      </c>
      <c r="AY80" s="146" t="str">
        <f t="shared" si="55"/>
        <v/>
      </c>
      <c r="BA80" s="100">
        <v>13</v>
      </c>
      <c r="BB80" s="102" t="str">
        <f t="shared" si="42"/>
        <v/>
      </c>
      <c r="BC80" s="102" t="str">
        <f t="shared" si="43"/>
        <v/>
      </c>
      <c r="BD80" s="102" t="str">
        <f t="shared" si="44"/>
        <v/>
      </c>
      <c r="BE80" s="102" t="str">
        <f t="shared" si="45"/>
        <v/>
      </c>
      <c r="BF80" s="102" t="str">
        <f t="shared" si="46"/>
        <v/>
      </c>
      <c r="BG80" s="102" t="str">
        <f t="shared" si="47"/>
        <v/>
      </c>
      <c r="BH80" s="102" t="str">
        <f t="shared" si="48"/>
        <v/>
      </c>
      <c r="BI80" s="102" t="str">
        <f t="shared" si="49"/>
        <v/>
      </c>
      <c r="BJ80" s="102" t="str">
        <f t="shared" si="50"/>
        <v/>
      </c>
      <c r="BK80" s="102" t="str">
        <f t="shared" si="51"/>
        <v/>
      </c>
      <c r="BL80" s="102" t="str">
        <f t="shared" si="24"/>
        <v/>
      </c>
      <c r="BM80" s="102" t="str">
        <f t="shared" si="25"/>
        <v/>
      </c>
      <c r="BN80" s="102" t="str">
        <f t="shared" si="26"/>
        <v/>
      </c>
      <c r="BO80" s="102" t="str">
        <f t="shared" si="27"/>
        <v/>
      </c>
      <c r="BP80" s="102" t="str">
        <f t="shared" si="28"/>
        <v/>
      </c>
      <c r="BQ80" s="102" t="str">
        <f t="shared" si="29"/>
        <v/>
      </c>
      <c r="BR80" s="102" t="str">
        <f t="shared" si="30"/>
        <v/>
      </c>
      <c r="BS80" s="102" t="str">
        <f t="shared" si="31"/>
        <v/>
      </c>
      <c r="BT80" s="102" t="str">
        <f t="shared" si="32"/>
        <v/>
      </c>
      <c r="BU80" s="101" t="str">
        <f t="shared" si="33"/>
        <v/>
      </c>
      <c r="BV80" s="296" t="str">
        <f t="shared" si="52"/>
        <v/>
      </c>
      <c r="BW80" s="102" t="s">
        <v>204</v>
      </c>
      <c r="BX80" s="102">
        <f>BN66</f>
        <v>0</v>
      </c>
    </row>
    <row r="81" spans="1:76" s="27" customFormat="1" ht="15.6">
      <c r="A81" s="94"/>
      <c r="B81" s="106">
        <v>14</v>
      </c>
      <c r="C81" s="150" t="str">
        <f t="shared" si="17"/>
        <v/>
      </c>
      <c r="D81" s="151" t="str">
        <f t="shared" si="18"/>
        <v/>
      </c>
      <c r="E81" s="259" t="str">
        <f t="shared" si="34"/>
        <v/>
      </c>
      <c r="F81" s="534"/>
      <c r="G81" s="535"/>
      <c r="H81" s="241" t="str">
        <f t="shared" si="35"/>
        <v/>
      </c>
      <c r="I81" s="227" t="str">
        <f t="shared" si="19"/>
        <v/>
      </c>
      <c r="J81" s="520" t="str">
        <f>IF(F81="","",VLOOKUP(F81,'11. Condition and Temporal'!$B$6:$F$101,5,FALSE))</f>
        <v/>
      </c>
      <c r="K81" s="521"/>
      <c r="L81" s="192" t="str">
        <f t="shared" si="36"/>
        <v/>
      </c>
      <c r="M81" s="512" t="str">
        <f t="shared" si="37"/>
        <v/>
      </c>
      <c r="N81" s="513"/>
      <c r="O81" s="79"/>
      <c r="P81" s="12"/>
      <c r="R81" s="568"/>
      <c r="U81" s="286" t="str">
        <f t="shared" si="38"/>
        <v/>
      </c>
      <c r="V81" s="100" t="str">
        <f t="shared" ref="V81:AC81" si="66">IF($D81="","",U24)</f>
        <v/>
      </c>
      <c r="W81" s="101" t="str">
        <f t="shared" si="66"/>
        <v/>
      </c>
      <c r="X81" s="100" t="str">
        <f t="shared" si="66"/>
        <v/>
      </c>
      <c r="Y81" s="101" t="str">
        <f t="shared" si="66"/>
        <v/>
      </c>
      <c r="Z81" s="100" t="str">
        <f t="shared" si="66"/>
        <v/>
      </c>
      <c r="AA81" s="102" t="str">
        <f t="shared" si="66"/>
        <v/>
      </c>
      <c r="AB81" s="101" t="str">
        <f t="shared" si="66"/>
        <v/>
      </c>
      <c r="AC81" s="100" t="str">
        <f t="shared" si="66"/>
        <v/>
      </c>
      <c r="AD81" s="147" t="str">
        <f t="shared" si="40"/>
        <v/>
      </c>
      <c r="AE81" s="146" t="str">
        <f t="shared" si="41"/>
        <v/>
      </c>
      <c r="AF81" s="288" t="str">
        <f t="shared" si="54"/>
        <v/>
      </c>
      <c r="AG81" s="291" t="str">
        <f t="shared" si="21"/>
        <v/>
      </c>
      <c r="AH81" s="145" t="str">
        <f>IF(D81="","",VLOOKUP(F81,'10. All Habitats + Multipliers'!$C$4:$K$99,5,FALSE))</f>
        <v/>
      </c>
      <c r="AI81" s="101" t="str">
        <f>IF(AH81="","",VLOOKUP(AH81,'12. Lists'!$B$47:$D$49,2,FALSE))</f>
        <v/>
      </c>
      <c r="AJ81" s="100" t="str">
        <f t="shared" si="22"/>
        <v/>
      </c>
      <c r="AK81" s="101" t="str">
        <f>IF(AJ81="","",VLOOKUP(AJ81,'12. Lists'!$F$47:$G$51,2,FALSE))</f>
        <v/>
      </c>
      <c r="AL81" s="145" t="str">
        <f>IF(D81="","",VLOOKUP(F81,'10. All Habitats + Multipliers'!$C$4:$K$99,9,FALSE))</f>
        <v/>
      </c>
      <c r="AM81" s="102" t="str">
        <f>IF(AL81="","",VLOOKUP(AL81,'12. Lists'!$B$36:$D$39,2,FALSE))</f>
        <v/>
      </c>
      <c r="AN81" s="101" t="str">
        <f>IF(AL81="","",VLOOKUP(AL81,'12. Lists'!$B$36:$D$39,3,FALSE))</f>
        <v/>
      </c>
      <c r="AO81" s="100" t="str">
        <f t="shared" si="23"/>
        <v/>
      </c>
      <c r="AP81" s="102" t="str">
        <f>IF(AO81="","",VLOOKUP(AO81,'12. Lists'!$F$36:$H$38,2,FALSE))</f>
        <v/>
      </c>
      <c r="AQ81" s="101" t="str">
        <f>IF(AO81="","",VLOOKUP(AO81,'12. Lists'!$F$36:$H$38,3,FALSE))</f>
        <v/>
      </c>
      <c r="AR81" s="145" t="str">
        <f>IF(D81="","",VLOOKUP(F81,'11. Condition and Temporal'!$B$6:$J$101,9,FALSE))</f>
        <v/>
      </c>
      <c r="AS81" s="149" t="str">
        <f>IF(AR81="","",VLOOKUP(AR81,'12. Lists'!$I$47:$K$80,3,FALSE))</f>
        <v/>
      </c>
      <c r="AT81" s="175" t="str">
        <f>IF(D81="","",VLOOKUP(F81,'11. Condition and Temporal'!$B$6:$K$104,10,FALSE))</f>
        <v/>
      </c>
      <c r="AU81" s="149" t="str">
        <f>IF(AT81="","",VLOOKUP(AT81,'12. Lists'!$I$47:$K$80,3,FALSE))</f>
        <v/>
      </c>
      <c r="AV81" s="148" t="str">
        <f>IF(D81="","",VLOOKUP(F81,'10. All Habitats + Multipliers'!$C$4:$K$99,8,FALSE))</f>
        <v/>
      </c>
      <c r="AW81" s="146" t="str">
        <f>IF(AV81="","",VLOOKUP(AV81,'12. Lists'!$J$35:$K$38,2,FALSE))</f>
        <v/>
      </c>
      <c r="AX81" s="145" t="str">
        <f>IF(D81="","",VLOOKUP(D81,'11. Condition and Temporal'!$B$6:$K$101,4,FALSE))</f>
        <v/>
      </c>
      <c r="AY81" s="146" t="str">
        <f t="shared" si="55"/>
        <v/>
      </c>
      <c r="BA81" s="100">
        <v>14</v>
      </c>
      <c r="BB81" s="102" t="str">
        <f t="shared" si="42"/>
        <v/>
      </c>
      <c r="BC81" s="102" t="str">
        <f t="shared" si="43"/>
        <v/>
      </c>
      <c r="BD81" s="102" t="str">
        <f t="shared" si="44"/>
        <v/>
      </c>
      <c r="BE81" s="102" t="str">
        <f t="shared" si="45"/>
        <v/>
      </c>
      <c r="BF81" s="102" t="str">
        <f t="shared" si="46"/>
        <v/>
      </c>
      <c r="BG81" s="102" t="str">
        <f t="shared" si="47"/>
        <v/>
      </c>
      <c r="BH81" s="102" t="str">
        <f t="shared" si="48"/>
        <v/>
      </c>
      <c r="BI81" s="102" t="str">
        <f t="shared" si="49"/>
        <v/>
      </c>
      <c r="BJ81" s="102" t="str">
        <f t="shared" si="50"/>
        <v/>
      </c>
      <c r="BK81" s="102" t="str">
        <f t="shared" si="51"/>
        <v/>
      </c>
      <c r="BL81" s="102" t="str">
        <f t="shared" si="24"/>
        <v/>
      </c>
      <c r="BM81" s="102" t="str">
        <f t="shared" si="25"/>
        <v/>
      </c>
      <c r="BN81" s="102" t="str">
        <f t="shared" si="26"/>
        <v/>
      </c>
      <c r="BO81" s="102" t="str">
        <f t="shared" si="27"/>
        <v/>
      </c>
      <c r="BP81" s="102" t="str">
        <f t="shared" si="28"/>
        <v/>
      </c>
      <c r="BQ81" s="102" t="str">
        <f t="shared" si="29"/>
        <v/>
      </c>
      <c r="BR81" s="102" t="str">
        <f t="shared" si="30"/>
        <v/>
      </c>
      <c r="BS81" s="102" t="str">
        <f t="shared" si="31"/>
        <v/>
      </c>
      <c r="BT81" s="102" t="str">
        <f t="shared" si="32"/>
        <v/>
      </c>
      <c r="BU81" s="101" t="str">
        <f t="shared" si="33"/>
        <v/>
      </c>
      <c r="BV81" s="296" t="str">
        <f t="shared" si="52"/>
        <v/>
      </c>
      <c r="BW81" s="102" t="s">
        <v>205</v>
      </c>
      <c r="BX81" s="102">
        <f>BO66</f>
        <v>0</v>
      </c>
    </row>
    <row r="82" spans="1:76" s="27" customFormat="1" ht="15.6">
      <c r="A82" s="94"/>
      <c r="B82" s="106">
        <v>15</v>
      </c>
      <c r="C82" s="150" t="str">
        <f t="shared" si="17"/>
        <v/>
      </c>
      <c r="D82" s="151" t="str">
        <f t="shared" si="18"/>
        <v/>
      </c>
      <c r="E82" s="259" t="str">
        <f t="shared" si="34"/>
        <v/>
      </c>
      <c r="F82" s="534"/>
      <c r="G82" s="535"/>
      <c r="H82" s="241" t="str">
        <f t="shared" si="35"/>
        <v/>
      </c>
      <c r="I82" s="227" t="str">
        <f t="shared" si="19"/>
        <v/>
      </c>
      <c r="J82" s="520" t="str">
        <f>IF(F82="","",VLOOKUP(F82,'11. Condition and Temporal'!$B$6:$F$101,5,FALSE))</f>
        <v/>
      </c>
      <c r="K82" s="521"/>
      <c r="L82" s="192" t="str">
        <f t="shared" si="36"/>
        <v/>
      </c>
      <c r="M82" s="512" t="str">
        <f t="shared" si="37"/>
        <v/>
      </c>
      <c r="N82" s="513"/>
      <c r="O82" s="79"/>
      <c r="P82" s="12"/>
      <c r="R82" s="568"/>
      <c r="U82" s="286" t="str">
        <f t="shared" si="38"/>
        <v/>
      </c>
      <c r="V82" s="100" t="str">
        <f t="shared" ref="V82:AC82" si="67">IF($D82="","",U25)</f>
        <v/>
      </c>
      <c r="W82" s="101" t="str">
        <f t="shared" si="67"/>
        <v/>
      </c>
      <c r="X82" s="100" t="str">
        <f t="shared" si="67"/>
        <v/>
      </c>
      <c r="Y82" s="101" t="str">
        <f t="shared" si="67"/>
        <v/>
      </c>
      <c r="Z82" s="100" t="str">
        <f t="shared" si="67"/>
        <v/>
      </c>
      <c r="AA82" s="102" t="str">
        <f t="shared" si="67"/>
        <v/>
      </c>
      <c r="AB82" s="101" t="str">
        <f t="shared" si="67"/>
        <v/>
      </c>
      <c r="AC82" s="100" t="str">
        <f t="shared" si="67"/>
        <v/>
      </c>
      <c r="AD82" s="147" t="str">
        <f t="shared" si="40"/>
        <v/>
      </c>
      <c r="AE82" s="146" t="str">
        <f t="shared" si="41"/>
        <v/>
      </c>
      <c r="AF82" s="288" t="str">
        <f t="shared" si="54"/>
        <v/>
      </c>
      <c r="AG82" s="291" t="str">
        <f t="shared" si="21"/>
        <v/>
      </c>
      <c r="AH82" s="145" t="str">
        <f>IF(D82="","",VLOOKUP(F82,'10. All Habitats + Multipliers'!$C$4:$K$99,5,FALSE))</f>
        <v/>
      </c>
      <c r="AI82" s="101" t="str">
        <f>IF(AH82="","",VLOOKUP(AH82,'12. Lists'!$B$47:$D$49,2,FALSE))</f>
        <v/>
      </c>
      <c r="AJ82" s="100" t="str">
        <f t="shared" si="22"/>
        <v/>
      </c>
      <c r="AK82" s="101" t="str">
        <f>IF(AJ82="","",VLOOKUP(AJ82,'12. Lists'!$F$47:$G$51,2,FALSE))</f>
        <v/>
      </c>
      <c r="AL82" s="145" t="str">
        <f>IF(D82="","",VLOOKUP(F82,'10. All Habitats + Multipliers'!$C$4:$K$99,9,FALSE))</f>
        <v/>
      </c>
      <c r="AM82" s="102" t="str">
        <f>IF(AL82="","",VLOOKUP(AL82,'12. Lists'!$B$36:$D$39,2,FALSE))</f>
        <v/>
      </c>
      <c r="AN82" s="101" t="str">
        <f>IF(AL82="","",VLOOKUP(AL82,'12. Lists'!$B$36:$D$39,3,FALSE))</f>
        <v/>
      </c>
      <c r="AO82" s="100" t="str">
        <f t="shared" si="23"/>
        <v/>
      </c>
      <c r="AP82" s="102" t="str">
        <f>IF(AO82="","",VLOOKUP(AO82,'12. Lists'!$F$36:$H$38,2,FALSE))</f>
        <v/>
      </c>
      <c r="AQ82" s="101" t="str">
        <f>IF(AO82="","",VLOOKUP(AO82,'12. Lists'!$F$36:$H$38,3,FALSE))</f>
        <v/>
      </c>
      <c r="AR82" s="145" t="str">
        <f>IF(D82="","",VLOOKUP(F82,'11. Condition and Temporal'!$B$6:$J$101,9,FALSE))</f>
        <v/>
      </c>
      <c r="AS82" s="149" t="str">
        <f>IF(AR82="","",VLOOKUP(AR82,'12. Lists'!$I$47:$K$80,3,FALSE))</f>
        <v/>
      </c>
      <c r="AT82" s="175" t="str">
        <f>IF(D82="","",VLOOKUP(F82,'11. Condition and Temporal'!$B$6:$K$104,10,FALSE))</f>
        <v/>
      </c>
      <c r="AU82" s="149" t="str">
        <f>IF(AT82="","",VLOOKUP(AT82,'12. Lists'!$I$47:$K$80,3,FALSE))</f>
        <v/>
      </c>
      <c r="AV82" s="148" t="str">
        <f>IF(D82="","",VLOOKUP(F82,'10. All Habitats + Multipliers'!$C$4:$K$99,8,FALSE))</f>
        <v/>
      </c>
      <c r="AW82" s="146" t="str">
        <f>IF(AV82="","",VLOOKUP(AV82,'12. Lists'!$J$35:$K$38,2,FALSE))</f>
        <v/>
      </c>
      <c r="AX82" s="145" t="str">
        <f>IF(D82="","",VLOOKUP(D82,'11. Condition and Temporal'!$B$6:$K$101,4,FALSE))</f>
        <v/>
      </c>
      <c r="AY82" s="146" t="str">
        <f t="shared" si="55"/>
        <v/>
      </c>
      <c r="BA82" s="100">
        <v>15</v>
      </c>
      <c r="BB82" s="102" t="str">
        <f t="shared" si="42"/>
        <v/>
      </c>
      <c r="BC82" s="102" t="str">
        <f t="shared" si="43"/>
        <v/>
      </c>
      <c r="BD82" s="102" t="str">
        <f t="shared" si="44"/>
        <v/>
      </c>
      <c r="BE82" s="102" t="str">
        <f t="shared" si="45"/>
        <v/>
      </c>
      <c r="BF82" s="102" t="str">
        <f t="shared" si="46"/>
        <v/>
      </c>
      <c r="BG82" s="102" t="str">
        <f t="shared" si="47"/>
        <v/>
      </c>
      <c r="BH82" s="102" t="str">
        <f t="shared" si="48"/>
        <v/>
      </c>
      <c r="BI82" s="102" t="str">
        <f t="shared" si="49"/>
        <v/>
      </c>
      <c r="BJ82" s="102" t="str">
        <f t="shared" si="50"/>
        <v/>
      </c>
      <c r="BK82" s="102" t="str">
        <f t="shared" si="51"/>
        <v/>
      </c>
      <c r="BL82" s="102" t="str">
        <f t="shared" si="24"/>
        <v/>
      </c>
      <c r="BM82" s="102" t="str">
        <f t="shared" si="25"/>
        <v/>
      </c>
      <c r="BN82" s="102" t="str">
        <f t="shared" si="26"/>
        <v/>
      </c>
      <c r="BO82" s="102" t="str">
        <f t="shared" si="27"/>
        <v/>
      </c>
      <c r="BP82" s="102" t="str">
        <f t="shared" si="28"/>
        <v/>
      </c>
      <c r="BQ82" s="102" t="str">
        <f t="shared" si="29"/>
        <v/>
      </c>
      <c r="BR82" s="102" t="str">
        <f t="shared" si="30"/>
        <v/>
      </c>
      <c r="BS82" s="102" t="str">
        <f t="shared" si="31"/>
        <v/>
      </c>
      <c r="BT82" s="102" t="str">
        <f t="shared" si="32"/>
        <v/>
      </c>
      <c r="BU82" s="101" t="str">
        <f t="shared" si="33"/>
        <v/>
      </c>
      <c r="BV82" s="296" t="str">
        <f t="shared" si="52"/>
        <v/>
      </c>
      <c r="BW82" s="102" t="s">
        <v>206</v>
      </c>
      <c r="BX82" s="102">
        <f>BP66</f>
        <v>0</v>
      </c>
    </row>
    <row r="83" spans="1:76" s="27" customFormat="1" ht="15.6">
      <c r="A83" s="94"/>
      <c r="B83" s="106">
        <v>16</v>
      </c>
      <c r="C83" s="150" t="str">
        <f t="shared" si="17"/>
        <v/>
      </c>
      <c r="D83" s="151" t="str">
        <f t="shared" si="18"/>
        <v/>
      </c>
      <c r="E83" s="259" t="str">
        <f t="shared" si="34"/>
        <v/>
      </c>
      <c r="F83" s="534"/>
      <c r="G83" s="535"/>
      <c r="H83" s="241" t="str">
        <f t="shared" si="35"/>
        <v/>
      </c>
      <c r="I83" s="227" t="str">
        <f t="shared" si="19"/>
        <v/>
      </c>
      <c r="J83" s="520" t="str">
        <f>IF(F83="","",VLOOKUP(F83,'11. Condition and Temporal'!$B$6:$F$101,5,FALSE))</f>
        <v/>
      </c>
      <c r="K83" s="521"/>
      <c r="L83" s="192" t="str">
        <f t="shared" si="36"/>
        <v/>
      </c>
      <c r="M83" s="512" t="str">
        <f t="shared" si="37"/>
        <v/>
      </c>
      <c r="N83" s="513"/>
      <c r="O83" s="79"/>
      <c r="P83" s="12"/>
      <c r="R83" s="568"/>
      <c r="U83" s="286" t="str">
        <f t="shared" si="38"/>
        <v/>
      </c>
      <c r="V83" s="100" t="str">
        <f t="shared" ref="V83:AC83" si="68">IF($D83="","",U26)</f>
        <v/>
      </c>
      <c r="W83" s="101" t="str">
        <f t="shared" si="68"/>
        <v/>
      </c>
      <c r="X83" s="100" t="str">
        <f t="shared" si="68"/>
        <v/>
      </c>
      <c r="Y83" s="101" t="str">
        <f t="shared" si="68"/>
        <v/>
      </c>
      <c r="Z83" s="100" t="str">
        <f t="shared" si="68"/>
        <v/>
      </c>
      <c r="AA83" s="102" t="str">
        <f t="shared" si="68"/>
        <v/>
      </c>
      <c r="AB83" s="101" t="str">
        <f t="shared" si="68"/>
        <v/>
      </c>
      <c r="AC83" s="100" t="str">
        <f t="shared" si="68"/>
        <v/>
      </c>
      <c r="AD83" s="147" t="str">
        <f t="shared" si="40"/>
        <v/>
      </c>
      <c r="AE83" s="146" t="str">
        <f t="shared" si="41"/>
        <v/>
      </c>
      <c r="AF83" s="288" t="str">
        <f t="shared" si="54"/>
        <v/>
      </c>
      <c r="AG83" s="291" t="str">
        <f t="shared" si="21"/>
        <v/>
      </c>
      <c r="AH83" s="145" t="str">
        <f>IF(D83="","",VLOOKUP(F83,'10. All Habitats + Multipliers'!$C$4:$K$99,5,FALSE))</f>
        <v/>
      </c>
      <c r="AI83" s="101" t="str">
        <f>IF(AH83="","",VLOOKUP(AH83,'12. Lists'!$B$47:$D$49,2,FALSE))</f>
        <v/>
      </c>
      <c r="AJ83" s="100" t="str">
        <f t="shared" si="22"/>
        <v/>
      </c>
      <c r="AK83" s="101" t="str">
        <f>IF(AJ83="","",VLOOKUP(AJ83,'12. Lists'!$F$47:$G$51,2,FALSE))</f>
        <v/>
      </c>
      <c r="AL83" s="145" t="str">
        <f>IF(D83="","",VLOOKUP(F83,'10. All Habitats + Multipliers'!$C$4:$K$99,9,FALSE))</f>
        <v/>
      </c>
      <c r="AM83" s="102" t="str">
        <f>IF(AL83="","",VLOOKUP(AL83,'12. Lists'!$B$36:$D$39,2,FALSE))</f>
        <v/>
      </c>
      <c r="AN83" s="101" t="str">
        <f>IF(AL83="","",VLOOKUP(AL83,'12. Lists'!$B$36:$D$39,3,FALSE))</f>
        <v/>
      </c>
      <c r="AO83" s="100" t="str">
        <f t="shared" si="23"/>
        <v/>
      </c>
      <c r="AP83" s="102" t="str">
        <f>IF(AO83="","",VLOOKUP(AO83,'12. Lists'!$F$36:$H$38,2,FALSE))</f>
        <v/>
      </c>
      <c r="AQ83" s="101" t="str">
        <f>IF(AO83="","",VLOOKUP(AO83,'12. Lists'!$F$36:$H$38,3,FALSE))</f>
        <v/>
      </c>
      <c r="AR83" s="145" t="str">
        <f>IF(D83="","",VLOOKUP(F83,'11. Condition and Temporal'!$B$6:$J$101,9,FALSE))</f>
        <v/>
      </c>
      <c r="AS83" s="149" t="str">
        <f>IF(AR83="","",VLOOKUP(AR83,'12. Lists'!$I$47:$K$80,3,FALSE))</f>
        <v/>
      </c>
      <c r="AT83" s="175" t="str">
        <f>IF(D83="","",VLOOKUP(F83,'11. Condition and Temporal'!$B$6:$K$104,10,FALSE))</f>
        <v/>
      </c>
      <c r="AU83" s="149" t="str">
        <f>IF(AT83="","",VLOOKUP(AT83,'12. Lists'!$I$47:$K$80,3,FALSE))</f>
        <v/>
      </c>
      <c r="AV83" s="148" t="str">
        <f>IF(D83="","",VLOOKUP(F83,'10. All Habitats + Multipliers'!$C$4:$K$99,8,FALSE))</f>
        <v/>
      </c>
      <c r="AW83" s="146" t="str">
        <f>IF(AV83="","",VLOOKUP(AV83,'12. Lists'!$J$35:$K$38,2,FALSE))</f>
        <v/>
      </c>
      <c r="AX83" s="145" t="str">
        <f>IF(D83="","",VLOOKUP(D83,'11. Condition and Temporal'!$B$6:$K$101,4,FALSE))</f>
        <v/>
      </c>
      <c r="AY83" s="146" t="str">
        <f t="shared" si="55"/>
        <v/>
      </c>
      <c r="BA83" s="100">
        <v>16</v>
      </c>
      <c r="BB83" s="102" t="str">
        <f t="shared" si="42"/>
        <v/>
      </c>
      <c r="BC83" s="102" t="str">
        <f t="shared" si="43"/>
        <v/>
      </c>
      <c r="BD83" s="102" t="str">
        <f t="shared" si="44"/>
        <v/>
      </c>
      <c r="BE83" s="102" t="str">
        <f t="shared" si="45"/>
        <v/>
      </c>
      <c r="BF83" s="102" t="str">
        <f t="shared" si="46"/>
        <v/>
      </c>
      <c r="BG83" s="102" t="str">
        <f t="shared" si="47"/>
        <v/>
      </c>
      <c r="BH83" s="102" t="str">
        <f t="shared" si="48"/>
        <v/>
      </c>
      <c r="BI83" s="102" t="str">
        <f t="shared" si="49"/>
        <v/>
      </c>
      <c r="BJ83" s="102" t="str">
        <f t="shared" si="50"/>
        <v/>
      </c>
      <c r="BK83" s="102" t="str">
        <f t="shared" si="51"/>
        <v/>
      </c>
      <c r="BL83" s="102" t="str">
        <f t="shared" si="24"/>
        <v/>
      </c>
      <c r="BM83" s="102" t="str">
        <f t="shared" si="25"/>
        <v/>
      </c>
      <c r="BN83" s="102" t="str">
        <f t="shared" si="26"/>
        <v/>
      </c>
      <c r="BO83" s="102" t="str">
        <f t="shared" si="27"/>
        <v/>
      </c>
      <c r="BP83" s="102" t="str">
        <f t="shared" si="28"/>
        <v/>
      </c>
      <c r="BQ83" s="102" t="str">
        <f t="shared" si="29"/>
        <v/>
      </c>
      <c r="BR83" s="102" t="str">
        <f t="shared" si="30"/>
        <v/>
      </c>
      <c r="BS83" s="102" t="str">
        <f t="shared" si="31"/>
        <v/>
      </c>
      <c r="BT83" s="102" t="str">
        <f t="shared" si="32"/>
        <v/>
      </c>
      <c r="BU83" s="101" t="str">
        <f t="shared" si="33"/>
        <v/>
      </c>
      <c r="BV83" s="296" t="str">
        <f t="shared" si="52"/>
        <v/>
      </c>
      <c r="BW83" s="102" t="s">
        <v>207</v>
      </c>
      <c r="BX83" s="102">
        <f>BQ66</f>
        <v>0</v>
      </c>
    </row>
    <row r="84" spans="1:76" s="27" customFormat="1" ht="15.6">
      <c r="A84" s="94"/>
      <c r="B84" s="106">
        <v>17</v>
      </c>
      <c r="C84" s="150" t="str">
        <f t="shared" si="17"/>
        <v/>
      </c>
      <c r="D84" s="151" t="str">
        <f t="shared" si="18"/>
        <v/>
      </c>
      <c r="E84" s="259" t="str">
        <f t="shared" si="34"/>
        <v/>
      </c>
      <c r="F84" s="534"/>
      <c r="G84" s="535"/>
      <c r="H84" s="241" t="str">
        <f t="shared" si="35"/>
        <v/>
      </c>
      <c r="I84" s="227" t="str">
        <f t="shared" si="19"/>
        <v/>
      </c>
      <c r="J84" s="520" t="str">
        <f>IF(F84="","",VLOOKUP(F84,'11. Condition and Temporal'!$B$6:$F$101,5,FALSE))</f>
        <v/>
      </c>
      <c r="K84" s="521"/>
      <c r="L84" s="192" t="str">
        <f t="shared" si="36"/>
        <v/>
      </c>
      <c r="M84" s="512" t="str">
        <f t="shared" si="37"/>
        <v/>
      </c>
      <c r="N84" s="513"/>
      <c r="O84" s="79"/>
      <c r="P84" s="12"/>
      <c r="R84" s="568"/>
      <c r="U84" s="286" t="str">
        <f t="shared" si="38"/>
        <v/>
      </c>
      <c r="V84" s="100" t="str">
        <f t="shared" ref="V84:AC84" si="69">IF($D84="","",U27)</f>
        <v/>
      </c>
      <c r="W84" s="101" t="str">
        <f t="shared" si="69"/>
        <v/>
      </c>
      <c r="X84" s="100" t="str">
        <f t="shared" si="69"/>
        <v/>
      </c>
      <c r="Y84" s="101" t="str">
        <f t="shared" si="69"/>
        <v/>
      </c>
      <c r="Z84" s="100" t="str">
        <f t="shared" si="69"/>
        <v/>
      </c>
      <c r="AA84" s="102" t="str">
        <f t="shared" si="69"/>
        <v/>
      </c>
      <c r="AB84" s="101" t="str">
        <f t="shared" si="69"/>
        <v/>
      </c>
      <c r="AC84" s="100" t="str">
        <f t="shared" si="69"/>
        <v/>
      </c>
      <c r="AD84" s="147" t="str">
        <f t="shared" si="40"/>
        <v/>
      </c>
      <c r="AE84" s="146" t="str">
        <f t="shared" si="41"/>
        <v/>
      </c>
      <c r="AF84" s="288" t="str">
        <f t="shared" si="54"/>
        <v/>
      </c>
      <c r="AG84" s="291" t="str">
        <f t="shared" si="21"/>
        <v/>
      </c>
      <c r="AH84" s="145" t="str">
        <f>IF(D84="","",VLOOKUP(F84,'10. All Habitats + Multipliers'!$C$4:$K$99,5,FALSE))</f>
        <v/>
      </c>
      <c r="AI84" s="101" t="str">
        <f>IF(AH84="","",VLOOKUP(AH84,'12. Lists'!$B$47:$D$49,2,FALSE))</f>
        <v/>
      </c>
      <c r="AJ84" s="100" t="str">
        <f t="shared" si="22"/>
        <v/>
      </c>
      <c r="AK84" s="101" t="str">
        <f>IF(AJ84="","",VLOOKUP(AJ84,'12. Lists'!$F$47:$G$51,2,FALSE))</f>
        <v/>
      </c>
      <c r="AL84" s="145" t="str">
        <f>IF(D84="","",VLOOKUP(F84,'10. All Habitats + Multipliers'!$C$4:$K$99,9,FALSE))</f>
        <v/>
      </c>
      <c r="AM84" s="102" t="str">
        <f>IF(AL84="","",VLOOKUP(AL84,'12. Lists'!$B$36:$D$39,2,FALSE))</f>
        <v/>
      </c>
      <c r="AN84" s="101" t="str">
        <f>IF(AL84="","",VLOOKUP(AL84,'12. Lists'!$B$36:$D$39,3,FALSE))</f>
        <v/>
      </c>
      <c r="AO84" s="100" t="str">
        <f t="shared" si="23"/>
        <v/>
      </c>
      <c r="AP84" s="102" t="str">
        <f>IF(AO84="","",VLOOKUP(AO84,'12. Lists'!$F$36:$H$38,2,FALSE))</f>
        <v/>
      </c>
      <c r="AQ84" s="101" t="str">
        <f>IF(AO84="","",VLOOKUP(AO84,'12. Lists'!$F$36:$H$38,3,FALSE))</f>
        <v/>
      </c>
      <c r="AR84" s="145" t="str">
        <f>IF(D84="","",VLOOKUP(F84,'11. Condition and Temporal'!$B$6:$J$101,9,FALSE))</f>
        <v/>
      </c>
      <c r="AS84" s="149" t="str">
        <f>IF(AR84="","",VLOOKUP(AR84,'12. Lists'!$I$47:$K$80,3,FALSE))</f>
        <v/>
      </c>
      <c r="AT84" s="175" t="str">
        <f>IF(D84="","",VLOOKUP(F84,'11. Condition and Temporal'!$B$6:$K$104,10,FALSE))</f>
        <v/>
      </c>
      <c r="AU84" s="149" t="str">
        <f>IF(AT84="","",VLOOKUP(AT84,'12. Lists'!$I$47:$K$80,3,FALSE))</f>
        <v/>
      </c>
      <c r="AV84" s="148" t="str">
        <f>IF(D84="","",VLOOKUP(F84,'10. All Habitats + Multipliers'!$C$4:$K$99,8,FALSE))</f>
        <v/>
      </c>
      <c r="AW84" s="146" t="str">
        <f>IF(AV84="","",VLOOKUP(AV84,'12. Lists'!$J$35:$K$38,2,FALSE))</f>
        <v/>
      </c>
      <c r="AX84" s="145" t="str">
        <f>IF(D84="","",VLOOKUP(D84,'11. Condition and Temporal'!$B$6:$K$101,4,FALSE))</f>
        <v/>
      </c>
      <c r="AY84" s="146" t="str">
        <f t="shared" si="55"/>
        <v/>
      </c>
      <c r="BA84" s="100">
        <v>17</v>
      </c>
      <c r="BB84" s="102" t="str">
        <f t="shared" si="42"/>
        <v/>
      </c>
      <c r="BC84" s="102" t="str">
        <f t="shared" si="43"/>
        <v/>
      </c>
      <c r="BD84" s="102" t="str">
        <f t="shared" si="44"/>
        <v/>
      </c>
      <c r="BE84" s="102" t="str">
        <f t="shared" si="45"/>
        <v/>
      </c>
      <c r="BF84" s="102" t="str">
        <f t="shared" si="46"/>
        <v/>
      </c>
      <c r="BG84" s="102" t="str">
        <f t="shared" si="47"/>
        <v/>
      </c>
      <c r="BH84" s="102" t="str">
        <f t="shared" si="48"/>
        <v/>
      </c>
      <c r="BI84" s="102" t="str">
        <f t="shared" si="49"/>
        <v/>
      </c>
      <c r="BJ84" s="102" t="str">
        <f t="shared" si="50"/>
        <v/>
      </c>
      <c r="BK84" s="102" t="str">
        <f t="shared" si="51"/>
        <v/>
      </c>
      <c r="BL84" s="102" t="str">
        <f t="shared" si="24"/>
        <v/>
      </c>
      <c r="BM84" s="102" t="str">
        <f t="shared" si="25"/>
        <v/>
      </c>
      <c r="BN84" s="102" t="str">
        <f t="shared" si="26"/>
        <v/>
      </c>
      <c r="BO84" s="102" t="str">
        <f t="shared" si="27"/>
        <v/>
      </c>
      <c r="BP84" s="102" t="str">
        <f t="shared" si="28"/>
        <v/>
      </c>
      <c r="BQ84" s="102" t="str">
        <f t="shared" si="29"/>
        <v/>
      </c>
      <c r="BR84" s="102" t="str">
        <f t="shared" si="30"/>
        <v/>
      </c>
      <c r="BS84" s="102" t="str">
        <f t="shared" si="31"/>
        <v/>
      </c>
      <c r="BT84" s="102" t="str">
        <f t="shared" si="32"/>
        <v/>
      </c>
      <c r="BU84" s="101" t="str">
        <f t="shared" si="33"/>
        <v/>
      </c>
      <c r="BV84" s="296" t="str">
        <f t="shared" si="52"/>
        <v/>
      </c>
      <c r="BW84" s="102" t="s">
        <v>208</v>
      </c>
      <c r="BX84" s="102">
        <f>BR66</f>
        <v>0</v>
      </c>
    </row>
    <row r="85" spans="1:76" s="27" customFormat="1" ht="15.6">
      <c r="A85" s="94"/>
      <c r="B85" s="106">
        <v>18</v>
      </c>
      <c r="C85" s="150" t="str">
        <f t="shared" si="17"/>
        <v/>
      </c>
      <c r="D85" s="151" t="str">
        <f t="shared" si="18"/>
        <v/>
      </c>
      <c r="E85" s="259" t="str">
        <f t="shared" si="34"/>
        <v/>
      </c>
      <c r="F85" s="534"/>
      <c r="G85" s="535"/>
      <c r="H85" s="241" t="str">
        <f t="shared" si="35"/>
        <v/>
      </c>
      <c r="I85" s="227" t="str">
        <f t="shared" si="19"/>
        <v/>
      </c>
      <c r="J85" s="520" t="str">
        <f>IF(F85="","",VLOOKUP(F85,'11. Condition and Temporal'!$B$6:$F$101,5,FALSE))</f>
        <v/>
      </c>
      <c r="K85" s="521"/>
      <c r="L85" s="192" t="str">
        <f t="shared" si="36"/>
        <v/>
      </c>
      <c r="M85" s="512" t="str">
        <f t="shared" si="37"/>
        <v/>
      </c>
      <c r="N85" s="513"/>
      <c r="O85" s="79"/>
      <c r="P85" s="12"/>
      <c r="R85" s="568"/>
      <c r="U85" s="286" t="str">
        <f t="shared" si="38"/>
        <v/>
      </c>
      <c r="V85" s="100" t="str">
        <f t="shared" ref="V85:AC85" si="70">IF($D85="","",U28)</f>
        <v/>
      </c>
      <c r="W85" s="101" t="str">
        <f t="shared" si="70"/>
        <v/>
      </c>
      <c r="X85" s="100" t="str">
        <f t="shared" si="70"/>
        <v/>
      </c>
      <c r="Y85" s="101" t="str">
        <f t="shared" si="70"/>
        <v/>
      </c>
      <c r="Z85" s="100" t="str">
        <f t="shared" si="70"/>
        <v/>
      </c>
      <c r="AA85" s="102" t="str">
        <f t="shared" si="70"/>
        <v/>
      </c>
      <c r="AB85" s="101" t="str">
        <f t="shared" si="70"/>
        <v/>
      </c>
      <c r="AC85" s="100" t="str">
        <f t="shared" si="70"/>
        <v/>
      </c>
      <c r="AD85" s="147" t="str">
        <f t="shared" si="40"/>
        <v/>
      </c>
      <c r="AE85" s="146" t="str">
        <f t="shared" si="41"/>
        <v/>
      </c>
      <c r="AF85" s="288" t="str">
        <f t="shared" si="54"/>
        <v/>
      </c>
      <c r="AG85" s="291" t="str">
        <f t="shared" si="21"/>
        <v/>
      </c>
      <c r="AH85" s="145" t="str">
        <f>IF(D85="","",VLOOKUP(F85,'10. All Habitats + Multipliers'!$C$4:$K$99,5,FALSE))</f>
        <v/>
      </c>
      <c r="AI85" s="101" t="str">
        <f>IF(AH85="","",VLOOKUP(AH85,'12. Lists'!$B$47:$D$49,2,FALSE))</f>
        <v/>
      </c>
      <c r="AJ85" s="100" t="str">
        <f t="shared" si="22"/>
        <v/>
      </c>
      <c r="AK85" s="101" t="str">
        <f>IF(AJ85="","",VLOOKUP(AJ85,'12. Lists'!$F$47:$G$51,2,FALSE))</f>
        <v/>
      </c>
      <c r="AL85" s="145" t="str">
        <f>IF(D85="","",VLOOKUP(F85,'10. All Habitats + Multipliers'!$C$4:$K$99,9,FALSE))</f>
        <v/>
      </c>
      <c r="AM85" s="102" t="str">
        <f>IF(AL85="","",VLOOKUP(AL85,'12. Lists'!$B$36:$D$39,2,FALSE))</f>
        <v/>
      </c>
      <c r="AN85" s="101" t="str">
        <f>IF(AL85="","",VLOOKUP(AL85,'12. Lists'!$B$36:$D$39,3,FALSE))</f>
        <v/>
      </c>
      <c r="AO85" s="100" t="str">
        <f t="shared" si="23"/>
        <v/>
      </c>
      <c r="AP85" s="102" t="str">
        <f>IF(AO85="","",VLOOKUP(AO85,'12. Lists'!$F$36:$H$38,2,FALSE))</f>
        <v/>
      </c>
      <c r="AQ85" s="101" t="str">
        <f>IF(AO85="","",VLOOKUP(AO85,'12. Lists'!$F$36:$H$38,3,FALSE))</f>
        <v/>
      </c>
      <c r="AR85" s="145" t="str">
        <f>IF(D85="","",VLOOKUP(F85,'11. Condition and Temporal'!$B$6:$J$101,9,FALSE))</f>
        <v/>
      </c>
      <c r="AS85" s="149" t="str">
        <f>IF(AR85="","",VLOOKUP(AR85,'12. Lists'!$I$47:$K$80,3,FALSE))</f>
        <v/>
      </c>
      <c r="AT85" s="175" t="str">
        <f>IF(D85="","",VLOOKUP(F85,'11. Condition and Temporal'!$B$6:$K$104,10,FALSE))</f>
        <v/>
      </c>
      <c r="AU85" s="149" t="str">
        <f>IF(AT85="","",VLOOKUP(AT85,'12. Lists'!$I$47:$K$80,3,FALSE))</f>
        <v/>
      </c>
      <c r="AV85" s="148" t="str">
        <f>IF(D85="","",VLOOKUP(F85,'10. All Habitats + Multipliers'!$C$4:$K$99,8,FALSE))</f>
        <v/>
      </c>
      <c r="AW85" s="146" t="str">
        <f>IF(AV85="","",VLOOKUP(AV85,'12. Lists'!$J$35:$K$38,2,FALSE))</f>
        <v/>
      </c>
      <c r="AX85" s="145" t="str">
        <f>IF(D85="","",VLOOKUP(D85,'11. Condition and Temporal'!$B$6:$K$101,4,FALSE))</f>
        <v/>
      </c>
      <c r="AY85" s="146" t="str">
        <f t="shared" si="55"/>
        <v/>
      </c>
      <c r="BA85" s="100">
        <v>18</v>
      </c>
      <c r="BB85" s="102" t="str">
        <f t="shared" si="42"/>
        <v/>
      </c>
      <c r="BC85" s="102" t="str">
        <f t="shared" si="43"/>
        <v/>
      </c>
      <c r="BD85" s="102" t="str">
        <f t="shared" si="44"/>
        <v/>
      </c>
      <c r="BE85" s="102" t="str">
        <f t="shared" si="45"/>
        <v/>
      </c>
      <c r="BF85" s="102" t="str">
        <f t="shared" si="46"/>
        <v/>
      </c>
      <c r="BG85" s="102" t="str">
        <f t="shared" si="47"/>
        <v/>
      </c>
      <c r="BH85" s="102" t="str">
        <f t="shared" si="48"/>
        <v/>
      </c>
      <c r="BI85" s="102" t="str">
        <f t="shared" si="49"/>
        <v/>
      </c>
      <c r="BJ85" s="102" t="str">
        <f t="shared" si="50"/>
        <v/>
      </c>
      <c r="BK85" s="102" t="str">
        <f t="shared" si="51"/>
        <v/>
      </c>
      <c r="BL85" s="102" t="str">
        <f t="shared" si="24"/>
        <v/>
      </c>
      <c r="BM85" s="102" t="str">
        <f t="shared" si="25"/>
        <v/>
      </c>
      <c r="BN85" s="102" t="str">
        <f t="shared" si="26"/>
        <v/>
      </c>
      <c r="BO85" s="102" t="str">
        <f t="shared" si="27"/>
        <v/>
      </c>
      <c r="BP85" s="102" t="str">
        <f t="shared" si="28"/>
        <v/>
      </c>
      <c r="BQ85" s="102" t="str">
        <f t="shared" si="29"/>
        <v/>
      </c>
      <c r="BR85" s="102" t="str">
        <f t="shared" si="30"/>
        <v/>
      </c>
      <c r="BS85" s="102" t="str">
        <f t="shared" si="31"/>
        <v/>
      </c>
      <c r="BT85" s="102" t="str">
        <f t="shared" si="32"/>
        <v/>
      </c>
      <c r="BU85" s="101" t="str">
        <f t="shared" si="33"/>
        <v/>
      </c>
      <c r="BV85" s="296" t="str">
        <f t="shared" si="52"/>
        <v/>
      </c>
      <c r="BW85" s="102" t="s">
        <v>209</v>
      </c>
      <c r="BX85" s="102">
        <f>BS66</f>
        <v>0</v>
      </c>
    </row>
    <row r="86" spans="1:76" s="27" customFormat="1" ht="15.6">
      <c r="A86" s="94"/>
      <c r="B86" s="106">
        <v>19</v>
      </c>
      <c r="C86" s="150" t="str">
        <f t="shared" si="17"/>
        <v/>
      </c>
      <c r="D86" s="151" t="str">
        <f t="shared" si="18"/>
        <v/>
      </c>
      <c r="E86" s="259" t="str">
        <f t="shared" si="34"/>
        <v/>
      </c>
      <c r="F86" s="534"/>
      <c r="G86" s="535"/>
      <c r="H86" s="241" t="str">
        <f t="shared" si="35"/>
        <v/>
      </c>
      <c r="I86" s="227" t="str">
        <f t="shared" si="19"/>
        <v/>
      </c>
      <c r="J86" s="520" t="str">
        <f>IF(F86="","",VLOOKUP(F86,'11. Condition and Temporal'!$B$6:$F$101,5,FALSE))</f>
        <v/>
      </c>
      <c r="K86" s="521"/>
      <c r="L86" s="192" t="str">
        <f t="shared" si="36"/>
        <v/>
      </c>
      <c r="M86" s="512" t="str">
        <f t="shared" si="37"/>
        <v/>
      </c>
      <c r="N86" s="513"/>
      <c r="O86" s="79"/>
      <c r="P86" s="12"/>
      <c r="R86" s="568"/>
      <c r="U86" s="286" t="str">
        <f t="shared" si="38"/>
        <v/>
      </c>
      <c r="V86" s="100" t="str">
        <f t="shared" ref="V86:AC86" si="71">IF($D86="","",U29)</f>
        <v/>
      </c>
      <c r="W86" s="101" t="str">
        <f t="shared" si="71"/>
        <v/>
      </c>
      <c r="X86" s="100" t="str">
        <f t="shared" si="71"/>
        <v/>
      </c>
      <c r="Y86" s="101" t="str">
        <f t="shared" si="71"/>
        <v/>
      </c>
      <c r="Z86" s="100" t="str">
        <f t="shared" si="71"/>
        <v/>
      </c>
      <c r="AA86" s="102" t="str">
        <f t="shared" si="71"/>
        <v/>
      </c>
      <c r="AB86" s="101" t="str">
        <f t="shared" si="71"/>
        <v/>
      </c>
      <c r="AC86" s="100" t="str">
        <f t="shared" si="71"/>
        <v/>
      </c>
      <c r="AD86" s="147" t="str">
        <f t="shared" si="40"/>
        <v/>
      </c>
      <c r="AE86" s="146" t="str">
        <f t="shared" si="41"/>
        <v/>
      </c>
      <c r="AF86" s="288" t="str">
        <f t="shared" si="54"/>
        <v/>
      </c>
      <c r="AG86" s="291" t="str">
        <f t="shared" si="21"/>
        <v/>
      </c>
      <c r="AH86" s="145" t="str">
        <f>IF(D86="","",VLOOKUP(F86,'10. All Habitats + Multipliers'!$C$4:$K$99,5,FALSE))</f>
        <v/>
      </c>
      <c r="AI86" s="101" t="str">
        <f>IF(AH86="","",VLOOKUP(AH86,'12. Lists'!$B$47:$D$49,2,FALSE))</f>
        <v/>
      </c>
      <c r="AJ86" s="100" t="str">
        <f t="shared" si="22"/>
        <v/>
      </c>
      <c r="AK86" s="101" t="str">
        <f>IF(AJ86="","",VLOOKUP(AJ86,'12. Lists'!$F$47:$G$51,2,FALSE))</f>
        <v/>
      </c>
      <c r="AL86" s="145" t="str">
        <f>IF(D86="","",VLOOKUP(F86,'10. All Habitats + Multipliers'!$C$4:$K$99,9,FALSE))</f>
        <v/>
      </c>
      <c r="AM86" s="102" t="str">
        <f>IF(AL86="","",VLOOKUP(AL86,'12. Lists'!$B$36:$D$39,2,FALSE))</f>
        <v/>
      </c>
      <c r="AN86" s="101" t="str">
        <f>IF(AL86="","",VLOOKUP(AL86,'12. Lists'!$B$36:$D$39,3,FALSE))</f>
        <v/>
      </c>
      <c r="AO86" s="100" t="str">
        <f t="shared" si="23"/>
        <v/>
      </c>
      <c r="AP86" s="102" t="str">
        <f>IF(AO86="","",VLOOKUP(AO86,'12. Lists'!$F$36:$H$38,2,FALSE))</f>
        <v/>
      </c>
      <c r="AQ86" s="101" t="str">
        <f>IF(AO86="","",VLOOKUP(AO86,'12. Lists'!$F$36:$H$38,3,FALSE))</f>
        <v/>
      </c>
      <c r="AR86" s="145" t="str">
        <f>IF(D86="","",VLOOKUP(F86,'11. Condition and Temporal'!$B$6:$J$101,9,FALSE))</f>
        <v/>
      </c>
      <c r="AS86" s="149" t="str">
        <f>IF(AR86="","",VLOOKUP(AR86,'12. Lists'!$I$47:$K$80,3,FALSE))</f>
        <v/>
      </c>
      <c r="AT86" s="175" t="str">
        <f>IF(D86="","",VLOOKUP(F86,'11. Condition and Temporal'!$B$6:$K$104,10,FALSE))</f>
        <v/>
      </c>
      <c r="AU86" s="149" t="str">
        <f>IF(AT86="","",VLOOKUP(AT86,'12. Lists'!$I$47:$K$80,3,FALSE))</f>
        <v/>
      </c>
      <c r="AV86" s="148" t="str">
        <f>IF(D86="","",VLOOKUP(F86,'10. All Habitats + Multipliers'!$C$4:$K$99,8,FALSE))</f>
        <v/>
      </c>
      <c r="AW86" s="146" t="str">
        <f>IF(AV86="","",VLOOKUP(AV86,'12. Lists'!$J$35:$K$38,2,FALSE))</f>
        <v/>
      </c>
      <c r="AX86" s="145" t="str">
        <f>IF(D86="","",VLOOKUP(D86,'11. Condition and Temporal'!$B$6:$K$101,4,FALSE))</f>
        <v/>
      </c>
      <c r="AY86" s="146" t="str">
        <f t="shared" si="55"/>
        <v/>
      </c>
      <c r="BA86" s="100">
        <v>19</v>
      </c>
      <c r="BB86" s="102" t="str">
        <f t="shared" si="42"/>
        <v/>
      </c>
      <c r="BC86" s="102" t="str">
        <f t="shared" si="43"/>
        <v/>
      </c>
      <c r="BD86" s="102" t="str">
        <f t="shared" si="44"/>
        <v/>
      </c>
      <c r="BE86" s="102" t="str">
        <f t="shared" si="45"/>
        <v/>
      </c>
      <c r="BF86" s="102" t="str">
        <f t="shared" si="46"/>
        <v/>
      </c>
      <c r="BG86" s="102" t="str">
        <f t="shared" si="47"/>
        <v/>
      </c>
      <c r="BH86" s="102" t="str">
        <f t="shared" si="48"/>
        <v/>
      </c>
      <c r="BI86" s="102" t="str">
        <f t="shared" si="49"/>
        <v/>
      </c>
      <c r="BJ86" s="102" t="str">
        <f t="shared" si="50"/>
        <v/>
      </c>
      <c r="BK86" s="102" t="str">
        <f t="shared" si="51"/>
        <v/>
      </c>
      <c r="BL86" s="102" t="str">
        <f t="shared" si="24"/>
        <v/>
      </c>
      <c r="BM86" s="102" t="str">
        <f t="shared" si="25"/>
        <v/>
      </c>
      <c r="BN86" s="102" t="str">
        <f t="shared" si="26"/>
        <v/>
      </c>
      <c r="BO86" s="102" t="str">
        <f t="shared" si="27"/>
        <v/>
      </c>
      <c r="BP86" s="102" t="str">
        <f t="shared" si="28"/>
        <v/>
      </c>
      <c r="BQ86" s="102" t="str">
        <f t="shared" si="29"/>
        <v/>
      </c>
      <c r="BR86" s="102" t="str">
        <f t="shared" si="30"/>
        <v/>
      </c>
      <c r="BS86" s="102" t="str">
        <f t="shared" si="31"/>
        <v/>
      </c>
      <c r="BT86" s="102" t="str">
        <f t="shared" si="32"/>
        <v/>
      </c>
      <c r="BU86" s="101" t="str">
        <f t="shared" si="33"/>
        <v/>
      </c>
      <c r="BV86" s="296" t="str">
        <f t="shared" si="52"/>
        <v/>
      </c>
      <c r="BW86" s="102" t="s">
        <v>210</v>
      </c>
      <c r="BX86" s="102">
        <f>BT66</f>
        <v>0</v>
      </c>
    </row>
    <row r="87" spans="1:76" s="27" customFormat="1" ht="16.149999999999999" thickBot="1">
      <c r="A87" s="94"/>
      <c r="B87" s="130">
        <v>20</v>
      </c>
      <c r="C87" s="180" t="str">
        <f t="shared" si="17"/>
        <v/>
      </c>
      <c r="D87" s="181" t="str">
        <f t="shared" si="18"/>
        <v/>
      </c>
      <c r="E87" s="261" t="str">
        <f t="shared" si="34"/>
        <v/>
      </c>
      <c r="F87" s="538"/>
      <c r="G87" s="539"/>
      <c r="H87" s="241" t="str">
        <f t="shared" si="35"/>
        <v/>
      </c>
      <c r="I87" s="227" t="str">
        <f t="shared" si="19"/>
        <v/>
      </c>
      <c r="J87" s="520" t="str">
        <f>IF(F87="","",VLOOKUP(F87,'11. Condition and Temporal'!$B$6:$F$101,5,FALSE))</f>
        <v/>
      </c>
      <c r="K87" s="521"/>
      <c r="L87" s="192" t="str">
        <f t="shared" si="36"/>
        <v/>
      </c>
      <c r="M87" s="512" t="str">
        <f t="shared" si="37"/>
        <v/>
      </c>
      <c r="N87" s="513"/>
      <c r="O87" s="79"/>
      <c r="P87" s="12"/>
      <c r="R87" s="568"/>
      <c r="U87" s="287" t="str">
        <f t="shared" si="38"/>
        <v/>
      </c>
      <c r="V87" s="271" t="str">
        <f t="shared" ref="V87:AC87" si="72">IF($D87="","",U30)</f>
        <v/>
      </c>
      <c r="W87" s="272" t="str">
        <f t="shared" si="72"/>
        <v/>
      </c>
      <c r="X87" s="271" t="str">
        <f t="shared" si="72"/>
        <v/>
      </c>
      <c r="Y87" s="272" t="str">
        <f t="shared" si="72"/>
        <v/>
      </c>
      <c r="Z87" s="271" t="str">
        <f t="shared" si="72"/>
        <v/>
      </c>
      <c r="AA87" s="273" t="str">
        <f t="shared" si="72"/>
        <v/>
      </c>
      <c r="AB87" s="272" t="str">
        <f t="shared" si="72"/>
        <v/>
      </c>
      <c r="AC87" s="271" t="str">
        <f t="shared" si="72"/>
        <v/>
      </c>
      <c r="AD87" s="263" t="str">
        <f t="shared" si="40"/>
        <v/>
      </c>
      <c r="AE87" s="274" t="str">
        <f t="shared" si="41"/>
        <v/>
      </c>
      <c r="AF87" s="289" t="str">
        <f t="shared" si="54"/>
        <v/>
      </c>
      <c r="AG87" s="292" t="str">
        <f t="shared" si="21"/>
        <v/>
      </c>
      <c r="AH87" s="275" t="str">
        <f>IF(D87="","",VLOOKUP(F87,'10. All Habitats + Multipliers'!$C$4:$K$99,5,FALSE))</f>
        <v/>
      </c>
      <c r="AI87" s="272" t="str">
        <f>IF(AH87="","",VLOOKUP(AH87,'12. Lists'!$B$47:$D$49,2,FALSE))</f>
        <v/>
      </c>
      <c r="AJ87" s="271" t="str">
        <f t="shared" si="22"/>
        <v/>
      </c>
      <c r="AK87" s="272" t="str">
        <f>IF(AJ87="","",VLOOKUP(AJ87,'12. Lists'!$F$47:$G$51,2,FALSE))</f>
        <v/>
      </c>
      <c r="AL87" s="275" t="str">
        <f>IF(D87="","",VLOOKUP(F87,'10. All Habitats + Multipliers'!$C$4:$K$99,9,FALSE))</f>
        <v/>
      </c>
      <c r="AM87" s="273" t="str">
        <f>IF(AL87="","",VLOOKUP(AL87,'12. Lists'!$B$36:$D$39,2,FALSE))</f>
        <v/>
      </c>
      <c r="AN87" s="272" t="str">
        <f>IF(AL87="","",VLOOKUP(AL87,'12. Lists'!$B$36:$D$39,3,FALSE))</f>
        <v/>
      </c>
      <c r="AO87" s="271" t="str">
        <f t="shared" si="23"/>
        <v/>
      </c>
      <c r="AP87" s="273" t="str">
        <f>IF(AO87="","",VLOOKUP(AO87,'12. Lists'!$F$36:$H$38,2,FALSE))</f>
        <v/>
      </c>
      <c r="AQ87" s="272" t="str">
        <f>IF(AO87="","",VLOOKUP(AO87,'12. Lists'!$F$36:$H$38,3,FALSE))</f>
        <v/>
      </c>
      <c r="AR87" s="275" t="str">
        <f>IF(D87="","",VLOOKUP(F87,'11. Condition and Temporal'!$B$6:$J$101,9,FALSE))</f>
        <v/>
      </c>
      <c r="AS87" s="276" t="str">
        <f>IF(AR87="","",VLOOKUP(AR87,'12. Lists'!$I$47:$K$80,3,FALSE))</f>
        <v/>
      </c>
      <c r="AT87" s="277" t="str">
        <f>IF(D87="","",VLOOKUP(F87,'11. Condition and Temporal'!$B$6:$K$104,10,FALSE))</f>
        <v/>
      </c>
      <c r="AU87" s="276" t="str">
        <f>IF(AT87="","",VLOOKUP(AT87,'12. Lists'!$I$47:$K$80,3,FALSE))</f>
        <v/>
      </c>
      <c r="AV87" s="262" t="str">
        <f>IF(D87="","",VLOOKUP(F87,'10. All Habitats + Multipliers'!$C$4:$K$99,8,FALSE))</f>
        <v/>
      </c>
      <c r="AW87" s="274" t="str">
        <f>IF(AV87="","",VLOOKUP(AV87,'12. Lists'!$J$35:$K$38,2,FALSE))</f>
        <v/>
      </c>
      <c r="AX87" s="275" t="str">
        <f>IF(D87="","",VLOOKUP(D87,'11. Condition and Temporal'!$B$6:$K$101,4,FALSE))</f>
        <v/>
      </c>
      <c r="AY87" s="274" t="str">
        <f t="shared" si="55"/>
        <v/>
      </c>
      <c r="BA87" s="116">
        <v>20</v>
      </c>
      <c r="BB87" s="118" t="str">
        <f t="shared" si="42"/>
        <v/>
      </c>
      <c r="BC87" s="118" t="str">
        <f t="shared" si="43"/>
        <v/>
      </c>
      <c r="BD87" s="118" t="str">
        <f t="shared" si="44"/>
        <v/>
      </c>
      <c r="BE87" s="118" t="str">
        <f t="shared" si="45"/>
        <v/>
      </c>
      <c r="BF87" s="118" t="str">
        <f t="shared" si="46"/>
        <v/>
      </c>
      <c r="BG87" s="118" t="str">
        <f t="shared" si="47"/>
        <v/>
      </c>
      <c r="BH87" s="118" t="str">
        <f t="shared" si="48"/>
        <v/>
      </c>
      <c r="BI87" s="118" t="str">
        <f t="shared" si="49"/>
        <v/>
      </c>
      <c r="BJ87" s="118" t="str">
        <f t="shared" si="50"/>
        <v/>
      </c>
      <c r="BK87" s="118" t="str">
        <f t="shared" si="51"/>
        <v/>
      </c>
      <c r="BL87" s="118" t="str">
        <f t="shared" si="24"/>
        <v/>
      </c>
      <c r="BM87" s="118" t="str">
        <f t="shared" si="25"/>
        <v/>
      </c>
      <c r="BN87" s="118" t="str">
        <f t="shared" si="26"/>
        <v/>
      </c>
      <c r="BO87" s="118" t="str">
        <f t="shared" si="27"/>
        <v/>
      </c>
      <c r="BP87" s="118" t="str">
        <f t="shared" si="28"/>
        <v/>
      </c>
      <c r="BQ87" s="118" t="str">
        <f t="shared" si="29"/>
        <v/>
      </c>
      <c r="BR87" s="118" t="str">
        <f t="shared" si="30"/>
        <v/>
      </c>
      <c r="BS87" s="118" t="str">
        <f t="shared" si="31"/>
        <v/>
      </c>
      <c r="BT87" s="118" t="str">
        <f t="shared" si="32"/>
        <v/>
      </c>
      <c r="BU87" s="117" t="str">
        <f t="shared" si="33"/>
        <v/>
      </c>
      <c r="BV87" s="296" t="str">
        <f t="shared" si="52"/>
        <v/>
      </c>
      <c r="BW87" s="102" t="s">
        <v>211</v>
      </c>
      <c r="BX87" s="102">
        <f>BU66</f>
        <v>0</v>
      </c>
    </row>
    <row r="88" spans="1:76" s="27" customFormat="1" ht="29.45" thickBot="1">
      <c r="A88" s="94"/>
      <c r="B88" s="131" t="s">
        <v>120</v>
      </c>
      <c r="C88" s="264" t="s">
        <v>117</v>
      </c>
      <c r="D88" s="267" t="s">
        <v>212</v>
      </c>
      <c r="E88" s="111" t="str">
        <f t="shared" si="34"/>
        <v>Condition</v>
      </c>
      <c r="F88" s="536" t="s">
        <v>121</v>
      </c>
      <c r="G88" s="537"/>
      <c r="H88" s="269" t="str">
        <f t="shared" ref="H88" si="73">IF(F31="","",F31)</f>
        <v>Area not in local strategy</v>
      </c>
      <c r="I88" s="270">
        <f t="shared" si="19"/>
        <v>0</v>
      </c>
      <c r="J88" s="689" t="str">
        <f>IF(F88="","",VLOOKUP(F88,'11. Condition and Temporal'!$B$6:$F$101,5,FALSE))</f>
        <v>Good</v>
      </c>
      <c r="K88" s="690"/>
      <c r="L88" s="268">
        <f>IF(F88="","",((((I88*AI88*AK88)-(I88*W88*Y88))*(AW88*AS88))+(I88*W88*Y88))*(AN88*AQ88)/10000)</f>
        <v>0</v>
      </c>
      <c r="M88" s="524">
        <f t="shared" ref="M88" si="74">L88-AE88</f>
        <v>0</v>
      </c>
      <c r="N88" s="525"/>
      <c r="O88" s="80"/>
      <c r="P88" s="14"/>
      <c r="R88" s="568"/>
      <c r="U88" s="278">
        <f t="shared" si="38"/>
        <v>0</v>
      </c>
      <c r="V88" s="279" t="str">
        <f t="shared" ref="V88" si="75">IF($D88="","",U31)</f>
        <v>Medium</v>
      </c>
      <c r="W88" s="280">
        <f t="shared" ref="W88" si="76">IF($D88="","",V31)</f>
        <v>4</v>
      </c>
      <c r="X88" s="279" t="str">
        <f t="shared" ref="X88" si="77">IF($D88="","",W31)</f>
        <v>Moderate</v>
      </c>
      <c r="Y88" s="280">
        <f t="shared" ref="Y88" si="78">IF($D88="","",X31)</f>
        <v>2</v>
      </c>
      <c r="Z88" s="279" t="str">
        <f t="shared" ref="Z88" si="79">IF($D88="","",Y31)</f>
        <v>Low</v>
      </c>
      <c r="AA88" s="281" t="str">
        <f t="shared" ref="AA88" si="80">IF($D88="","",Z31)</f>
        <v>Unconnected habitat</v>
      </c>
      <c r="AB88" s="280">
        <f t="shared" ref="AB88" si="81">IF($D88="","",AA31)</f>
        <v>1</v>
      </c>
      <c r="AC88" s="279" t="str">
        <f t="shared" ref="AC88" si="82">IF($D88="","",AB31)</f>
        <v>Area not in local strategy</v>
      </c>
      <c r="AD88" s="281">
        <f t="shared" si="40"/>
        <v>1</v>
      </c>
      <c r="AE88" s="280">
        <f t="shared" si="41"/>
        <v>0</v>
      </c>
      <c r="AF88" s="290" t="str">
        <f t="shared" ref="AF88" si="83">IF(AE88="","",IF(AI88&lt;W88,"Not Acceptable","Acceptable"))</f>
        <v>Acceptable</v>
      </c>
      <c r="AG88" s="278">
        <f t="shared" ref="AG88" si="84">IF(D88="","",I88)</f>
        <v>0</v>
      </c>
      <c r="AH88" s="279" t="str">
        <f>IF(D88="","",VLOOKUP(F88,'10. All Habitats + Multipliers'!$C$4:$K$99,5,FALSE))</f>
        <v>Medium</v>
      </c>
      <c r="AI88" s="280">
        <f>IF(AH88="","",VLOOKUP(AH88,'12. Lists'!$B$47:$D$49,2,FALSE))</f>
        <v>4</v>
      </c>
      <c r="AJ88" s="279" t="str">
        <f t="shared" ref="AJ88" si="85">IF(D88="","",J88)</f>
        <v>Good</v>
      </c>
      <c r="AK88" s="280">
        <f>IF(AJ88="","",VLOOKUP(AJ88,'12. Lists'!$F$47:$G$51,2,FALSE))</f>
        <v>3</v>
      </c>
      <c r="AL88" s="279" t="str">
        <f>IF(D88="","",VLOOKUP(F88,'10. All Habitats + Multipliers'!$C$4:$K$99,9,FALSE))</f>
        <v>Low</v>
      </c>
      <c r="AM88" s="281" t="str">
        <f>IF(AL88="","",VLOOKUP(AL88,'12. Lists'!$B$36:$D$39,2,FALSE))</f>
        <v>Unconnected habitat</v>
      </c>
      <c r="AN88" s="280">
        <f>IF(AL88="","",VLOOKUP(AL88,'12. Lists'!$B$36:$D$39,3,FALSE))</f>
        <v>1</v>
      </c>
      <c r="AO88" s="279" t="str">
        <f t="shared" ref="AO88" si="86">IF(H88="","",H88)</f>
        <v>Area not in local strategy</v>
      </c>
      <c r="AP88" s="281" t="str">
        <f>IF(AO88="","",VLOOKUP(AO88,'12. Lists'!$F$36:$H$38,2,FALSE))</f>
        <v>Low Strategic Significance</v>
      </c>
      <c r="AQ88" s="280">
        <f>IF(AO88="","",VLOOKUP(AO88,'12. Lists'!$F$36:$H$38,3,FALSE))</f>
        <v>1</v>
      </c>
      <c r="AR88" s="279">
        <f>IF(D88="","",VLOOKUP(F88,'11. Condition and Temporal'!$B$6:$J$101,9,FALSE))</f>
        <v>16</v>
      </c>
      <c r="AS88" s="283">
        <f>IF(AR88="","",VLOOKUP(AR88,'12. Lists'!$I$47:$K$80,3,FALSE))</f>
        <v>0.56550573479999999</v>
      </c>
      <c r="AT88" s="284" t="str">
        <f>IF(D88="","",VLOOKUP(F88,'11. Condition and Temporal'!$B$6:$K$104,10,FALSE))</f>
        <v>Not Possible</v>
      </c>
      <c r="AU88" s="283" t="str">
        <f>IF(AT88="","",VLOOKUP(AT88,'12. Lists'!$I$47:$K$80,3,FALSE))</f>
        <v>N/A</v>
      </c>
      <c r="AV88" s="282" t="str">
        <f>IF(D88="","",VLOOKUP(F88,'10. All Habitats + Multipliers'!$C$4:$K$99,8,FALSE))</f>
        <v>Low</v>
      </c>
      <c r="AW88" s="280">
        <f>IF(AV88="","",VLOOKUP(AV88,'12. Lists'!$J$35:$K$38,2,FALSE))</f>
        <v>1</v>
      </c>
      <c r="AX88" s="279" t="str">
        <f>IF(D88="","",VLOOKUP(D88,'11. Condition and Temporal'!$B$6:$K$101,4,FALSE))</f>
        <v>Urban Tree</v>
      </c>
      <c r="AY88" s="280" t="str">
        <f>IF(F88="","",IF(D88=F88,"Condition","Distinctivness"))</f>
        <v>Condition</v>
      </c>
    </row>
    <row r="89" spans="1:76" s="27" customFormat="1" ht="15" thickBot="1">
      <c r="H89" s="285" t="s">
        <v>123</v>
      </c>
      <c r="I89" s="367">
        <f>SUM(I68:I87)</f>
        <v>0</v>
      </c>
      <c r="J89" s="374"/>
      <c r="K89" s="369"/>
      <c r="L89" s="207">
        <f>SUM(L68:L88)</f>
        <v>0</v>
      </c>
      <c r="M89" s="526">
        <f>SUM(M68:N88)</f>
        <v>0</v>
      </c>
      <c r="N89" s="527"/>
      <c r="R89" s="568"/>
    </row>
    <row r="90" spans="1:76" s="27" customFormat="1">
      <c r="C90" s="28"/>
      <c r="R90" s="568"/>
    </row>
    <row r="91" spans="1:76" s="27" customFormat="1">
      <c r="R91" s="568"/>
    </row>
    <row r="92" spans="1:76" s="27" customFormat="1" ht="21">
      <c r="B92" s="62" t="s">
        <v>213</v>
      </c>
      <c r="D92" s="93"/>
      <c r="R92" s="568"/>
    </row>
    <row r="93" spans="1:76" s="27" customFormat="1" ht="15" thickBot="1">
      <c r="R93" s="568"/>
    </row>
    <row r="94" spans="1:76" s="27" customFormat="1" ht="15.6" customHeight="1">
      <c r="B94" s="578" t="s">
        <v>214</v>
      </c>
      <c r="C94" s="579"/>
      <c r="D94" s="685" t="s">
        <v>215</v>
      </c>
      <c r="E94" s="530" t="s">
        <v>216</v>
      </c>
      <c r="F94" s="531"/>
      <c r="G94" s="693" t="s">
        <v>217</v>
      </c>
      <c r="H94" s="691" t="s">
        <v>218</v>
      </c>
      <c r="I94" s="569" t="s">
        <v>219</v>
      </c>
      <c r="J94" s="570"/>
      <c r="K94" s="570"/>
      <c r="L94" s="570"/>
      <c r="M94" s="570"/>
      <c r="N94" s="570"/>
      <c r="O94" s="570"/>
      <c r="P94" s="571"/>
      <c r="R94" s="568"/>
    </row>
    <row r="95" spans="1:76" s="27" customFormat="1" ht="31.9" thickBot="1">
      <c r="B95" s="580"/>
      <c r="C95" s="581"/>
      <c r="D95" s="686"/>
      <c r="E95" s="532"/>
      <c r="F95" s="533"/>
      <c r="G95" s="694"/>
      <c r="H95" s="692"/>
      <c r="I95" s="518" t="s">
        <v>220</v>
      </c>
      <c r="J95" s="519"/>
      <c r="K95" s="519"/>
      <c r="L95" s="522" t="s">
        <v>221</v>
      </c>
      <c r="M95" s="523"/>
      <c r="N95" s="518"/>
      <c r="O95" s="316" t="s">
        <v>222</v>
      </c>
      <c r="P95" s="95" t="s">
        <v>223</v>
      </c>
      <c r="R95" s="568" t="s">
        <v>73</v>
      </c>
    </row>
    <row r="96" spans="1:76" s="27" customFormat="1" ht="24.6" customHeight="1">
      <c r="B96" s="508" t="s">
        <v>224</v>
      </c>
      <c r="C96" s="590"/>
      <c r="D96" s="219"/>
      <c r="E96" s="529"/>
      <c r="F96" s="529"/>
      <c r="G96" s="212"/>
      <c r="H96" s="357">
        <v>0</v>
      </c>
      <c r="I96" s="516">
        <f>D96*'12. Lists'!P47</f>
        <v>0</v>
      </c>
      <c r="J96" s="517"/>
      <c r="K96" s="517"/>
      <c r="L96" s="517">
        <f>(E96*'12. Lists'!P47)</f>
        <v>0</v>
      </c>
      <c r="M96" s="517"/>
      <c r="N96" s="517"/>
      <c r="O96" s="352">
        <f>G96*'12. Lists'!P47</f>
        <v>0</v>
      </c>
      <c r="P96" s="353">
        <f>H96*'12. Lists'!P47</f>
        <v>0</v>
      </c>
      <c r="R96" s="568"/>
    </row>
    <row r="97" spans="1:18" s="27" customFormat="1" ht="24.6" customHeight="1">
      <c r="B97" s="588" t="s">
        <v>225</v>
      </c>
      <c r="C97" s="589"/>
      <c r="D97" s="358"/>
      <c r="E97" s="528"/>
      <c r="F97" s="528"/>
      <c r="G97" s="214"/>
      <c r="H97" s="359">
        <v>0</v>
      </c>
      <c r="I97" s="514">
        <f>D97*'12. Lists'!P48</f>
        <v>0</v>
      </c>
      <c r="J97" s="515"/>
      <c r="K97" s="515"/>
      <c r="L97" s="517">
        <f>(E97*'12. Lists'!P48)</f>
        <v>0</v>
      </c>
      <c r="M97" s="517"/>
      <c r="N97" s="517"/>
      <c r="O97" s="354">
        <f>G97*'12. Lists'!P48</f>
        <v>0</v>
      </c>
      <c r="P97" s="355">
        <f>H97*'12. Lists'!P48</f>
        <v>0</v>
      </c>
      <c r="R97" s="568"/>
    </row>
    <row r="98" spans="1:18" s="27" customFormat="1" ht="24.6" customHeight="1">
      <c r="B98" s="588" t="s">
        <v>226</v>
      </c>
      <c r="C98" s="589"/>
      <c r="D98" s="358"/>
      <c r="E98" s="528"/>
      <c r="F98" s="528"/>
      <c r="G98" s="214"/>
      <c r="H98" s="359">
        <v>0</v>
      </c>
      <c r="I98" s="514">
        <f>D98*'12. Lists'!P49</f>
        <v>0</v>
      </c>
      <c r="J98" s="515"/>
      <c r="K98" s="515"/>
      <c r="L98" s="517">
        <f>(E98*'12. Lists'!P49)</f>
        <v>0</v>
      </c>
      <c r="M98" s="517"/>
      <c r="N98" s="517"/>
      <c r="O98" s="354">
        <f>G98*'12. Lists'!P49</f>
        <v>0</v>
      </c>
      <c r="P98" s="355">
        <f>H98*'12. Lists'!P49</f>
        <v>0</v>
      </c>
      <c r="R98" s="568"/>
    </row>
    <row r="99" spans="1:18" s="27" customFormat="1" ht="24.6" customHeight="1" thickBot="1">
      <c r="B99" s="501" t="s">
        <v>227</v>
      </c>
      <c r="C99" s="582"/>
      <c r="D99" s="360">
        <f>SUM(D96:D98)</f>
        <v>0</v>
      </c>
      <c r="E99" s="547">
        <f>SUM(E96:E98)</f>
        <v>0</v>
      </c>
      <c r="F99" s="548"/>
      <c r="G99" s="203">
        <f>SUM(G96:G98)</f>
        <v>0</v>
      </c>
      <c r="H99" s="356">
        <f>SUM(H96:H98)</f>
        <v>0</v>
      </c>
      <c r="I99" s="548">
        <f>SUM(I96:I98)</f>
        <v>0</v>
      </c>
      <c r="J99" s="560"/>
      <c r="K99" s="560"/>
      <c r="L99" s="560">
        <f>SUM(K96:M98)</f>
        <v>0</v>
      </c>
      <c r="M99" s="560"/>
      <c r="N99" s="560"/>
      <c r="O99" s="203">
        <f>SUM(O96:O98)</f>
        <v>0</v>
      </c>
      <c r="P99" s="356">
        <f>SUM(P96:P98)</f>
        <v>0</v>
      </c>
      <c r="R99" s="568"/>
    </row>
    <row r="100" spans="1:18" s="27" customFormat="1" ht="19.149999999999999" customHeight="1">
      <c r="R100" s="568"/>
    </row>
    <row r="101" spans="1:18" s="27" customFormat="1">
      <c r="R101" s="568"/>
    </row>
    <row r="102" spans="1:18" s="27" customFormat="1">
      <c r="A102" s="572" t="s">
        <v>228</v>
      </c>
      <c r="B102" s="572"/>
      <c r="C102" s="572"/>
      <c r="D102" s="572"/>
      <c r="E102" s="572"/>
      <c r="F102" s="572"/>
      <c r="G102" s="572"/>
      <c r="H102" s="572"/>
      <c r="I102" s="572"/>
      <c r="J102" s="572"/>
      <c r="K102" s="572"/>
      <c r="L102" s="572"/>
      <c r="M102" s="572"/>
      <c r="N102" s="572"/>
      <c r="O102" s="572"/>
      <c r="P102" s="572"/>
      <c r="Q102" s="572"/>
      <c r="R102" s="568"/>
    </row>
    <row r="103" spans="1:18" s="27" customFormat="1">
      <c r="A103" s="572"/>
      <c r="B103" s="572"/>
      <c r="C103" s="572"/>
      <c r="D103" s="572"/>
      <c r="E103" s="572"/>
      <c r="F103" s="572"/>
      <c r="G103" s="572"/>
      <c r="H103" s="572"/>
      <c r="I103" s="572"/>
      <c r="J103" s="572"/>
      <c r="K103" s="572"/>
      <c r="L103" s="572"/>
      <c r="M103" s="572"/>
      <c r="N103" s="572"/>
      <c r="O103" s="572"/>
      <c r="P103" s="572"/>
      <c r="Q103" s="572"/>
      <c r="R103" s="568"/>
    </row>
    <row r="104" spans="1:18" s="27" customFormat="1">
      <c r="A104" s="572"/>
      <c r="B104" s="572"/>
      <c r="C104" s="572"/>
      <c r="D104" s="572"/>
      <c r="E104" s="572"/>
      <c r="F104" s="572"/>
      <c r="G104" s="572"/>
      <c r="H104" s="572"/>
      <c r="I104" s="572"/>
      <c r="J104" s="572"/>
      <c r="K104" s="572"/>
      <c r="L104" s="572"/>
      <c r="M104" s="572"/>
      <c r="N104" s="572"/>
      <c r="O104" s="572"/>
      <c r="P104" s="572"/>
      <c r="Q104" s="572"/>
      <c r="R104" s="568"/>
    </row>
    <row r="105" spans="1:18" s="27" customFormat="1">
      <c r="R105" s="568"/>
    </row>
    <row r="106" spans="1:18" s="27" customFormat="1" ht="21">
      <c r="B106" s="62" t="s">
        <v>229</v>
      </c>
      <c r="D106" s="28"/>
      <c r="E106" s="28"/>
      <c r="F106" s="28"/>
      <c r="G106" s="28"/>
      <c r="R106" s="568"/>
    </row>
    <row r="107" spans="1:18" s="27" customFormat="1" ht="15" thickBot="1">
      <c r="R107" s="568"/>
    </row>
    <row r="108" spans="1:18" s="27" customFormat="1" ht="36.6" customHeight="1">
      <c r="B108" s="585" t="s">
        <v>230</v>
      </c>
      <c r="C108" s="586"/>
      <c r="D108" s="587"/>
      <c r="E108" s="566" t="str">
        <f>IF(SUM(J114:J133)&gt;0,"Error - Trading Rules Not Satisfied - Insufficent Medium Distinctivness Units Created","Trading Rules Satisfied")</f>
        <v>Trading Rules Satisfied</v>
      </c>
      <c r="F108" s="566"/>
      <c r="G108" s="566"/>
      <c r="H108" s="566"/>
      <c r="I108" s="567"/>
      <c r="J108" s="230">
        <f>IFERROR(FIND("Error",E108),0)</f>
        <v>0</v>
      </c>
      <c r="R108" s="568"/>
    </row>
    <row r="109" spans="1:18" s="27" customFormat="1" ht="36" customHeight="1" thickBot="1">
      <c r="B109" s="573" t="s">
        <v>231</v>
      </c>
      <c r="C109" s="574"/>
      <c r="D109" s="575"/>
      <c r="E109" s="564" t="str">
        <f>IF(SUM(J136:J138)&gt;0,"Error - Trading Rules Not Satisfied - Insufficent Units Created Within Habitat Groups","Trading Rules Satisfied")</f>
        <v>Trading Rules Satisfied</v>
      </c>
      <c r="F109" s="564"/>
      <c r="G109" s="564"/>
      <c r="H109" s="564"/>
      <c r="I109" s="565"/>
      <c r="J109" s="230">
        <f>IFERROR(FIND("Error",E109),0)</f>
        <v>0</v>
      </c>
      <c r="R109" s="568"/>
    </row>
    <row r="110" spans="1:18" s="27" customFormat="1">
      <c r="R110" s="568"/>
    </row>
    <row r="111" spans="1:18" s="27" customFormat="1" ht="21">
      <c r="B111" s="62" t="s">
        <v>232</v>
      </c>
      <c r="R111" s="568"/>
    </row>
    <row r="112" spans="1:18" s="27" customFormat="1" ht="15" thickBot="1">
      <c r="R112" s="568"/>
    </row>
    <row r="113" spans="2:18" s="27" customFormat="1" ht="36.6" customHeight="1">
      <c r="B113" s="625" t="s">
        <v>233</v>
      </c>
      <c r="C113" s="626"/>
      <c r="D113" s="626"/>
      <c r="E113" s="350" t="s">
        <v>234</v>
      </c>
      <c r="F113" s="350" t="s">
        <v>235</v>
      </c>
      <c r="G113" s="350" t="s">
        <v>236</v>
      </c>
      <c r="H113" s="350" t="s">
        <v>237</v>
      </c>
      <c r="I113" s="154" t="s">
        <v>238</v>
      </c>
      <c r="R113" s="568"/>
    </row>
    <row r="114" spans="2:18" s="27" customFormat="1" ht="15.6" customHeight="1">
      <c r="B114" s="627" t="s">
        <v>239</v>
      </c>
      <c r="C114" s="628"/>
      <c r="D114" s="629"/>
      <c r="E114" s="155" t="s">
        <v>240</v>
      </c>
      <c r="F114" s="156">
        <f>SUMIFS($L$11:$L$30,$C$11:$C$30,$B114,$U$11:$U$30,$E114)</f>
        <v>0</v>
      </c>
      <c r="G114" s="156">
        <f>SUMIFS($L$40:$L$59,$C$40:$C$59,$B114,$U$40:$U$59,$E114)+SUMIFS($L$68:$L$87,$C$68:$C$87,B114,$AH$68:$AH$87,E114)+SUMIFS($AE$11:$AE$31,$C$11:$C$31,B114,$U$11:$U$31,E114)</f>
        <v>0</v>
      </c>
      <c r="H114" s="156">
        <f>G114-F114</f>
        <v>0</v>
      </c>
      <c r="I114" s="157" t="s">
        <v>241</v>
      </c>
      <c r="J114" s="230">
        <f>IF(I114="No",1,0)</f>
        <v>0</v>
      </c>
      <c r="R114" s="568"/>
    </row>
    <row r="115" spans="2:18" s="27" customFormat="1" ht="15.6" customHeight="1">
      <c r="B115" s="630"/>
      <c r="C115" s="631"/>
      <c r="D115" s="632"/>
      <c r="E115" s="158" t="s">
        <v>242</v>
      </c>
      <c r="F115" s="156">
        <f>SUMIFS($L$11:$L$30,$C$11:$C$30,$B114,$U$11:$U$30,$E115)</f>
        <v>0</v>
      </c>
      <c r="G115" s="156">
        <f>SUMIFS($L$40:$L$59,$C$40:$C$59,$B114,$U$40:$U$59,$E115)+SUMIFS($L$68:$L$87,$C$68:$C$87,B114,$AH$68:$AH$87,E115)+SUMIFS($AE$11:$AE$31,$C$11:$C$31,B114,$U$11:$U$31,E115)</f>
        <v>0</v>
      </c>
      <c r="H115" s="156">
        <f>G115-F115</f>
        <v>0</v>
      </c>
      <c r="I115" s="159" t="str">
        <f>IF(F115=0,"N/A",IF(H115&lt;0,"No","Yes"))</f>
        <v>N/A</v>
      </c>
      <c r="J115" s="230">
        <f t="shared" ref="J115:J138" si="87">IF(I115="No",1,0)</f>
        <v>0</v>
      </c>
      <c r="R115" s="568"/>
    </row>
    <row r="116" spans="2:18" s="27" customFormat="1" ht="15.6" customHeight="1">
      <c r="B116" s="627" t="s">
        <v>112</v>
      </c>
      <c r="C116" s="628"/>
      <c r="D116" s="629"/>
      <c r="E116" s="155" t="s">
        <v>240</v>
      </c>
      <c r="F116" s="156">
        <f>SUMIFS($L$11:$L$30,$C$11:$C$30,$B116,$U$11:$U$30,$E116)</f>
        <v>0.33579999999999993</v>
      </c>
      <c r="G116" s="156">
        <f>SUMIFS($L$40:$L$59,$C$40:$C$59,$B116,$U$40:$U$59,$E116)+SUMIFS($L$68:$L$87,$C$68:$C$87,B116,$AH$68:$AH$87,E116)+SUMIFS($AE$11:$AE$31,$C$11:$C$31,B116,$U$11:$U$31,E116)</f>
        <v>0</v>
      </c>
      <c r="H116" s="156">
        <f>G116-F116</f>
        <v>-0.33579999999999993</v>
      </c>
      <c r="I116" s="157" t="s">
        <v>241</v>
      </c>
      <c r="J116" s="230">
        <f t="shared" si="87"/>
        <v>0</v>
      </c>
      <c r="R116" s="568"/>
    </row>
    <row r="117" spans="2:18" s="27" customFormat="1" ht="15.6" customHeight="1">
      <c r="B117" s="630"/>
      <c r="C117" s="631"/>
      <c r="D117" s="632"/>
      <c r="E117" s="158" t="s">
        <v>242</v>
      </c>
      <c r="F117" s="156">
        <f>SUMIFS($L$11:$L$30,$C$11:$C$30,$B116,$U$11:$U$30,$E117)</f>
        <v>0</v>
      </c>
      <c r="G117" s="156">
        <f>SUMIFS($L$40:$L$59,$C$40:$C$59,$B116,$U$40:$U$59,$E117)+SUMIFS($L$68:$L$87,$C$68:$C$87,B116,$AH$68:$AH$87,E117)+SUMIFS($AE$11:$AE$31,$C$11:$C$31,B116,$U$11:$U$31,E117)</f>
        <v>0.19324048354255199</v>
      </c>
      <c r="H117" s="156">
        <f t="shared" ref="H117:H131" si="88">G117-F117</f>
        <v>0.19324048354255199</v>
      </c>
      <c r="I117" s="159" t="str">
        <f>IF(F117=0,"N/A",IF(H117&lt;0,"No","Yes"))</f>
        <v>N/A</v>
      </c>
      <c r="J117" s="230">
        <f t="shared" si="87"/>
        <v>0</v>
      </c>
      <c r="R117" s="568"/>
    </row>
    <row r="118" spans="2:18" s="27" customFormat="1" ht="15.6" customHeight="1">
      <c r="B118" s="627" t="s">
        <v>115</v>
      </c>
      <c r="C118" s="628"/>
      <c r="D118" s="629"/>
      <c r="E118" s="155" t="s">
        <v>240</v>
      </c>
      <c r="F118" s="156">
        <f>SUMIFS($L$11:$L$30,$C$11:$C$30,$B118,$U$11:$U$30,$E118)</f>
        <v>0</v>
      </c>
      <c r="G118" s="156">
        <f>SUMIFS($L$40:$L$59,$C$40:$C$59,$B118,$U$40:$U$59,$E118)+SUMIFS($L$68:$L$87,$C$68:$C$87,B118,$AH$68:$AH$87,E118)+SUMIFS($AE$11:$AE$31,$C$11:$C$31,B118,$U$11:$U$31,E118)</f>
        <v>0</v>
      </c>
      <c r="H118" s="156">
        <f t="shared" si="88"/>
        <v>0</v>
      </c>
      <c r="I118" s="157" t="s">
        <v>241</v>
      </c>
      <c r="J118" s="230">
        <f t="shared" si="87"/>
        <v>0</v>
      </c>
      <c r="R118" s="568"/>
    </row>
    <row r="119" spans="2:18" s="27" customFormat="1" ht="15.6" customHeight="1">
      <c r="B119" s="630"/>
      <c r="C119" s="631"/>
      <c r="D119" s="632"/>
      <c r="E119" s="158" t="s">
        <v>242</v>
      </c>
      <c r="F119" s="156">
        <f>SUMIFS($L$11:$L$30,$C$11:$C$30,$B118,$U$11:$U$30,$E119)</f>
        <v>0.13983999999999999</v>
      </c>
      <c r="G119" s="156">
        <f>SUMIFS($L$40:$L$59,$C$40:$C$59,$B118,$U$40:$U$59,$E119)+SUMIFS($L$68:$L$87,$C$68:$C$87,B118,$AH$68:$AH$87,E119)+SUMIFS($AE$11:$AE$31,$C$11:$C$31,B118,$U$11:$U$31,E119)</f>
        <v>0.33308048354255199</v>
      </c>
      <c r="H119" s="156">
        <f t="shared" si="88"/>
        <v>0.19324048354255199</v>
      </c>
      <c r="I119" s="159" t="str">
        <f t="shared" ref="I119" si="89">IF(F119=0,"N/A",IF(H119&lt;0,"No","Yes"))</f>
        <v>Yes</v>
      </c>
      <c r="J119" s="230">
        <f t="shared" si="87"/>
        <v>0</v>
      </c>
      <c r="R119" s="568"/>
    </row>
    <row r="120" spans="2:18" s="27" customFormat="1" ht="15.6" customHeight="1">
      <c r="B120" s="627" t="s">
        <v>243</v>
      </c>
      <c r="C120" s="628"/>
      <c r="D120" s="629"/>
      <c r="E120" s="155" t="s">
        <v>240</v>
      </c>
      <c r="F120" s="156">
        <f>SUMIFS($L$11:$L$30,$C$11:$C$30,$B120,$U$11:$U$30,$E120)</f>
        <v>0</v>
      </c>
      <c r="G120" s="156">
        <f>SUMIFS($L$40:$L$59,$C$40:$C$59,$B120,$U$40:$U$59,$E120)+SUMIFS($L$68:$L$87,$C$68:$C$87,B120,$AH$68:$AH$87,E120)+SUMIFS($AE$11:$AE$31,$C$11:$C$31,B120,$U$11:$U$31,E120)</f>
        <v>0</v>
      </c>
      <c r="H120" s="156">
        <f>G120-F120</f>
        <v>0</v>
      </c>
      <c r="I120" s="157" t="s">
        <v>241</v>
      </c>
      <c r="J120" s="230">
        <f t="shared" si="87"/>
        <v>0</v>
      </c>
      <c r="R120" s="568"/>
    </row>
    <row r="121" spans="2:18" s="27" customFormat="1" ht="15.6" customHeight="1">
      <c r="B121" s="630"/>
      <c r="C121" s="631"/>
      <c r="D121" s="632"/>
      <c r="E121" s="158" t="s">
        <v>242</v>
      </c>
      <c r="F121" s="156">
        <f>SUMIFS($L$11:$L$30,$C$11:$C$30,$B120,$U$11:$U$30,$E121)</f>
        <v>0</v>
      </c>
      <c r="G121" s="156">
        <f>SUMIFS($L$40:$L$59,$C$40:$C$59,$B120,$U$40:$U$59,$E121)+SUMIFS($L$68:$L$87,$C$68:$C$87,B120,$AH$68:$AH$87,E121)+SUMIFS($AE$11:$AE$31,$C$11:$C$31,B120,$U$11:$U$31,E121)</f>
        <v>0</v>
      </c>
      <c r="H121" s="156">
        <f t="shared" si="88"/>
        <v>0</v>
      </c>
      <c r="I121" s="159" t="str">
        <f t="shared" ref="I121" si="90">IF(F121=0,"N/A",IF(H121&lt;0,"No","Yes"))</f>
        <v>N/A</v>
      </c>
      <c r="J121" s="230">
        <f t="shared" si="87"/>
        <v>0</v>
      </c>
      <c r="R121" s="568"/>
    </row>
    <row r="122" spans="2:18" s="27" customFormat="1" ht="15.6" customHeight="1">
      <c r="B122" s="627" t="s">
        <v>244</v>
      </c>
      <c r="C122" s="628"/>
      <c r="D122" s="629"/>
      <c r="E122" s="155" t="s">
        <v>240</v>
      </c>
      <c r="F122" s="156">
        <f>SUMIFS($L$11:$L$30,$C$11:$C$30,$B122,$U$11:$U$30,$E122)</f>
        <v>0</v>
      </c>
      <c r="G122" s="156">
        <f t="shared" ref="G122" si="91">SUMIFS($L$40:$L$59,$C$40:$C$59,$B122,$U$40:$U$59,$E122)+SUMIFS($L$68:$L$87,$C$68:$C$87,B122,$AH$68:$AH$87,E122)+SUMIFS($AE$11:$AE$31,$C$11:$C$31,B122,$U$11:$U$31,E122)</f>
        <v>0</v>
      </c>
      <c r="H122" s="156">
        <f t="shared" si="88"/>
        <v>0</v>
      </c>
      <c r="I122" s="157" t="s">
        <v>241</v>
      </c>
      <c r="J122" s="230">
        <f t="shared" si="87"/>
        <v>0</v>
      </c>
      <c r="R122" s="568"/>
    </row>
    <row r="123" spans="2:18" s="27" customFormat="1" ht="15.6" customHeight="1">
      <c r="B123" s="630"/>
      <c r="C123" s="631"/>
      <c r="D123" s="632"/>
      <c r="E123" s="158" t="s">
        <v>242</v>
      </c>
      <c r="F123" s="156">
        <f>SUMIFS($L$11:$L$30,$C$11:$C$30,$B122,$U$11:$U$30,$E123)</f>
        <v>0</v>
      </c>
      <c r="G123" s="156">
        <f t="shared" ref="G123" si="92">SUMIFS($L$40:$L$59,$C$40:$C$59,$B122,$U$40:$U$59,$E123)+SUMIFS($L$68:$L$87,$C$68:$C$87,B122,$AH$68:$AH$87,E123)+SUMIFS($AE$11:$AE$31,$C$11:$C$31,B122,$U$11:$U$31,E123)</f>
        <v>0</v>
      </c>
      <c r="H123" s="156">
        <f t="shared" si="88"/>
        <v>0</v>
      </c>
      <c r="I123" s="159" t="str">
        <f t="shared" ref="I123" si="93">IF(F123=0,"N/A",IF(H123&lt;0,"No","Yes"))</f>
        <v>N/A</v>
      </c>
      <c r="J123" s="230">
        <f t="shared" si="87"/>
        <v>0</v>
      </c>
      <c r="R123" s="568"/>
    </row>
    <row r="124" spans="2:18" s="27" customFormat="1" ht="15.6" customHeight="1">
      <c r="B124" s="627" t="s">
        <v>245</v>
      </c>
      <c r="C124" s="628"/>
      <c r="D124" s="629"/>
      <c r="E124" s="155" t="s">
        <v>240</v>
      </c>
      <c r="F124" s="156">
        <f>SUMIFS($L$11:$L$30,$C$11:$C$30,$B124,$U$11:$U$30,$E124)</f>
        <v>0</v>
      </c>
      <c r="G124" s="156">
        <f t="shared" ref="G124" si="94">SUMIFS($L$40:$L$59,$C$40:$C$59,$B124,$U$40:$U$59,$E124)+SUMIFS($L$68:$L$87,$C$68:$C$87,B124,$AH$68:$AH$87,E124)+SUMIFS($AE$11:$AE$31,$C$11:$C$31,B124,$U$11:$U$31,E124)</f>
        <v>0</v>
      </c>
      <c r="H124" s="156">
        <f t="shared" si="88"/>
        <v>0</v>
      </c>
      <c r="I124" s="157" t="s">
        <v>241</v>
      </c>
      <c r="J124" s="230">
        <f t="shared" si="87"/>
        <v>0</v>
      </c>
      <c r="R124" s="568"/>
    </row>
    <row r="125" spans="2:18" s="27" customFormat="1" ht="15.6" customHeight="1">
      <c r="B125" s="630"/>
      <c r="C125" s="631"/>
      <c r="D125" s="632"/>
      <c r="E125" s="158" t="s">
        <v>242</v>
      </c>
      <c r="F125" s="156">
        <f>SUMIFS($L$11:$L$30,$C$11:$C$30,$B124,$U$11:$U$30,$E125)</f>
        <v>0</v>
      </c>
      <c r="G125" s="156">
        <f t="shared" ref="G125" si="95">SUMIFS($L$40:$L$59,$C$40:$C$59,$B124,$U$40:$U$59,$E125)+SUMIFS($L$68:$L$87,$C$68:$C$87,B124,$AH$68:$AH$87,E125)+SUMIFS($AE$11:$AE$31,$C$11:$C$31,B124,$U$11:$U$31,E125)</f>
        <v>0</v>
      </c>
      <c r="H125" s="156">
        <f t="shared" si="88"/>
        <v>0</v>
      </c>
      <c r="I125" s="159" t="str">
        <f t="shared" ref="I125" si="96">IF(F125=0,"N/A",IF(H125&lt;0,"No","Yes"))</f>
        <v>N/A</v>
      </c>
      <c r="J125" s="230">
        <f t="shared" si="87"/>
        <v>0</v>
      </c>
      <c r="R125" s="568"/>
    </row>
    <row r="126" spans="2:18" s="27" customFormat="1" ht="15.6" customHeight="1">
      <c r="B126" s="627" t="s">
        <v>246</v>
      </c>
      <c r="C126" s="628"/>
      <c r="D126" s="629"/>
      <c r="E126" s="155" t="s">
        <v>240</v>
      </c>
      <c r="F126" s="156">
        <f>SUMIFS($L$11:$L$30,$C$11:$C$30,$B126,$U$11:$U$30,$E126)</f>
        <v>0</v>
      </c>
      <c r="G126" s="156">
        <f t="shared" ref="G126" si="97">SUMIFS($L$40:$L$59,$C$40:$C$59,$B126,$U$40:$U$59,$E126)+SUMIFS($L$68:$L$87,$C$68:$C$87,B126,$AH$68:$AH$87,E126)+SUMIFS($AE$11:$AE$31,$C$11:$C$31,B126,$U$11:$U$31,E126)</f>
        <v>0</v>
      </c>
      <c r="H126" s="156">
        <f t="shared" si="88"/>
        <v>0</v>
      </c>
      <c r="I126" s="157" t="s">
        <v>241</v>
      </c>
      <c r="J126" s="230">
        <f t="shared" si="87"/>
        <v>0</v>
      </c>
      <c r="R126" s="568"/>
    </row>
    <row r="127" spans="2:18" s="27" customFormat="1" ht="15.6" customHeight="1">
      <c r="B127" s="630"/>
      <c r="C127" s="631"/>
      <c r="D127" s="632"/>
      <c r="E127" s="158" t="s">
        <v>242</v>
      </c>
      <c r="F127" s="156">
        <f>SUMIFS($L$11:$L$30,$C$11:$C$30,$B126,$U$11:$U$30,$E127)</f>
        <v>0</v>
      </c>
      <c r="G127" s="156">
        <f t="shared" ref="G127" si="98">SUMIFS($L$40:$L$59,$C$40:$C$59,$B126,$U$40:$U$59,$E127)+SUMIFS($L$68:$L$87,$C$68:$C$87,B126,$AH$68:$AH$87,E127)+SUMIFS($AE$11:$AE$31,$C$11:$C$31,B126,$U$11:$U$31,E127)</f>
        <v>0</v>
      </c>
      <c r="H127" s="156">
        <f t="shared" si="88"/>
        <v>0</v>
      </c>
      <c r="I127" s="159" t="str">
        <f t="shared" ref="I127" si="99">IF(F127=0,"N/A",IF(H127&lt;0,"No","Yes"))</f>
        <v>N/A</v>
      </c>
      <c r="J127" s="230">
        <f t="shared" si="87"/>
        <v>0</v>
      </c>
      <c r="R127" s="568"/>
    </row>
    <row r="128" spans="2:18" s="27" customFormat="1" ht="15.6" customHeight="1">
      <c r="B128" s="627" t="s">
        <v>117</v>
      </c>
      <c r="C128" s="628"/>
      <c r="D128" s="629"/>
      <c r="E128" s="155" t="s">
        <v>240</v>
      </c>
      <c r="F128" s="156">
        <f>SUMIFS($L$11:$L$30,$C$11:$C$30,$B128,$U$11:$U$30,$E128)</f>
        <v>0</v>
      </c>
      <c r="G128" s="156">
        <f t="shared" ref="G128" si="100">SUMIFS($L$40:$L$59,$C$40:$C$59,$B128,$U$40:$U$59,$E128)+SUMIFS($L$68:$L$87,$C$68:$C$87,B128,$AH$68:$AH$87,E128)+SUMIFS($AE$11:$AE$31,$C$11:$C$31,B128,$U$11:$U$31,E128)</f>
        <v>0.25235714999999997</v>
      </c>
      <c r="H128" s="156">
        <f t="shared" si="88"/>
        <v>0.25235714999999997</v>
      </c>
      <c r="I128" s="157" t="s">
        <v>241</v>
      </c>
      <c r="J128" s="230">
        <f t="shared" si="87"/>
        <v>0</v>
      </c>
      <c r="R128" s="568"/>
    </row>
    <row r="129" spans="2:18" s="27" customFormat="1" ht="15.6" customHeight="1">
      <c r="B129" s="630"/>
      <c r="C129" s="631"/>
      <c r="D129" s="632"/>
      <c r="E129" s="158" t="s">
        <v>242</v>
      </c>
      <c r="F129" s="156">
        <f>SUMIFS($L$11:$L$30,$C$11:$C$30,$B128,$U$11:$U$30,$E129)</f>
        <v>0</v>
      </c>
      <c r="G129" s="156">
        <f t="shared" ref="G129" si="101">SUMIFS($L$40:$L$59,$C$40:$C$59,$B128,$U$40:$U$59,$E129)+SUMIFS($L$68:$L$87,$C$68:$C$87,B128,$AH$68:$AH$87,E129)+SUMIFS($AE$11:$AE$31,$C$11:$C$31,B128,$U$11:$U$31,E129)</f>
        <v>0</v>
      </c>
      <c r="H129" s="156">
        <f t="shared" si="88"/>
        <v>0</v>
      </c>
      <c r="I129" s="159" t="str">
        <f t="shared" ref="I129" si="102">IF(F129=0,"N/A",IF(H129&lt;0,"No","Yes"))</f>
        <v>N/A</v>
      </c>
      <c r="J129" s="230">
        <f t="shared" si="87"/>
        <v>0</v>
      </c>
      <c r="R129" s="568"/>
    </row>
    <row r="130" spans="2:18" s="27" customFormat="1" ht="15.6" customHeight="1">
      <c r="B130" s="627" t="s">
        <v>247</v>
      </c>
      <c r="C130" s="628"/>
      <c r="D130" s="629"/>
      <c r="E130" s="155" t="s">
        <v>240</v>
      </c>
      <c r="F130" s="156">
        <f>SUMIFS($L$11:$L$30,$C$11:$C$30,$B130,$U$11:$U$30,$E130)</f>
        <v>0</v>
      </c>
      <c r="G130" s="156">
        <f t="shared" ref="G130" si="103">SUMIFS($L$40:$L$59,$C$40:$C$59,$B130,$U$40:$U$59,$E130)+SUMIFS($L$68:$L$87,$C$68:$C$87,B130,$AH$68:$AH$87,E130)+SUMIFS($AE$11:$AE$31,$C$11:$C$31,B130,$U$11:$U$31,E130)</f>
        <v>0</v>
      </c>
      <c r="H130" s="156">
        <f t="shared" si="88"/>
        <v>0</v>
      </c>
      <c r="I130" s="157" t="s">
        <v>241</v>
      </c>
      <c r="J130" s="230">
        <f t="shared" si="87"/>
        <v>0</v>
      </c>
      <c r="R130" s="568"/>
    </row>
    <row r="131" spans="2:18" s="27" customFormat="1" ht="15.6" customHeight="1">
      <c r="B131" s="630"/>
      <c r="C131" s="631"/>
      <c r="D131" s="632"/>
      <c r="E131" s="158" t="s">
        <v>242</v>
      </c>
      <c r="F131" s="156">
        <f>SUMIFS($L$11:$L$30,$C$11:$C$30,$B130,$U$11:$U$30,$E131)</f>
        <v>0</v>
      </c>
      <c r="G131" s="156">
        <f t="shared" ref="G131" si="104">SUMIFS($L$40:$L$59,$C$40:$C$59,$B130,$U$40:$U$59,$E131)+SUMIFS($L$68:$L$87,$C$68:$C$87,B130,$AH$68:$AH$87,E131)+SUMIFS($AE$11:$AE$31,$C$11:$C$31,B130,$U$11:$U$31,E131)</f>
        <v>0</v>
      </c>
      <c r="H131" s="156">
        <f t="shared" si="88"/>
        <v>0</v>
      </c>
      <c r="I131" s="159" t="str">
        <f t="shared" ref="I131" si="105">IF(F131=0,"N/A",IF(H131&lt;0,"No","Yes"))</f>
        <v>N/A</v>
      </c>
      <c r="J131" s="230">
        <f t="shared" si="87"/>
        <v>0</v>
      </c>
      <c r="R131" s="568"/>
    </row>
    <row r="132" spans="2:18" s="27" customFormat="1" ht="15.6" customHeight="1">
      <c r="B132" s="627" t="s">
        <v>248</v>
      </c>
      <c r="C132" s="628"/>
      <c r="D132" s="628"/>
      <c r="E132" s="155" t="s">
        <v>240</v>
      </c>
      <c r="F132" s="156">
        <f>SUMIFS($L$11:$L$30,$C$11:$C$30,$B132,$U$11:$U$30,$E132)</f>
        <v>0</v>
      </c>
      <c r="G132" s="156">
        <f t="shared" ref="G132" si="106">SUMIFS($L$40:$L$59,$C$40:$C$59,$B132,$U$40:$U$59,$E132)+SUMIFS($L$68:$L$87,$C$68:$C$87,B132,$AH$68:$AH$87,E132)+SUMIFS($AE$11:$AE$31,$C$11:$C$31,B132,$U$11:$U$31,E132)</f>
        <v>0</v>
      </c>
      <c r="H132" s="156">
        <f t="shared" ref="H132:H133" si="107">G132-F132</f>
        <v>0</v>
      </c>
      <c r="I132" s="157" t="s">
        <v>241</v>
      </c>
      <c r="J132" s="230">
        <f t="shared" si="87"/>
        <v>0</v>
      </c>
      <c r="R132" s="568"/>
    </row>
    <row r="133" spans="2:18" s="27" customFormat="1" ht="15.6" customHeight="1" thickBot="1">
      <c r="B133" s="642"/>
      <c r="C133" s="643"/>
      <c r="D133" s="643"/>
      <c r="E133" s="361" t="s">
        <v>242</v>
      </c>
      <c r="F133" s="156">
        <f>SUMIFS($L$11:$L$30,$C$11:$C$30,$B132,$U$11:$U$30,$E133)</f>
        <v>0</v>
      </c>
      <c r="G133" s="156">
        <f t="shared" ref="G133" si="108">SUMIFS($L$40:$L$59,$C$40:$C$59,$B132,$U$40:$U$59,$E133)+SUMIFS($L$68:$L$87,$C$68:$C$87,B132,$AH$68:$AH$87,E133)+SUMIFS($AE$11:$AE$31,$C$11:$C$31,B132,$U$11:$U$31,E133)</f>
        <v>0</v>
      </c>
      <c r="H133" s="362">
        <f t="shared" si="107"/>
        <v>0</v>
      </c>
      <c r="I133" s="363" t="str">
        <f t="shared" ref="I133" si="109">IF(F133=0,"N/A",IF(H133&lt;0,"No","Yes"))</f>
        <v>N/A</v>
      </c>
      <c r="J133" s="230">
        <f t="shared" si="87"/>
        <v>0</v>
      </c>
      <c r="R133" s="568"/>
    </row>
    <row r="134" spans="2:18" s="27" customFormat="1" ht="15.6" customHeight="1" thickBot="1">
      <c r="J134" s="230"/>
      <c r="M134" s="28"/>
      <c r="R134" s="568"/>
    </row>
    <row r="135" spans="2:18" s="27" customFormat="1" ht="36">
      <c r="B135" s="585" t="s">
        <v>234</v>
      </c>
      <c r="C135" s="586"/>
      <c r="D135" s="586"/>
      <c r="E135" s="587"/>
      <c r="F135" s="160" t="s">
        <v>235</v>
      </c>
      <c r="G135" s="160" t="s">
        <v>236</v>
      </c>
      <c r="H135" s="160" t="s">
        <v>237</v>
      </c>
      <c r="I135" s="161" t="s">
        <v>238</v>
      </c>
      <c r="J135" s="230"/>
      <c r="M135" s="28"/>
      <c r="R135" s="568"/>
    </row>
    <row r="136" spans="2:18" s="27" customFormat="1" ht="30.6" customHeight="1">
      <c r="B136" s="636" t="s">
        <v>249</v>
      </c>
      <c r="C136" s="637"/>
      <c r="D136" s="637"/>
      <c r="E136" s="638"/>
      <c r="F136" s="156">
        <f>SUMIFS($L$11:$L$30,$U$11:$U$30,"Medium")</f>
        <v>0.13983999999999999</v>
      </c>
      <c r="G136" s="229">
        <f>IF(I61+I89+P1=0,0,SUMIFS($L$40:$L$60,$U$40:$U$60,"Medium")+SUMIFS($L$68:$L$88,$AH$68:$AH$88,"Medium")+SUMIFS($AE$11:$AE$31,$U$11:$U$31,"Medium"))</f>
        <v>0.52632096708510401</v>
      </c>
      <c r="H136" s="156">
        <f>IFERROR(G136-F136,"")</f>
        <v>0.38648096708510404</v>
      </c>
      <c r="I136" s="157" t="str">
        <f>IF(G136="","",IF(H136&gt;=0,"Yes","No"))</f>
        <v>Yes</v>
      </c>
      <c r="J136" s="230">
        <f t="shared" si="87"/>
        <v>0</v>
      </c>
      <c r="R136" s="568" t="s">
        <v>73</v>
      </c>
    </row>
    <row r="137" spans="2:18" s="27" customFormat="1" ht="30.6" customHeight="1">
      <c r="B137" s="636" t="s">
        <v>250</v>
      </c>
      <c r="C137" s="637"/>
      <c r="D137" s="637"/>
      <c r="E137" s="638"/>
      <c r="F137" s="156">
        <f>SUMIFS($L$11:$L$30,$U$11:$U$30,"Low")</f>
        <v>0.33579999999999993</v>
      </c>
      <c r="G137" s="229">
        <f>IF(I61+I89+P1=0,0,SUMIFS($L$40:$L$60,$U$40:$U$60,"Low")+SUMIFS($L$68:$L$88,$AH$68:$AH$88,"Low")+SUMIFS($AE$11:$AE$31,$U$11:$U$31,"Low"))</f>
        <v>0.25235714999999997</v>
      </c>
      <c r="H137" s="156">
        <f>IFERROR(G137-F137,"")</f>
        <v>-8.3442849999999957E-2</v>
      </c>
      <c r="I137" s="157" t="str">
        <f>IF(G137="","",IF(H137+H136&gt;=0,"Yes","No"))</f>
        <v>Yes</v>
      </c>
      <c r="J137" s="230">
        <f t="shared" si="87"/>
        <v>0</v>
      </c>
      <c r="R137" s="568"/>
    </row>
    <row r="138" spans="2:18" s="27" customFormat="1" ht="41.25" customHeight="1" thickBot="1">
      <c r="B138" s="639" t="s">
        <v>251</v>
      </c>
      <c r="C138" s="640"/>
      <c r="D138" s="640"/>
      <c r="E138" s="641"/>
      <c r="F138" s="633">
        <f>IFERROR(H136+H137,"")</f>
        <v>0.30303811708510409</v>
      </c>
      <c r="G138" s="634"/>
      <c r="H138" s="635"/>
      <c r="I138" s="162" t="str">
        <f>IF(F138="","",IF(F138&gt;=0,"Yes","No"))</f>
        <v>Yes</v>
      </c>
      <c r="J138" s="230">
        <f t="shared" si="87"/>
        <v>0</v>
      </c>
      <c r="R138" s="568"/>
    </row>
    <row r="139" spans="2:18" s="27" customFormat="1">
      <c r="R139" s="568"/>
    </row>
    <row r="140" spans="2:18" s="27" customFormat="1">
      <c r="R140" s="568"/>
    </row>
    <row r="141" spans="2:18" s="27" customFormat="1">
      <c r="R141" s="568"/>
    </row>
    <row r="142" spans="2:18" s="27" customFormat="1">
      <c r="R142" s="568"/>
    </row>
    <row r="143" spans="2:18" s="27" customFormat="1">
      <c r="R143" s="568"/>
    </row>
    <row r="144" spans="2:18" s="27" customFormat="1">
      <c r="R144" s="568"/>
    </row>
    <row r="145" spans="18:18" s="27" customFormat="1">
      <c r="R145" s="568"/>
    </row>
    <row r="146" spans="18:18" s="27" customFormat="1">
      <c r="R146" s="568"/>
    </row>
    <row r="147" spans="18:18" s="27" customFormat="1">
      <c r="R147" s="568"/>
    </row>
    <row r="148" spans="18:18" s="27" customFormat="1">
      <c r="R148" s="568"/>
    </row>
    <row r="149" spans="18:18" s="27" customFormat="1">
      <c r="R149" s="568"/>
    </row>
    <row r="150" spans="18:18" s="27" customFormat="1">
      <c r="R150" s="568"/>
    </row>
    <row r="151" spans="18:18" s="27" customFormat="1">
      <c r="R151" s="568"/>
    </row>
    <row r="152" spans="18:18" s="27" customFormat="1">
      <c r="R152" s="568"/>
    </row>
    <row r="153" spans="18:18" s="27" customFormat="1">
      <c r="R153" s="568"/>
    </row>
    <row r="154" spans="18:18" s="27" customFormat="1">
      <c r="R154" s="568"/>
    </row>
    <row r="155" spans="18:18" s="27" customFormat="1">
      <c r="R155" s="568"/>
    </row>
    <row r="156" spans="18:18" s="27" customFormat="1">
      <c r="R156" s="568"/>
    </row>
    <row r="157" spans="18:18" s="27" customFormat="1">
      <c r="R157" s="568"/>
    </row>
    <row r="158" spans="18:18" s="27" customFormat="1">
      <c r="R158" s="568"/>
    </row>
    <row r="159" spans="18:18" s="27" customFormat="1">
      <c r="R159" s="568"/>
    </row>
    <row r="160" spans="18:18" s="27" customFormat="1">
      <c r="R160" s="568"/>
    </row>
    <row r="161" spans="18:18" s="27" customFormat="1">
      <c r="R161" s="568"/>
    </row>
    <row r="162" spans="18:18" s="27" customFormat="1">
      <c r="R162" s="568"/>
    </row>
    <row r="163" spans="18:18" s="27" customFormat="1">
      <c r="R163" s="568"/>
    </row>
    <row r="164" spans="18:18" s="27" customFormat="1">
      <c r="R164" s="568"/>
    </row>
    <row r="165" spans="18:18" s="27" customFormat="1">
      <c r="R165" s="568"/>
    </row>
    <row r="166" spans="18:18" s="27" customFormat="1">
      <c r="R166" s="568"/>
    </row>
    <row r="167" spans="18:18" s="27" customFormat="1">
      <c r="R167" s="568"/>
    </row>
  </sheetData>
  <sheetProtection algorithmName="SHA-512" hashValue="YqcQh44XXjX2cJ2hK4q/aA0u26lX4X389tEj4FAo995mDqlpeXWD9eT/N0H8G7+pbOLbM6SUpHuFEaXQPjrdAg==" saltValue="DJxIrP0XkmNEbLC4x416Ag==" spinCount="100000" sheet="1" formatRows="0"/>
  <mergeCells count="271">
    <mergeCell ref="U66:AE66"/>
    <mergeCell ref="AF66:AF67"/>
    <mergeCell ref="AG66:AW66"/>
    <mergeCell ref="I33:N33"/>
    <mergeCell ref="I34:N34"/>
    <mergeCell ref="B135:E135"/>
    <mergeCell ref="D94:D95"/>
    <mergeCell ref="AE9:AG9"/>
    <mergeCell ref="AI9:AI10"/>
    <mergeCell ref="AH9:AH10"/>
    <mergeCell ref="D15:E15"/>
    <mergeCell ref="D14:E14"/>
    <mergeCell ref="D13:E13"/>
    <mergeCell ref="D12:E12"/>
    <mergeCell ref="D11:E11"/>
    <mergeCell ref="J88:K88"/>
    <mergeCell ref="H94:H95"/>
    <mergeCell ref="G94:G95"/>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D10:E10"/>
    <mergeCell ref="D17:E17"/>
    <mergeCell ref="D16:E16"/>
    <mergeCell ref="L43:N43"/>
    <mergeCell ref="I61:K61"/>
    <mergeCell ref="L61:N61"/>
    <mergeCell ref="C66:D66"/>
    <mergeCell ref="H66:H67"/>
    <mergeCell ref="E66:G6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I54:K54"/>
    <mergeCell ref="L52:N52"/>
    <mergeCell ref="B9:B10"/>
    <mergeCell ref="F22:H22"/>
    <mergeCell ref="F21:H21"/>
    <mergeCell ref="F20:H20"/>
    <mergeCell ref="F19:H19"/>
    <mergeCell ref="F18:H18"/>
    <mergeCell ref="O66:P66"/>
    <mergeCell ref="I52:K52"/>
    <mergeCell ref="I58:K58"/>
    <mergeCell ref="I51:K51"/>
    <mergeCell ref="I43:K43"/>
    <mergeCell ref="I42:K42"/>
    <mergeCell ref="I41:K41"/>
    <mergeCell ref="I40:K40"/>
    <mergeCell ref="I44:K44"/>
    <mergeCell ref="I48:K48"/>
    <mergeCell ref="I47:K47"/>
    <mergeCell ref="I46:K46"/>
    <mergeCell ref="I45:K45"/>
    <mergeCell ref="I56:K56"/>
    <mergeCell ref="I55:K55"/>
    <mergeCell ref="I66:I67"/>
    <mergeCell ref="J66:K67"/>
    <mergeCell ref="L40:N40"/>
    <mergeCell ref="R110:R135"/>
    <mergeCell ref="R136:R167"/>
    <mergeCell ref="B113:D113"/>
    <mergeCell ref="B114:D115"/>
    <mergeCell ref="B116:D117"/>
    <mergeCell ref="B118:D119"/>
    <mergeCell ref="B120:D121"/>
    <mergeCell ref="B122:D123"/>
    <mergeCell ref="B124:D125"/>
    <mergeCell ref="B126:D127"/>
    <mergeCell ref="B128:D129"/>
    <mergeCell ref="B130:D131"/>
    <mergeCell ref="F138:H138"/>
    <mergeCell ref="B136:E136"/>
    <mergeCell ref="B137:E137"/>
    <mergeCell ref="B138:E138"/>
    <mergeCell ref="B132:D133"/>
    <mergeCell ref="I9:K9"/>
    <mergeCell ref="U9:V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U38:V38"/>
    <mergeCell ref="L44:N44"/>
    <mergeCell ref="L45:N45"/>
    <mergeCell ref="L51:N51"/>
    <mergeCell ref="L50:N50"/>
    <mergeCell ref="I35:N35"/>
    <mergeCell ref="W9:X9"/>
    <mergeCell ref="Y9:AA9"/>
    <mergeCell ref="AB9:AD9"/>
    <mergeCell ref="E109:I109"/>
    <mergeCell ref="E108:I108"/>
    <mergeCell ref="R65:R94"/>
    <mergeCell ref="R95:R109"/>
    <mergeCell ref="I94:P94"/>
    <mergeCell ref="A102:Q104"/>
    <mergeCell ref="L46:N46"/>
    <mergeCell ref="L47:N47"/>
    <mergeCell ref="L48:N48"/>
    <mergeCell ref="R35:R64"/>
    <mergeCell ref="L57:N57"/>
    <mergeCell ref="L58:N58"/>
    <mergeCell ref="J70:K70"/>
    <mergeCell ref="B109:D109"/>
    <mergeCell ref="B38:B39"/>
    <mergeCell ref="B94:C95"/>
    <mergeCell ref="B99:C99"/>
    <mergeCell ref="C38:D38"/>
    <mergeCell ref="B108:D108"/>
    <mergeCell ref="B98:C98"/>
    <mergeCell ref="B97:C97"/>
    <mergeCell ref="B96:C96"/>
    <mergeCell ref="L41:N41"/>
    <mergeCell ref="L42:N42"/>
    <mergeCell ref="E99:F99"/>
    <mergeCell ref="F60:G60"/>
    <mergeCell ref="F59:G59"/>
    <mergeCell ref="F58:G58"/>
    <mergeCell ref="L53:N53"/>
    <mergeCell ref="L54:N54"/>
    <mergeCell ref="L55:N55"/>
    <mergeCell ref="L56:N56"/>
    <mergeCell ref="L60:N60"/>
    <mergeCell ref="I62:N62"/>
    <mergeCell ref="J73:K73"/>
    <mergeCell ref="J74:K74"/>
    <mergeCell ref="J75:K75"/>
    <mergeCell ref="J71:K71"/>
    <mergeCell ref="J79:K79"/>
    <mergeCell ref="J77:K77"/>
    <mergeCell ref="J78:K78"/>
    <mergeCell ref="L99:N99"/>
    <mergeCell ref="L98:N98"/>
    <mergeCell ref="L97:N97"/>
    <mergeCell ref="L96:N96"/>
    <mergeCell ref="I99:K99"/>
    <mergeCell ref="J69:K69"/>
    <mergeCell ref="I53:K53"/>
    <mergeCell ref="F52:G52"/>
    <mergeCell ref="J72:K72"/>
    <mergeCell ref="F57:G57"/>
    <mergeCell ref="F56:G56"/>
    <mergeCell ref="F55:G55"/>
    <mergeCell ref="F54:G54"/>
    <mergeCell ref="F53:G53"/>
    <mergeCell ref="J80:K80"/>
    <mergeCell ref="J81:K81"/>
    <mergeCell ref="J76:K76"/>
    <mergeCell ref="J68:K68"/>
    <mergeCell ref="F79:G79"/>
    <mergeCell ref="F78:G78"/>
    <mergeCell ref="F77:G77"/>
    <mergeCell ref="F76:G76"/>
    <mergeCell ref="F75:G75"/>
    <mergeCell ref="F74:G74"/>
    <mergeCell ref="F73:G73"/>
    <mergeCell ref="F72:G72"/>
    <mergeCell ref="F71:G71"/>
    <mergeCell ref="F70:G70"/>
    <mergeCell ref="F69:G69"/>
    <mergeCell ref="F68:G68"/>
    <mergeCell ref="F67:G67"/>
    <mergeCell ref="F83:G83"/>
    <mergeCell ref="J87:K87"/>
    <mergeCell ref="F82:G82"/>
    <mergeCell ref="F81:G81"/>
    <mergeCell ref="F80:G80"/>
    <mergeCell ref="F88:G88"/>
    <mergeCell ref="F87:G87"/>
    <mergeCell ref="F86:G86"/>
    <mergeCell ref="F85:G85"/>
    <mergeCell ref="F84:G84"/>
    <mergeCell ref="B66:B67"/>
    <mergeCell ref="M82:N82"/>
    <mergeCell ref="M81:N81"/>
    <mergeCell ref="I98:K98"/>
    <mergeCell ref="I97:K97"/>
    <mergeCell ref="I96:K96"/>
    <mergeCell ref="I95:K95"/>
    <mergeCell ref="J85:K85"/>
    <mergeCell ref="J86:K86"/>
    <mergeCell ref="J82:K82"/>
    <mergeCell ref="L95:N95"/>
    <mergeCell ref="J83:K83"/>
    <mergeCell ref="J84:K84"/>
    <mergeCell ref="M88:N88"/>
    <mergeCell ref="M87:N87"/>
    <mergeCell ref="M86:N86"/>
    <mergeCell ref="M85:N85"/>
    <mergeCell ref="M84:N84"/>
    <mergeCell ref="M83:N83"/>
    <mergeCell ref="M89:N89"/>
    <mergeCell ref="E98:F98"/>
    <mergeCell ref="E97:F97"/>
    <mergeCell ref="E96:F96"/>
    <mergeCell ref="E94:F95"/>
  </mergeCells>
  <phoneticPr fontId="22" type="noConversion"/>
  <conditionalFormatting sqref="AG11:AG31">
    <cfRule type="cellIs" dxfId="359" priority="169" operator="equal">
      <formula>"Unacceptable Loss"</formula>
    </cfRule>
  </conditionalFormatting>
  <conditionalFormatting sqref="L11:M30">
    <cfRule type="expression" dxfId="358" priority="157">
      <formula>"p18=""Avoid"""</formula>
    </cfRule>
  </conditionalFormatting>
  <conditionalFormatting sqref="L11:M30">
    <cfRule type="cellIs" dxfId="357" priority="156" operator="equal">
      <formula>"Any loss Unacceptable"</formula>
    </cfRule>
  </conditionalFormatting>
  <conditionalFormatting sqref="L11:M30">
    <cfRule type="cellIs" dxfId="356" priority="155" operator="equal">
      <formula>"Any loss Unacceptable"</formula>
    </cfRule>
  </conditionalFormatting>
  <conditionalFormatting sqref="X11:X31">
    <cfRule type="cellIs" dxfId="355" priority="181" operator="equal">
      <formula>"Not Possible"</formula>
    </cfRule>
  </conditionalFormatting>
  <conditionalFormatting sqref="AG11:AG31">
    <cfRule type="cellIs" dxfId="354" priority="164" operator="equal">
      <formula>"Unacceptable Loss"</formula>
    </cfRule>
  </conditionalFormatting>
  <conditionalFormatting sqref="AG11:AG31">
    <cfRule type="cellIs" dxfId="353" priority="159" operator="equal">
      <formula>"Unacceptable Loss"</formula>
    </cfRule>
  </conditionalFormatting>
  <conditionalFormatting sqref="N11:N30">
    <cfRule type="containsText" dxfId="352" priority="4" operator="containsText" text="value">
      <formula>NOT(ISERROR(SEARCH("value",N11)))</formula>
    </cfRule>
    <cfRule type="cellIs" dxfId="351" priority="148" operator="equal">
      <formula>"Unacceptable Loss"</formula>
    </cfRule>
  </conditionalFormatting>
  <conditionalFormatting sqref="N11:N30">
    <cfRule type="cellIs" dxfId="350" priority="151" operator="equal">
      <formula>"Unacceptable Loss"</formula>
    </cfRule>
  </conditionalFormatting>
  <conditionalFormatting sqref="N11:N30">
    <cfRule type="cellIs" dxfId="349" priority="149" operator="equal">
      <formula>"Compensation Agreed"</formula>
    </cfRule>
    <cfRule type="cellIs" dxfId="348" priority="150" operator="equal">
      <formula>"Unacceptable Loss"</formula>
    </cfRule>
  </conditionalFormatting>
  <conditionalFormatting sqref="N11:N30">
    <cfRule type="cellIs" dxfId="347" priority="147" operator="equal">
      <formula>"Unacceptable Loss"</formula>
    </cfRule>
  </conditionalFormatting>
  <conditionalFormatting sqref="N11:N30">
    <cfRule type="cellIs" dxfId="346" priority="145" operator="equal">
      <formula>"Compensation Agreed"</formula>
    </cfRule>
    <cfRule type="cellIs" dxfId="345" priority="146" operator="equal">
      <formula>"Unacceptable Loss"</formula>
    </cfRule>
  </conditionalFormatting>
  <conditionalFormatting sqref="N11:N30">
    <cfRule type="cellIs" dxfId="344" priority="144" operator="equal">
      <formula>"Unacceptable Loss"</formula>
    </cfRule>
  </conditionalFormatting>
  <conditionalFormatting sqref="N11:N30">
    <cfRule type="cellIs" dxfId="343" priority="139" operator="equal">
      <formula>"Alternative Compensation"</formula>
    </cfRule>
  </conditionalFormatting>
  <conditionalFormatting sqref="L40:M59">
    <cfRule type="cellIs" dxfId="342" priority="132" operator="equal">
      <formula>"Unacceptable Loss"</formula>
    </cfRule>
  </conditionalFormatting>
  <conditionalFormatting sqref="L40:M59">
    <cfRule type="cellIs" dxfId="341" priority="130" operator="equal">
      <formula>"Compensation Agreed"</formula>
    </cfRule>
    <cfRule type="cellIs" dxfId="340" priority="131" operator="equal">
      <formula>"Unacceptable Loss"</formula>
    </cfRule>
  </conditionalFormatting>
  <conditionalFormatting sqref="L40:M59">
    <cfRule type="cellIs" dxfId="339" priority="129" operator="equal">
      <formula>"Unacceptable Loss"</formula>
    </cfRule>
  </conditionalFormatting>
  <conditionalFormatting sqref="L40:M59">
    <cfRule type="cellIs" dxfId="338" priority="128" operator="equal">
      <formula>"Unacceptable Loss"</formula>
    </cfRule>
  </conditionalFormatting>
  <conditionalFormatting sqref="L40:M59">
    <cfRule type="cellIs" dxfId="337" priority="126" operator="equal">
      <formula>"Compensation Agreed"</formula>
    </cfRule>
    <cfRule type="cellIs" dxfId="336" priority="127" operator="equal">
      <formula>"Unacceptable Loss"</formula>
    </cfRule>
  </conditionalFormatting>
  <conditionalFormatting sqref="L40:M59">
    <cfRule type="cellIs" dxfId="335" priority="125" operator="equal">
      <formula>"Unacceptable Loss"</formula>
    </cfRule>
  </conditionalFormatting>
  <conditionalFormatting sqref="L40:M59">
    <cfRule type="cellIs" dxfId="334" priority="124" operator="equal">
      <formula>"Alternative Compensation"</formula>
    </cfRule>
  </conditionalFormatting>
  <conditionalFormatting sqref="I114:I133">
    <cfRule type="containsText" dxfId="333" priority="95" operator="containsText" text="Yes">
      <formula>NOT(ISERROR(SEARCH("Yes",I114)))</formula>
    </cfRule>
    <cfRule type="containsText" dxfId="332" priority="97" operator="containsText" text="No">
      <formula>NOT(ISERROR(SEARCH("No",I114)))</formula>
    </cfRule>
  </conditionalFormatting>
  <conditionalFormatting sqref="I136:I137">
    <cfRule type="containsText" dxfId="331" priority="93" operator="containsText" text="Yes">
      <formula>NOT(ISERROR(SEARCH("Yes",I136)))</formula>
    </cfRule>
    <cfRule type="containsText" dxfId="330" priority="94" operator="containsText" text="No">
      <formula>NOT(ISERROR(SEARCH("No",I136)))</formula>
    </cfRule>
  </conditionalFormatting>
  <conditionalFormatting sqref="E108:E109">
    <cfRule type="containsText" dxfId="329" priority="91" operator="containsText" text="Trading Rules Satisfied">
      <formula>NOT(ISERROR(SEARCH("Trading Rules Satisfied",E108)))</formula>
    </cfRule>
    <cfRule type="containsText" dxfId="328" priority="92" operator="containsText" text="Error - Trading Rules Not Satisfied">
      <formula>NOT(ISERROR(SEARCH("Error - Trading Rules Not Satisfied",E108)))</formula>
    </cfRule>
  </conditionalFormatting>
  <conditionalFormatting sqref="I138">
    <cfRule type="containsText" dxfId="327" priority="89" operator="containsText" text="Yes">
      <formula>NOT(ISERROR(SEARCH("Yes",I138)))</formula>
    </cfRule>
    <cfRule type="containsText" dxfId="326" priority="90" operator="containsText" text="No">
      <formula>NOT(ISERROR(SEARCH("No",I138)))</formula>
    </cfRule>
  </conditionalFormatting>
  <conditionalFormatting sqref="L60:M60">
    <cfRule type="cellIs" dxfId="325" priority="88" operator="equal">
      <formula>"Unacceptable Loss"</formula>
    </cfRule>
  </conditionalFormatting>
  <conditionalFormatting sqref="L60:M60">
    <cfRule type="cellIs" dxfId="324" priority="86" operator="equal">
      <formula>"Compensation Agreed"</formula>
    </cfRule>
    <cfRule type="cellIs" dxfId="323" priority="87" operator="equal">
      <formula>"Unacceptable Loss"</formula>
    </cfRule>
  </conditionalFormatting>
  <conditionalFormatting sqref="L60:M60">
    <cfRule type="cellIs" dxfId="322" priority="85" operator="equal">
      <formula>"Unacceptable Loss"</formula>
    </cfRule>
  </conditionalFormatting>
  <conditionalFormatting sqref="L60:M60">
    <cfRule type="cellIs" dxfId="321" priority="84" operator="equal">
      <formula>"Unacceptable Loss"</formula>
    </cfRule>
  </conditionalFormatting>
  <conditionalFormatting sqref="L60:M60">
    <cfRule type="cellIs" dxfId="320" priority="82" operator="equal">
      <formula>"Compensation Agreed"</formula>
    </cfRule>
    <cfRule type="cellIs" dxfId="319" priority="83" operator="equal">
      <formula>"Unacceptable Loss"</formula>
    </cfRule>
  </conditionalFormatting>
  <conditionalFormatting sqref="L60:M60">
    <cfRule type="cellIs" dxfId="318" priority="81" operator="equal">
      <formula>"Unacceptable Loss"</formula>
    </cfRule>
  </conditionalFormatting>
  <conditionalFormatting sqref="L60:M60">
    <cfRule type="cellIs" dxfId="317" priority="80" operator="equal">
      <formula>"Alternative Compensation"</formula>
    </cfRule>
  </conditionalFormatting>
  <conditionalFormatting sqref="L31:M31">
    <cfRule type="cellIs" dxfId="316" priority="79" operator="equal">
      <formula>"Unacceptable Loss"</formula>
    </cfRule>
  </conditionalFormatting>
  <conditionalFormatting sqref="L31:M31">
    <cfRule type="cellIs" dxfId="315" priority="77" operator="equal">
      <formula>"Compensation Agreed"</formula>
    </cfRule>
    <cfRule type="cellIs" dxfId="314" priority="78" operator="equal">
      <formula>"Unacceptable Loss"</formula>
    </cfRule>
  </conditionalFormatting>
  <conditionalFormatting sqref="L31:M31">
    <cfRule type="cellIs" dxfId="313" priority="76" operator="equal">
      <formula>"Unacceptable Loss"</formula>
    </cfRule>
  </conditionalFormatting>
  <conditionalFormatting sqref="L31:M31">
    <cfRule type="cellIs" dxfId="312" priority="75" operator="equal">
      <formula>"Unacceptable Loss"</formula>
    </cfRule>
  </conditionalFormatting>
  <conditionalFormatting sqref="L31:M31">
    <cfRule type="cellIs" dxfId="311" priority="73" operator="equal">
      <formula>"Compensation Agreed"</formula>
    </cfRule>
    <cfRule type="cellIs" dxfId="310" priority="74" operator="equal">
      <formula>"Unacceptable Loss"</formula>
    </cfRule>
  </conditionalFormatting>
  <conditionalFormatting sqref="L31:M31">
    <cfRule type="cellIs" dxfId="309" priority="72" operator="equal">
      <formula>"Unacceptable Loss"</formula>
    </cfRule>
  </conditionalFormatting>
  <conditionalFormatting sqref="L31:M31">
    <cfRule type="cellIs" dxfId="308" priority="71" operator="equal">
      <formula>"Alternative Compensation"</formula>
    </cfRule>
  </conditionalFormatting>
  <conditionalFormatting sqref="O6:P6 J2">
    <cfRule type="containsText" dxfId="307" priority="70" operator="containsText" text="Errors Present On Sheet">
      <formula>NOT(ISERROR(SEARCH("Errors Present On Sheet",J2)))</formula>
    </cfRule>
  </conditionalFormatting>
  <conditionalFormatting sqref="X40:X60">
    <cfRule type="cellIs" dxfId="306" priority="67" operator="equal">
      <formula>"Not Possible"</formula>
    </cfRule>
  </conditionalFormatting>
  <conditionalFormatting sqref="I89">
    <cfRule type="expression" dxfId="305" priority="66">
      <formula>"p18=""Avoid"""</formula>
    </cfRule>
  </conditionalFormatting>
  <conditionalFormatting sqref="I89">
    <cfRule type="cellIs" dxfId="304" priority="65" operator="equal">
      <formula>"Any loss Unacceptable"</formula>
    </cfRule>
  </conditionalFormatting>
  <conditionalFormatting sqref="I89">
    <cfRule type="cellIs" dxfId="303" priority="64" operator="equal">
      <formula>"Any loss Unacceptable"</formula>
    </cfRule>
  </conditionalFormatting>
  <conditionalFormatting sqref="L89">
    <cfRule type="expression" dxfId="302" priority="63">
      <formula>"p18=""Avoid"""</formula>
    </cfRule>
  </conditionalFormatting>
  <conditionalFormatting sqref="L89">
    <cfRule type="cellIs" dxfId="301" priority="62" operator="equal">
      <formula>"Any loss Unacceptable"</formula>
    </cfRule>
  </conditionalFormatting>
  <conditionalFormatting sqref="L89">
    <cfRule type="cellIs" dxfId="300" priority="61" operator="equal">
      <formula>"Any loss Unacceptable"</formula>
    </cfRule>
  </conditionalFormatting>
  <conditionalFormatting sqref="AK68:AK88">
    <cfRule type="cellIs" dxfId="299" priority="59" operator="equal">
      <formula>"Not Possible"</formula>
    </cfRule>
  </conditionalFormatting>
  <conditionalFormatting sqref="F40">
    <cfRule type="containsBlanks" dxfId="298" priority="183" stopIfTrue="1">
      <formula>LEN(TRIM(F40))=0</formula>
    </cfRule>
    <cfRule type="expression" dxfId="297" priority="184">
      <formula>ISNUMBER(SEARCH(F40,E40,1))</formula>
    </cfRule>
  </conditionalFormatting>
  <conditionalFormatting sqref="L68:M88">
    <cfRule type="cellIs" dxfId="296" priority="46" operator="equal">
      <formula>"Unacceptable Loss"</formula>
    </cfRule>
  </conditionalFormatting>
  <conditionalFormatting sqref="L68:M88">
    <cfRule type="cellIs" dxfId="295" priority="44" operator="equal">
      <formula>"Compensation Agreed"</formula>
    </cfRule>
    <cfRule type="cellIs" dxfId="294" priority="45" operator="equal">
      <formula>"Unacceptable Loss"</formula>
    </cfRule>
  </conditionalFormatting>
  <conditionalFormatting sqref="L68:M88">
    <cfRule type="cellIs" dxfId="293" priority="43" operator="equal">
      <formula>"Unacceptable Loss"</formula>
    </cfRule>
  </conditionalFormatting>
  <conditionalFormatting sqref="L68:M88">
    <cfRule type="cellIs" dxfId="292" priority="42" operator="equal">
      <formula>"Unacceptable Loss"</formula>
    </cfRule>
  </conditionalFormatting>
  <conditionalFormatting sqref="L68:M88">
    <cfRule type="cellIs" dxfId="291" priority="40" operator="equal">
      <formula>"Compensation Agreed"</formula>
    </cfRule>
    <cfRule type="cellIs" dxfId="290" priority="41" operator="equal">
      <formula>"Unacceptable Loss"</formula>
    </cfRule>
  </conditionalFormatting>
  <conditionalFormatting sqref="L68:M88">
    <cfRule type="cellIs" dxfId="289" priority="39" operator="equal">
      <formula>"Unacceptable Loss"</formula>
    </cfRule>
  </conditionalFormatting>
  <conditionalFormatting sqref="L68:M88">
    <cfRule type="cellIs" dxfId="288" priority="38" operator="equal">
      <formula>"Alternative Compensation"</formula>
    </cfRule>
  </conditionalFormatting>
  <conditionalFormatting sqref="K11:K30">
    <cfRule type="expression" dxfId="287" priority="37">
      <formula>$AI11="Enhancement not possible"</formula>
    </cfRule>
  </conditionalFormatting>
  <conditionalFormatting sqref="I33:N35">
    <cfRule type="containsText" dxfId="286" priority="30" operator="containsText" text="error">
      <formula>NOT(ISERROR(SEARCH("error",I33)))</formula>
    </cfRule>
    <cfRule type="containsText" dxfId="285" priority="31" operator="containsText" text="acceptable">
      <formula>NOT(ISERROR(SEARCH("acceptable",I33)))</formula>
    </cfRule>
  </conditionalFormatting>
  <conditionalFormatting sqref="I62:N62">
    <cfRule type="containsText" dxfId="284" priority="28" operator="containsText" text="error">
      <formula>NOT(ISERROR(SEARCH("error",I62)))</formula>
    </cfRule>
    <cfRule type="containsText" dxfId="283" priority="29" operator="containsText" text="acceptable">
      <formula>NOT(ISERROR(SEARCH("acceptable",I62)))</formula>
    </cfRule>
  </conditionalFormatting>
  <conditionalFormatting sqref="J2">
    <cfRule type="containsText" dxfId="282" priority="27" operator="containsText" text="Technical">
      <formula>NOT(ISERROR(SEARCH("Technical",J2)))</formula>
    </cfRule>
  </conditionalFormatting>
  <conditionalFormatting sqref="M11:M30">
    <cfRule type="containsText" dxfId="281" priority="26" operator="containsText" text="error">
      <formula>NOT(ISERROR(SEARCH("error",M11)))</formula>
    </cfRule>
  </conditionalFormatting>
  <conditionalFormatting sqref="F41:F43">
    <cfRule type="containsBlanks" dxfId="280" priority="187" stopIfTrue="1">
      <formula>LEN(TRIM(F41))=0</formula>
    </cfRule>
    <cfRule type="expression" dxfId="279" priority="188">
      <formula>ISNUMBER(SEARCH(F41,E41,1))</formula>
    </cfRule>
  </conditionalFormatting>
  <conditionalFormatting sqref="F44:F59">
    <cfRule type="containsBlanks" dxfId="278" priority="24" stopIfTrue="1">
      <formula>LEN(TRIM(F44))=0</formula>
    </cfRule>
    <cfRule type="expression" dxfId="277" priority="25">
      <formula>ISNUMBER(SEARCH(F44,E44,1))</formula>
    </cfRule>
  </conditionalFormatting>
  <conditionalFormatting sqref="E96:F98">
    <cfRule type="cellIs" dxfId="276" priority="15" operator="greaterThan">
      <formula>$D96</formula>
    </cfRule>
  </conditionalFormatting>
  <conditionalFormatting sqref="H88">
    <cfRule type="expression" dxfId="275" priority="12">
      <formula>$D88=""</formula>
    </cfRule>
  </conditionalFormatting>
  <conditionalFormatting sqref="G96:G98">
    <cfRule type="cellIs" dxfId="274" priority="10" operator="greaterThan">
      <formula>$D96</formula>
    </cfRule>
  </conditionalFormatting>
  <conditionalFormatting sqref="E68:E88">
    <cfRule type="cellIs" dxfId="273" priority="9" operator="equal">
      <formula>"Enhancement not possible"</formula>
    </cfRule>
  </conditionalFormatting>
  <conditionalFormatting sqref="F68:G87">
    <cfRule type="expression" dxfId="272" priority="8">
      <formula>$D68=""</formula>
    </cfRule>
  </conditionalFormatting>
  <conditionalFormatting sqref="N11:N30">
    <cfRule type="containsText" dxfId="271" priority="7" operator="containsText" text="error">
      <formula>NOT(ISERROR(SEARCH("error",N11)))</formula>
    </cfRule>
  </conditionalFormatting>
  <conditionalFormatting sqref="L11:L30">
    <cfRule type="containsText" dxfId="270" priority="6" operator="containsText" text="value">
      <formula>NOT(ISERROR(SEARCH("value",L11)))</formula>
    </cfRule>
  </conditionalFormatting>
  <conditionalFormatting sqref="L11:L30">
    <cfRule type="containsText" dxfId="269" priority="5" operator="containsText" text="error">
      <formula>NOT(ISERROR(SEARCH("error",L11)))</formula>
    </cfRule>
  </conditionalFormatting>
  <conditionalFormatting sqref="L40:N59">
    <cfRule type="containsText" dxfId="268" priority="2" operator="containsText" text="error">
      <formula>NOT(ISERROR(SEARCH("error",L40)))</formula>
    </cfRule>
    <cfRule type="containsText" dxfId="267" priority="3" operator="containsText" text="value">
      <formula>NOT(ISERROR(SEARCH("value",L40)))</formula>
    </cfRule>
  </conditionalFormatting>
  <conditionalFormatting sqref="L68:L87">
    <cfRule type="containsText" dxfId="266" priority="1" operator="containsText" text="value">
      <formula>NOT(ISERROR(SEARCH("value",L68)))</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5" orientation="portrait" r:id="rId1"/>
  <ignoredErrors>
    <ignoredError sqref="I68:I87 J68:K68" unlockedFormula="1"/>
  </ignoredErrors>
  <extLst>
    <ext xmlns:x14="http://schemas.microsoft.com/office/spreadsheetml/2009/9/main" uri="{78C0D931-6437-407d-A8EE-F0AAD7539E65}">
      <x14:conditionalFormattings>
        <x14:conditionalFormatting xmlns:xm="http://schemas.microsoft.com/office/excel/2006/main">
          <x14:cfRule type="expression" priority="99" id="{00000000-000E-0000-0400-000063000000}">
            <xm:f>OR(AND('3. Desktop Assessment'!C6="Other",I32&gt;9999),AND('3. Desktop Assessment'!C6&lt;&gt;"Other",I32&gt;4999))</xm:f>
            <x14:dxf>
              <font>
                <color rgb="FF9C0006"/>
              </font>
              <fill>
                <patternFill>
                  <bgColor rgb="FFFFC7CE"/>
                </patternFill>
              </fill>
            </x14:dxf>
          </x14:cfRule>
          <xm:sqref>I32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'12. Lists'!$A$2:$A$11</xm:f>
          </x14:formula1>
          <xm:sqref>C40:C59 C11:C30</xm:sqref>
        </x14:dataValidation>
        <x14:dataValidation type="list" allowBlank="1" showInputMessage="1" showErrorMessage="1" xr:uid="{549C9078-885D-4AC4-B6DF-02D39DE17A25}">
          <x14:formula1>
            <xm:f>'12. Lists'!$F$47:$F$51</xm:f>
          </x14:formula1>
          <xm:sqref>F40:F59</xm:sqref>
        </x14:dataValidation>
        <x14:dataValidation type="list" allowBlank="1" showInputMessage="1" showErrorMessage="1" xr:uid="{6A0E90FD-C45C-4EEE-94A0-6C0B179AC7A4}">
          <x14:formula1>
            <xm:f>'12. Lists'!$F$36:$F$37</xm:f>
          </x14:formula1>
          <xm:sqref>H40:H60 H68:H88 F11:H31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theme="7" tint="-0.499984740745262"/>
    <pageSetUpPr fitToPage="1"/>
  </sheetPr>
  <dimension ref="A1:CB140"/>
  <sheetViews>
    <sheetView topLeftCell="G82" zoomScale="80" zoomScaleNormal="80" workbookViewId="0">
      <selection activeCell="O42" sqref="O41:O42"/>
    </sheetView>
  </sheetViews>
  <sheetFormatPr defaultColWidth="0" defaultRowHeight="14.45" zeroHeight="1"/>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6" customWidth="1"/>
    <col min="21" max="21" width="14.85546875" customWidth="1"/>
    <col min="22" max="22" width="20.7109375" bestFit="1" customWidth="1"/>
    <col min="23" max="23" width="23.7109375" customWidth="1"/>
    <col min="24" max="24" width="16.85546875" bestFit="1" customWidth="1"/>
    <col min="25" max="25" width="14" customWidth="1"/>
    <col min="26" max="26" width="22" bestFit="1" customWidth="1"/>
    <col min="27" max="27" width="14"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7" width="23.5703125" customWidth="1"/>
    <col min="38" max="38" width="16.7109375" bestFit="1" customWidth="1"/>
    <col min="39" max="39" width="13.28515625"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85546875" customWidth="1"/>
    <col min="81" max="16384" width="8.85546875" hidden="1"/>
  </cols>
  <sheetData>
    <row r="1" spans="1:35" s="27" customFormat="1" ht="15.75" customHeight="1" thickBot="1">
      <c r="I1" s="55"/>
      <c r="J1" s="55"/>
      <c r="K1" s="55"/>
      <c r="L1" s="55"/>
      <c r="M1" s="55"/>
      <c r="N1" s="55"/>
      <c r="O1" s="204" t="s">
        <v>72</v>
      </c>
      <c r="P1" s="232">
        <f>SUM(AE11:AE30)</f>
        <v>0</v>
      </c>
      <c r="R1" s="568" t="s">
        <v>73</v>
      </c>
      <c r="T1" s="28"/>
    </row>
    <row r="2" spans="1:35" s="27" customFormat="1" ht="19.899999999999999" customHeight="1">
      <c r="B2" s="85" t="s">
        <v>45</v>
      </c>
      <c r="C2" s="662" t="str">
        <f>IF('2. Site Details'!D5="","Enter site name on 2. Site Details",'2. Site Details'!D5)</f>
        <v>Land off Barnsley Rd, Darton</v>
      </c>
      <c r="D2" s="663"/>
      <c r="F2" s="611" t="s">
        <v>252</v>
      </c>
      <c r="G2" s="612"/>
      <c r="H2" s="613"/>
      <c r="I2" s="55"/>
      <c r="J2" s="624" t="str">
        <f>IFERROR(IF(SUM(O32:O33,J103:J106,J109:J111)&gt;0,"Rule Based Errors Present On Sheet - Red Cells Highlight Errors","All Key Rules Satisfied"),"Technical Errors On Sheet")</f>
        <v>All Key Rules Satisfied</v>
      </c>
      <c r="K2" s="624"/>
      <c r="L2" s="624"/>
      <c r="M2" s="624"/>
      <c r="N2" s="86"/>
      <c r="O2" s="88" t="s">
        <v>75</v>
      </c>
      <c r="P2" s="232">
        <f>N31</f>
        <v>0</v>
      </c>
      <c r="R2" s="568"/>
      <c r="T2" s="28"/>
    </row>
    <row r="3" spans="1:35" s="27" customFormat="1" ht="19.899999999999999" customHeight="1" thickBot="1">
      <c r="B3" s="87" t="s">
        <v>16</v>
      </c>
      <c r="C3" s="664" t="s">
        <v>253</v>
      </c>
      <c r="D3" s="665"/>
      <c r="F3" s="614"/>
      <c r="G3" s="615"/>
      <c r="H3" s="616"/>
      <c r="I3" s="55"/>
      <c r="J3" s="624"/>
      <c r="K3" s="624"/>
      <c r="L3" s="624"/>
      <c r="M3" s="624"/>
      <c r="N3" s="86"/>
      <c r="O3" s="88" t="s">
        <v>77</v>
      </c>
      <c r="P3" s="232">
        <f>L59</f>
        <v>0.31565178586632003</v>
      </c>
      <c r="R3" s="568"/>
      <c r="T3" s="28"/>
    </row>
    <row r="4" spans="1:35" s="27" customFormat="1" ht="19.899999999999999" customHeight="1">
      <c r="B4" s="89"/>
      <c r="C4" s="89"/>
      <c r="D4" s="89"/>
      <c r="F4" s="614"/>
      <c r="G4" s="615"/>
      <c r="H4" s="616"/>
      <c r="I4" s="55"/>
      <c r="J4" s="624"/>
      <c r="K4" s="624"/>
      <c r="L4" s="624"/>
      <c r="M4" s="624"/>
      <c r="N4" s="86"/>
      <c r="O4" s="88" t="s">
        <v>78</v>
      </c>
      <c r="P4" s="232">
        <f>L86</f>
        <v>0</v>
      </c>
      <c r="R4" s="568"/>
      <c r="T4" s="28"/>
    </row>
    <row r="5" spans="1:35" s="27" customFormat="1" ht="19.899999999999999" customHeight="1" thickBot="1">
      <c r="A5" s="90"/>
      <c r="F5" s="614"/>
      <c r="G5" s="615"/>
      <c r="H5" s="616"/>
      <c r="I5" s="55"/>
      <c r="J5" s="624"/>
      <c r="K5" s="624"/>
      <c r="L5" s="624"/>
      <c r="M5" s="624"/>
      <c r="N5" s="86"/>
      <c r="O5" s="91" t="s">
        <v>79</v>
      </c>
      <c r="P5" s="233">
        <f>P1+L59+L86-L31</f>
        <v>0.31565178586632003</v>
      </c>
      <c r="R5" s="568"/>
      <c r="T5" s="28"/>
    </row>
    <row r="6" spans="1:35" s="27" customFormat="1" ht="13.15" customHeight="1" thickBot="1">
      <c r="A6" s="90"/>
      <c r="F6" s="617"/>
      <c r="G6" s="618"/>
      <c r="H6" s="619"/>
      <c r="I6" s="55"/>
      <c r="J6" s="55"/>
      <c r="K6" s="55"/>
      <c r="L6" s="55"/>
      <c r="M6" s="55"/>
      <c r="N6" s="55"/>
      <c r="O6" s="92"/>
      <c r="P6" s="92"/>
      <c r="R6" s="568"/>
      <c r="T6" s="28"/>
    </row>
    <row r="7" spans="1:35" s="27" customFormat="1" ht="19.149999999999999" customHeight="1">
      <c r="B7" s="62" t="s">
        <v>80</v>
      </c>
      <c r="D7" s="93"/>
      <c r="H7" s="28"/>
      <c r="K7" s="28"/>
      <c r="L7" s="32"/>
      <c r="M7" s="32"/>
      <c r="N7" s="32"/>
      <c r="R7" s="568"/>
      <c r="T7" s="28"/>
    </row>
    <row r="8" spans="1:35" s="27" customFormat="1" ht="10.9" customHeight="1" thickBot="1">
      <c r="A8" s="94"/>
      <c r="R8" s="568"/>
    </row>
    <row r="9" spans="1:35" s="27" customFormat="1" ht="29.45" customHeight="1">
      <c r="A9" s="94"/>
      <c r="B9" s="644" t="s">
        <v>67</v>
      </c>
      <c r="C9" s="578" t="s">
        <v>81</v>
      </c>
      <c r="D9" s="583"/>
      <c r="E9" s="593"/>
      <c r="F9" s="598" t="s">
        <v>82</v>
      </c>
      <c r="G9" s="599"/>
      <c r="H9" s="600"/>
      <c r="I9" s="578" t="s">
        <v>254</v>
      </c>
      <c r="J9" s="583"/>
      <c r="K9" s="593"/>
      <c r="L9" s="597" t="s">
        <v>84</v>
      </c>
      <c r="M9" s="570"/>
      <c r="N9" s="571"/>
      <c r="O9" s="597" t="s">
        <v>85</v>
      </c>
      <c r="P9" s="571"/>
      <c r="R9" s="568"/>
      <c r="U9" s="591" t="s">
        <v>86</v>
      </c>
      <c r="V9" s="592"/>
      <c r="W9" s="591" t="s">
        <v>87</v>
      </c>
      <c r="X9" s="592"/>
      <c r="Y9" s="591" t="s">
        <v>88</v>
      </c>
      <c r="Z9" s="604"/>
      <c r="AA9" s="592"/>
      <c r="AB9" s="591" t="s">
        <v>89</v>
      </c>
      <c r="AC9" s="604"/>
      <c r="AD9" s="592"/>
      <c r="AE9" s="591" t="s">
        <v>90</v>
      </c>
      <c r="AF9" s="604"/>
      <c r="AG9" s="592"/>
      <c r="AH9" s="591" t="s">
        <v>91</v>
      </c>
      <c r="AI9" s="592" t="s">
        <v>92</v>
      </c>
    </row>
    <row r="10" spans="1:35" s="27" customFormat="1" ht="32.450000000000003" customHeight="1" thickBot="1">
      <c r="A10" s="94"/>
      <c r="B10" s="645"/>
      <c r="C10" s="329" t="s">
        <v>93</v>
      </c>
      <c r="D10" s="669" t="s">
        <v>94</v>
      </c>
      <c r="E10" s="670"/>
      <c r="F10" s="601"/>
      <c r="G10" s="602"/>
      <c r="H10" s="603"/>
      <c r="I10" s="91" t="s">
        <v>255</v>
      </c>
      <c r="J10" s="315" t="s">
        <v>256</v>
      </c>
      <c r="K10" s="95" t="s">
        <v>257</v>
      </c>
      <c r="L10" s="370" t="s">
        <v>258</v>
      </c>
      <c r="M10" s="371" t="s">
        <v>259</v>
      </c>
      <c r="N10" s="372" t="s">
        <v>100</v>
      </c>
      <c r="O10" s="91" t="s">
        <v>101</v>
      </c>
      <c r="P10" s="95" t="s">
        <v>102</v>
      </c>
      <c r="R10" s="568"/>
      <c r="U10" s="96" t="s">
        <v>103</v>
      </c>
      <c r="V10" s="97" t="s">
        <v>104</v>
      </c>
      <c r="W10" s="96" t="s">
        <v>105</v>
      </c>
      <c r="X10" s="97" t="s">
        <v>104</v>
      </c>
      <c r="Y10" s="96" t="s">
        <v>88</v>
      </c>
      <c r="Z10" s="52" t="s">
        <v>106</v>
      </c>
      <c r="AA10" s="97" t="s">
        <v>107</v>
      </c>
      <c r="AB10" s="96" t="s">
        <v>89</v>
      </c>
      <c r="AC10" s="52" t="s">
        <v>89</v>
      </c>
      <c r="AD10" s="97" t="s">
        <v>108</v>
      </c>
      <c r="AE10" s="96" t="s">
        <v>109</v>
      </c>
      <c r="AF10" s="52" t="s">
        <v>110</v>
      </c>
      <c r="AG10" s="97" t="s">
        <v>111</v>
      </c>
      <c r="AH10" s="688"/>
      <c r="AI10" s="687"/>
    </row>
    <row r="11" spans="1:35" s="27" customFormat="1" ht="28.9">
      <c r="A11" s="94"/>
      <c r="B11" s="143">
        <v>1</v>
      </c>
      <c r="C11" s="337" t="s">
        <v>260</v>
      </c>
      <c r="D11" s="727" t="s">
        <v>261</v>
      </c>
      <c r="E11" s="728"/>
      <c r="F11" s="729" t="s">
        <v>114</v>
      </c>
      <c r="G11" s="730"/>
      <c r="H11" s="731"/>
      <c r="I11" s="216">
        <v>0</v>
      </c>
      <c r="J11" s="217"/>
      <c r="K11" s="218"/>
      <c r="L11" s="167">
        <f>IF(C11="","",IFERROR(IF(I11="","Length Error",((I11/1000)*V11*X11)*(AA11*AD11)),"Value Missing"))</f>
        <v>0</v>
      </c>
      <c r="M11" s="99">
        <f>IF(I11="","",IF(J11+K11&gt;I11,"Length Error",I11-J11-K11))</f>
        <v>0</v>
      </c>
      <c r="N11" s="168">
        <f>IFERROR(IF(I11="","",IF(M11="Length Error","Length Error",((M11/1000)*V11*X11)*(AA11*AD11))),"Value Missing")</f>
        <v>0</v>
      </c>
      <c r="O11" s="190"/>
      <c r="P11" s="191"/>
      <c r="R11" s="568"/>
      <c r="U11" s="100" t="str">
        <f>IF(C11="","",VLOOKUP(D11,'10. All Habitats + Multipliers'!$C$4:$K$99,5,FALSE))</f>
        <v>Medium</v>
      </c>
      <c r="V11" s="101">
        <f>IF(U11="","",VLOOKUP(U11,'12. Lists'!$B$47:$D$49,2,FALSE))</f>
        <v>4</v>
      </c>
      <c r="W11" s="100" t="str">
        <f>IF(C11="","",VLOOKUP(D11,'11. Condition and Temporal'!$B$6:$C$101,2,FALSE))</f>
        <v>Moderate</v>
      </c>
      <c r="X11" s="101">
        <f>IF(W11="","",VLOOKUP(W11,'12. Lists'!$F$47:$G$51,2,FALSE))</f>
        <v>2</v>
      </c>
      <c r="Y11" s="100" t="str">
        <f>IF(C11="","",VLOOKUP(D11,'10. All Habitats + Multipliers'!$C$4:$K$99,9,FALSE))</f>
        <v>Low</v>
      </c>
      <c r="Z11" s="102" t="str">
        <f>IF(Y11="","",VLOOKUP(Y11,'12. Lists'!$B$36:$D$39,2,FALSE))</f>
        <v>Unconnected habitat</v>
      </c>
      <c r="AA11" s="101">
        <f>IF(Y11="","",VLOOKUP(Y11,'12. Lists'!$B$36:$D$39,3,FALSE))</f>
        <v>1</v>
      </c>
      <c r="AB11" s="100" t="str">
        <f>IF(F11="","",F11)</f>
        <v>Within area formally identified in local strategy</v>
      </c>
      <c r="AC11" s="102" t="str">
        <f>IF(AB11="","",VLOOKUP(AB11,'12. Lists'!$F$36:$H$38,2,FALSE))</f>
        <v xml:space="preserve">High strategic significance </v>
      </c>
      <c r="AD11" s="101">
        <f>IF(AB11="","",VLOOKUP(AB11,'12. Lists'!$F$36:$H$38,3,FALSE))</f>
        <v>1.1499999999999999</v>
      </c>
      <c r="AE11" s="103">
        <f>IF(D11="","",((J11/1000)*V11*X11)*(AA11*AD11))</f>
        <v>0</v>
      </c>
      <c r="AF11" s="104">
        <f>IF(D11="","",((K11/1000)*V11*X11)*(AA11*AD11))</f>
        <v>0</v>
      </c>
      <c r="AG11" s="105">
        <f>IF(D11="","",M11)</f>
        <v>0</v>
      </c>
      <c r="AH11" s="100" t="str">
        <f>IF(U11="","",VLOOKUP(U11,'12. Lists'!$B$47:$D$49,3,FALSE))</f>
        <v>Same broad habitat or a higher distinctiveness habitat required</v>
      </c>
      <c r="AI11" s="101" t="str">
        <f>IF(D11="","",VLOOKUP(D11,'11. Condition and Temporal'!$B$6:$J$101,4,FALSE))</f>
        <v>Native Species Rich Hedgerow</v>
      </c>
    </row>
    <row r="12" spans="1:35" s="27" customFormat="1" ht="15.75" customHeight="1">
      <c r="B12" s="106">
        <v>2</v>
      </c>
      <c r="C12" s="82"/>
      <c r="D12" s="534"/>
      <c r="E12" s="535"/>
      <c r="F12" s="732"/>
      <c r="G12" s="733"/>
      <c r="H12" s="734"/>
      <c r="I12" s="219"/>
      <c r="J12" s="213"/>
      <c r="K12" s="220"/>
      <c r="L12" s="166" t="str">
        <f t="shared" ref="L12:L30" si="0">IF(C12="","",IFERROR(IF(I12="","Length Error",((I12/1000)*V12*X12)*(AA12*AD12)),"Value Missing"))</f>
        <v/>
      </c>
      <c r="M12" s="107" t="str">
        <f t="shared" ref="M12:M30" si="1">IF(I12="","",IF(J12+K12&gt;I12,"Length Error",I12-J12-K12))</f>
        <v/>
      </c>
      <c r="N12" s="351" t="str">
        <f t="shared" ref="N12:N30" si="2">IFERROR(IF(I12="","",IF(M12="Length Error","Length Error",((M12/1000)*V12*X12)*(AA12*AD12))),"Value Missing")</f>
        <v/>
      </c>
      <c r="O12" s="73"/>
      <c r="P12" s="3"/>
      <c r="R12" s="568"/>
      <c r="U12" s="100" t="str">
        <f>IF(C12="","",VLOOKUP(D12,'10. All Habitats + Multipliers'!$C$4:$K$99,5,FALSE))</f>
        <v/>
      </c>
      <c r="V12" s="101" t="str">
        <f>IF(U12="","",VLOOKUP(U12,'12. Lists'!$B$47:$D$49,2,FALSE))</f>
        <v/>
      </c>
      <c r="W12" s="100" t="str">
        <f>IF(C12="","",VLOOKUP(D12,'11. Condition and Temporal'!$B$6:$C$101,2,FALSE))</f>
        <v/>
      </c>
      <c r="X12" s="101" t="str">
        <f>IF(W12="","",VLOOKUP(W12,'12. Lists'!$F$47:$G$51,2,FALSE))</f>
        <v/>
      </c>
      <c r="Y12" s="100" t="str">
        <f>IF(C12="","",VLOOKUP(D12,'10. All Habitats + Multipliers'!$C$4:$K$99,9,FALSE))</f>
        <v/>
      </c>
      <c r="Z12" s="102" t="str">
        <f>IF(Y12="","",VLOOKUP(Y12,'12. Lists'!$B$36:$D$39,2,FALSE))</f>
        <v/>
      </c>
      <c r="AA12" s="101" t="str">
        <f>IF(Y12="","",VLOOKUP(Y12,'12. Lists'!$B$36:$D$39,3,FALSE))</f>
        <v/>
      </c>
      <c r="AB12" s="100" t="str">
        <f>IF(F12="","",F12)</f>
        <v/>
      </c>
      <c r="AC12" s="102" t="str">
        <f>IF(AB12="","",VLOOKUP(AB12,'12. Lists'!$F$36:$H$38,2,FALSE))</f>
        <v/>
      </c>
      <c r="AD12" s="101" t="str">
        <f>IF(AB12="","",VLOOKUP(AB12,'12. Lists'!$F$36:$H$38,3,FALSE))</f>
        <v/>
      </c>
      <c r="AE12" s="103" t="str">
        <f>IF(D12="","",((J12/1000)*V12*X12)*(AA12*AD12))</f>
        <v/>
      </c>
      <c r="AF12" s="104" t="str">
        <f>IF(D12="","",((K12/1000)*V12*X12)*(AA12*AD12))</f>
        <v/>
      </c>
      <c r="AG12" s="105" t="str">
        <f t="shared" ref="AG12:AG30" si="3">IF(D12="","",M12)</f>
        <v/>
      </c>
      <c r="AH12" s="100" t="str">
        <f>IF(U12="","",VLOOKUP(U12,'12. Lists'!$B$47:$D$49,3,FALSE))</f>
        <v/>
      </c>
      <c r="AI12" s="101" t="str">
        <f>IF(D12="","",VLOOKUP(D12,'11. Condition and Temporal'!$B$6:$J$101,4,FALSE))</f>
        <v/>
      </c>
    </row>
    <row r="13" spans="1:35" s="27" customFormat="1" ht="30.75" customHeight="1">
      <c r="B13" s="106">
        <v>3</v>
      </c>
      <c r="C13" s="82"/>
      <c r="D13" s="534"/>
      <c r="E13" s="535"/>
      <c r="F13" s="732"/>
      <c r="G13" s="733"/>
      <c r="H13" s="734"/>
      <c r="I13" s="219"/>
      <c r="J13" s="213"/>
      <c r="K13" s="220"/>
      <c r="L13" s="166" t="str">
        <f>IF(C13="","",IFERROR(IF(I13="","Length Error",((I13/1000)*V13*X13)*(AA13*AD13)),"Value Missing"))</f>
        <v/>
      </c>
      <c r="M13" s="107" t="str">
        <f t="shared" si="1"/>
        <v/>
      </c>
      <c r="N13" s="351" t="str">
        <f t="shared" si="2"/>
        <v/>
      </c>
      <c r="O13" s="73"/>
      <c r="P13" s="3"/>
      <c r="R13" s="568"/>
      <c r="U13" s="100" t="str">
        <f>IF(C13="","",VLOOKUP(D13,'10. All Habitats + Multipliers'!$C$4:$K$99,5,FALSE))</f>
        <v/>
      </c>
      <c r="V13" s="101" t="str">
        <f>IF(U13="","",VLOOKUP(U13,'12. Lists'!$B$47:$D$49,2,FALSE))</f>
        <v/>
      </c>
      <c r="W13" s="100" t="str">
        <f>IF(C13="","",VLOOKUP(D13,'11. Condition and Temporal'!$B$6:$C$101,2,FALSE))</f>
        <v/>
      </c>
      <c r="X13" s="101" t="str">
        <f>IF(W13="","",VLOOKUP(W13,'12. Lists'!$F$47:$G$51,2,FALSE))</f>
        <v/>
      </c>
      <c r="Y13" s="100" t="str">
        <f>IF(C13="","",VLOOKUP(D13,'10. All Habitats + Multipliers'!$C$4:$K$99,9,FALSE))</f>
        <v/>
      </c>
      <c r="Z13" s="102" t="str">
        <f>IF(Y13="","",VLOOKUP(Y13,'12. Lists'!$B$36:$D$39,2,FALSE))</f>
        <v/>
      </c>
      <c r="AA13" s="101" t="str">
        <f>IF(Y13="","",VLOOKUP(Y13,'12. Lists'!$B$36:$D$39,3,FALSE))</f>
        <v/>
      </c>
      <c r="AB13" s="100" t="str">
        <f t="shared" ref="AB13:AB30" si="4">IF(F13="","",F13)</f>
        <v/>
      </c>
      <c r="AC13" s="102" t="str">
        <f>IF(AB13="","",VLOOKUP(AB13,'12. Lists'!$F$36:$H$38,2,FALSE))</f>
        <v/>
      </c>
      <c r="AD13" s="101" t="str">
        <f>IF(AB13="","",VLOOKUP(AB13,'12. Lists'!$F$36:$H$38,3,FALSE))</f>
        <v/>
      </c>
      <c r="AE13" s="103" t="str">
        <f>IF(D13="","",((J13/1000)*V13*X13)*(AA13*AD13))</f>
        <v/>
      </c>
      <c r="AF13" s="104" t="str">
        <f t="shared" ref="AF13:AF30" si="5">IF(D13="","",((K13/1000)*V13*X13)*(AA13*AD13))</f>
        <v/>
      </c>
      <c r="AG13" s="105" t="str">
        <f t="shared" si="3"/>
        <v/>
      </c>
      <c r="AH13" s="100" t="str">
        <f>IF(U13="","",VLOOKUP(U13,'12. Lists'!$B$47:$D$49,3,FALSE))</f>
        <v/>
      </c>
      <c r="AI13" s="101" t="str">
        <f>IF(D13="","",VLOOKUP(D13,'11. Condition and Temporal'!$B$6:$J$101,4,FALSE))</f>
        <v/>
      </c>
    </row>
    <row r="14" spans="1:35" s="27" customFormat="1" ht="15.75" customHeight="1">
      <c r="B14" s="106">
        <v>4</v>
      </c>
      <c r="C14" s="82"/>
      <c r="D14" s="534"/>
      <c r="E14" s="535"/>
      <c r="F14" s="732"/>
      <c r="G14" s="733"/>
      <c r="H14" s="734"/>
      <c r="I14" s="219"/>
      <c r="J14" s="213"/>
      <c r="K14" s="220"/>
      <c r="L14" s="166" t="str">
        <f t="shared" si="0"/>
        <v/>
      </c>
      <c r="M14" s="107" t="str">
        <f t="shared" si="1"/>
        <v/>
      </c>
      <c r="N14" s="351" t="str">
        <f t="shared" si="2"/>
        <v/>
      </c>
      <c r="O14" s="73"/>
      <c r="P14" s="3"/>
      <c r="R14" s="568"/>
      <c r="U14" s="100" t="str">
        <f>IF(C14="","",VLOOKUP(D14,'10. All Habitats + Multipliers'!$C$4:$K$99,5,FALSE))</f>
        <v/>
      </c>
      <c r="V14" s="101" t="str">
        <f>IF(U14="","",VLOOKUP(U14,'12. Lists'!$B$47:$D$49,2,FALSE))</f>
        <v/>
      </c>
      <c r="W14" s="100" t="str">
        <f>IF(C14="","",VLOOKUP(D14,'11. Condition and Temporal'!$B$6:$C$101,2,FALSE))</f>
        <v/>
      </c>
      <c r="X14" s="101" t="str">
        <f>IF(W14="","",VLOOKUP(W14,'12. Lists'!$F$47:$G$51,2,FALSE))</f>
        <v/>
      </c>
      <c r="Y14" s="100" t="str">
        <f>IF(C14="","",VLOOKUP(D14,'10. All Habitats + Multipliers'!$C$4:$K$99,9,FALSE))</f>
        <v/>
      </c>
      <c r="Z14" s="102" t="str">
        <f>IF(Y14="","",VLOOKUP(Y14,'12. Lists'!$B$36:$D$39,2,FALSE))</f>
        <v/>
      </c>
      <c r="AA14" s="101" t="str">
        <f>IF(Y14="","",VLOOKUP(Y14,'12. Lists'!$B$36:$D$39,3,FALSE))</f>
        <v/>
      </c>
      <c r="AB14" s="100" t="str">
        <f t="shared" si="4"/>
        <v/>
      </c>
      <c r="AC14" s="102" t="str">
        <f>IF(AB14="","",VLOOKUP(AB14,'12. Lists'!$F$36:$H$38,2,FALSE))</f>
        <v/>
      </c>
      <c r="AD14" s="101" t="str">
        <f>IF(AB14="","",VLOOKUP(AB14,'12. Lists'!$F$36:$H$38,3,FALSE))</f>
        <v/>
      </c>
      <c r="AE14" s="103" t="str">
        <f t="shared" ref="AE14:AE30" si="6">IF(D14="","",((J14/1000)*V14*X14)*(AA14*AD14))</f>
        <v/>
      </c>
      <c r="AF14" s="104" t="str">
        <f t="shared" si="5"/>
        <v/>
      </c>
      <c r="AG14" s="105" t="str">
        <f t="shared" si="3"/>
        <v/>
      </c>
      <c r="AH14" s="100" t="str">
        <f>IF(U14="","",VLOOKUP(U14,'12. Lists'!$B$47:$D$49,3,FALSE))</f>
        <v/>
      </c>
      <c r="AI14" s="101" t="str">
        <f>IF(D14="","",VLOOKUP(D14,'11. Condition and Temporal'!$B$6:$J$101,4,FALSE))</f>
        <v/>
      </c>
    </row>
    <row r="15" spans="1:35" s="27" customFormat="1" ht="15.6">
      <c r="B15" s="106">
        <v>5</v>
      </c>
      <c r="C15" s="82"/>
      <c r="D15" s="534"/>
      <c r="E15" s="535"/>
      <c r="F15" s="607"/>
      <c r="G15" s="608"/>
      <c r="H15" s="609"/>
      <c r="I15" s="219"/>
      <c r="J15" s="213"/>
      <c r="K15" s="220"/>
      <c r="L15" s="166" t="str">
        <f t="shared" si="0"/>
        <v/>
      </c>
      <c r="M15" s="107" t="str">
        <f t="shared" si="1"/>
        <v/>
      </c>
      <c r="N15" s="351" t="str">
        <f t="shared" si="2"/>
        <v/>
      </c>
      <c r="O15" s="73"/>
      <c r="P15" s="3"/>
      <c r="R15" s="568"/>
      <c r="U15" s="100" t="str">
        <f>IF(C15="","",VLOOKUP(D15,'10. All Habitats + Multipliers'!$C$4:$K$99,5,FALSE))</f>
        <v/>
      </c>
      <c r="V15" s="101" t="str">
        <f>IF(U15="","",VLOOKUP(U15,'12. Lists'!$B$47:$D$49,2,FALSE))</f>
        <v/>
      </c>
      <c r="W15" s="100" t="str">
        <f>IF(C15="","",VLOOKUP(D15,'11. Condition and Temporal'!$B$6:$C$101,2,FALSE))</f>
        <v/>
      </c>
      <c r="X15" s="101" t="str">
        <f>IF(W15="","",VLOOKUP(W15,'12. Lists'!$F$47:$G$51,2,FALSE))</f>
        <v/>
      </c>
      <c r="Y15" s="100" t="str">
        <f>IF(C15="","",VLOOKUP(D15,'10. All Habitats + Multipliers'!$C$4:$K$99,9,FALSE))</f>
        <v/>
      </c>
      <c r="Z15" s="102" t="str">
        <f>IF(Y15="","",VLOOKUP(Y15,'12. Lists'!$B$36:$D$39,2,FALSE))</f>
        <v/>
      </c>
      <c r="AA15" s="101" t="str">
        <f>IF(Y15="","",VLOOKUP(Y15,'12. Lists'!$B$36:$D$39,3,FALSE))</f>
        <v/>
      </c>
      <c r="AB15" s="100" t="str">
        <f t="shared" si="4"/>
        <v/>
      </c>
      <c r="AC15" s="102" t="str">
        <f>IF(AB15="","",VLOOKUP(AB15,'12. Lists'!$F$36:$H$38,2,FALSE))</f>
        <v/>
      </c>
      <c r="AD15" s="101" t="str">
        <f>IF(AB15="","",VLOOKUP(AB15,'12. Lists'!$F$36:$H$38,3,FALSE))</f>
        <v/>
      </c>
      <c r="AE15" s="103" t="str">
        <f t="shared" si="6"/>
        <v/>
      </c>
      <c r="AF15" s="104" t="str">
        <f t="shared" si="5"/>
        <v/>
      </c>
      <c r="AG15" s="105" t="str">
        <f t="shared" si="3"/>
        <v/>
      </c>
      <c r="AH15" s="100" t="str">
        <f>IF(U15="","",VLOOKUP(U15,'12. Lists'!$B$47:$D$49,3,FALSE))</f>
        <v/>
      </c>
      <c r="AI15" s="101" t="str">
        <f>IF(D15="","",VLOOKUP(D15,'11. Condition and Temporal'!$B$6:$J$101,4,FALSE))</f>
        <v/>
      </c>
    </row>
    <row r="16" spans="1:35" s="27" customFormat="1" ht="15.6">
      <c r="B16" s="106">
        <v>6</v>
      </c>
      <c r="C16" s="82"/>
      <c r="D16" s="534"/>
      <c r="E16" s="535"/>
      <c r="F16" s="607"/>
      <c r="G16" s="608"/>
      <c r="H16" s="609"/>
      <c r="I16" s="219"/>
      <c r="J16" s="213"/>
      <c r="K16" s="220"/>
      <c r="L16" s="166" t="str">
        <f t="shared" si="0"/>
        <v/>
      </c>
      <c r="M16" s="107" t="str">
        <f t="shared" si="1"/>
        <v/>
      </c>
      <c r="N16" s="351" t="str">
        <f t="shared" si="2"/>
        <v/>
      </c>
      <c r="O16" s="73"/>
      <c r="P16" s="3"/>
      <c r="R16" s="568"/>
      <c r="U16" s="100" t="str">
        <f>IF(C16="","",VLOOKUP(D16,'10. All Habitats + Multipliers'!$C$4:$K$99,5,FALSE))</f>
        <v/>
      </c>
      <c r="V16" s="101" t="str">
        <f>IF(U16="","",VLOOKUP(U16,'12. Lists'!$B$47:$D$49,2,FALSE))</f>
        <v/>
      </c>
      <c r="W16" s="100" t="str">
        <f>IF(C16="","",VLOOKUP(D16,'11. Condition and Temporal'!$B$6:$C$101,2,FALSE))</f>
        <v/>
      </c>
      <c r="X16" s="101" t="str">
        <f>IF(W16="","",VLOOKUP(W16,'12. Lists'!$F$47:$G$51,2,FALSE))</f>
        <v/>
      </c>
      <c r="Y16" s="100" t="str">
        <f>IF(C16="","",VLOOKUP(D16,'10. All Habitats + Multipliers'!$C$4:$K$99,9,FALSE))</f>
        <v/>
      </c>
      <c r="Z16" s="102" t="str">
        <f>IF(Y16="","",VLOOKUP(Y16,'12. Lists'!$B$36:$D$39,2,FALSE))</f>
        <v/>
      </c>
      <c r="AA16" s="101" t="str">
        <f>IF(Y16="","",VLOOKUP(Y16,'12. Lists'!$B$36:$D$39,3,FALSE))</f>
        <v/>
      </c>
      <c r="AB16" s="100" t="str">
        <f t="shared" si="4"/>
        <v/>
      </c>
      <c r="AC16" s="102" t="str">
        <f>IF(AB16="","",VLOOKUP(AB16,'12. Lists'!$F$36:$H$38,2,FALSE))</f>
        <v/>
      </c>
      <c r="AD16" s="101" t="str">
        <f>IF(AB16="","",VLOOKUP(AB16,'12. Lists'!$F$36:$H$38,3,FALSE))</f>
        <v/>
      </c>
      <c r="AE16" s="103" t="str">
        <f t="shared" si="6"/>
        <v/>
      </c>
      <c r="AF16" s="104" t="str">
        <f t="shared" si="5"/>
        <v/>
      </c>
      <c r="AG16" s="105" t="str">
        <f t="shared" si="3"/>
        <v/>
      </c>
      <c r="AH16" s="100" t="str">
        <f>IF(U16="","",VLOOKUP(U16,'12. Lists'!$B$47:$D$49,3,FALSE))</f>
        <v/>
      </c>
      <c r="AI16" s="101" t="str">
        <f>IF(D16="","",VLOOKUP(D16,'11. Condition and Temporal'!$B$6:$J$101,4,FALSE))</f>
        <v/>
      </c>
    </row>
    <row r="17" spans="2:35" s="27" customFormat="1" ht="15.6">
      <c r="B17" s="106">
        <v>7</v>
      </c>
      <c r="C17" s="82"/>
      <c r="D17" s="534"/>
      <c r="E17" s="535"/>
      <c r="F17" s="607"/>
      <c r="G17" s="608"/>
      <c r="H17" s="609"/>
      <c r="I17" s="219"/>
      <c r="J17" s="213"/>
      <c r="K17" s="220"/>
      <c r="L17" s="166" t="str">
        <f t="shared" si="0"/>
        <v/>
      </c>
      <c r="M17" s="107" t="str">
        <f t="shared" si="1"/>
        <v/>
      </c>
      <c r="N17" s="351" t="str">
        <f t="shared" si="2"/>
        <v/>
      </c>
      <c r="O17" s="73"/>
      <c r="P17" s="3"/>
      <c r="R17" s="568"/>
      <c r="U17" s="100" t="str">
        <f>IF(C17="","",VLOOKUP(D17,'10. All Habitats + Multipliers'!$C$4:$K$99,5,FALSE))</f>
        <v/>
      </c>
      <c r="V17" s="101" t="str">
        <f>IF(U17="","",VLOOKUP(U17,'12. Lists'!$B$47:$D$49,2,FALSE))</f>
        <v/>
      </c>
      <c r="W17" s="100" t="str">
        <f>IF(C17="","",VLOOKUP(D17,'11. Condition and Temporal'!$B$6:$C$101,2,FALSE))</f>
        <v/>
      </c>
      <c r="X17" s="101" t="str">
        <f>IF(W17="","",VLOOKUP(W17,'12. Lists'!$F$47:$G$51,2,FALSE))</f>
        <v/>
      </c>
      <c r="Y17" s="100" t="str">
        <f>IF(C17="","",VLOOKUP(D17,'10. All Habitats + Multipliers'!$C$4:$K$99,9,FALSE))</f>
        <v/>
      </c>
      <c r="Z17" s="102" t="str">
        <f>IF(Y17="","",VLOOKUP(Y17,'12. Lists'!$B$36:$D$39,2,FALSE))</f>
        <v/>
      </c>
      <c r="AA17" s="101" t="str">
        <f>IF(Y17="","",VLOOKUP(Y17,'12. Lists'!$B$36:$D$39,3,FALSE))</f>
        <v/>
      </c>
      <c r="AB17" s="100" t="str">
        <f t="shared" si="4"/>
        <v/>
      </c>
      <c r="AC17" s="102" t="str">
        <f>IF(AB17="","",VLOOKUP(AB17,'12. Lists'!$F$36:$H$38,2,FALSE))</f>
        <v/>
      </c>
      <c r="AD17" s="101" t="str">
        <f>IF(AB17="","",VLOOKUP(AB17,'12. Lists'!$F$36:$H$38,3,FALSE))</f>
        <v/>
      </c>
      <c r="AE17" s="103" t="str">
        <f t="shared" si="6"/>
        <v/>
      </c>
      <c r="AF17" s="104" t="str">
        <f t="shared" si="5"/>
        <v/>
      </c>
      <c r="AG17" s="105" t="str">
        <f t="shared" si="3"/>
        <v/>
      </c>
      <c r="AH17" s="100" t="str">
        <f>IF(U17="","",VLOOKUP(U17,'12. Lists'!$B$47:$D$49,3,FALSE))</f>
        <v/>
      </c>
      <c r="AI17" s="101" t="str">
        <f>IF(D17="","",VLOOKUP(D17,'11. Condition and Temporal'!$B$6:$J$101,4,FALSE))</f>
        <v/>
      </c>
    </row>
    <row r="18" spans="2:35" s="27" customFormat="1" ht="15.6">
      <c r="B18" s="106">
        <v>8</v>
      </c>
      <c r="C18" s="82"/>
      <c r="D18" s="534"/>
      <c r="E18" s="535"/>
      <c r="F18" s="607"/>
      <c r="G18" s="608"/>
      <c r="H18" s="609"/>
      <c r="I18" s="219"/>
      <c r="J18" s="213"/>
      <c r="K18" s="220"/>
      <c r="L18" s="166" t="str">
        <f t="shared" si="0"/>
        <v/>
      </c>
      <c r="M18" s="107" t="str">
        <f t="shared" si="1"/>
        <v/>
      </c>
      <c r="N18" s="351" t="str">
        <f t="shared" si="2"/>
        <v/>
      </c>
      <c r="O18" s="73"/>
      <c r="P18" s="3"/>
      <c r="R18" s="568"/>
      <c r="U18" s="100" t="str">
        <f>IF(C18="","",VLOOKUP(D18,'10. All Habitats + Multipliers'!$C$4:$K$99,5,FALSE))</f>
        <v/>
      </c>
      <c r="V18" s="101" t="str">
        <f>IF(U18="","",VLOOKUP(U18,'12. Lists'!$B$47:$D$49,2,FALSE))</f>
        <v/>
      </c>
      <c r="W18" s="100" t="str">
        <f>IF(C18="","",VLOOKUP(D18,'11. Condition and Temporal'!$B$6:$C$101,2,FALSE))</f>
        <v/>
      </c>
      <c r="X18" s="101" t="str">
        <f>IF(W18="","",VLOOKUP(W18,'12. Lists'!$F$47:$G$51,2,FALSE))</f>
        <v/>
      </c>
      <c r="Y18" s="100" t="str">
        <f>IF(C18="","",VLOOKUP(D18,'10. All Habitats + Multipliers'!$C$4:$K$99,9,FALSE))</f>
        <v/>
      </c>
      <c r="Z18" s="102" t="str">
        <f>IF(Y18="","",VLOOKUP(Y18,'12. Lists'!$B$36:$D$39,2,FALSE))</f>
        <v/>
      </c>
      <c r="AA18" s="101" t="str">
        <f>IF(Y18="","",VLOOKUP(Y18,'12. Lists'!$B$36:$D$39,3,FALSE))</f>
        <v/>
      </c>
      <c r="AB18" s="100" t="str">
        <f t="shared" si="4"/>
        <v/>
      </c>
      <c r="AC18" s="102" t="str">
        <f>IF(AB18="","",VLOOKUP(AB18,'12. Lists'!$F$36:$H$38,2,FALSE))</f>
        <v/>
      </c>
      <c r="AD18" s="101" t="str">
        <f>IF(AB18="","",VLOOKUP(AB18,'12. Lists'!$F$36:$H$38,3,FALSE))</f>
        <v/>
      </c>
      <c r="AE18" s="103" t="str">
        <f t="shared" si="6"/>
        <v/>
      </c>
      <c r="AF18" s="104" t="str">
        <f t="shared" si="5"/>
        <v/>
      </c>
      <c r="AG18" s="105" t="str">
        <f t="shared" si="3"/>
        <v/>
      </c>
      <c r="AH18" s="100" t="str">
        <f>IF(U18="","",VLOOKUP(U18,'12. Lists'!$B$47:$D$49,3,FALSE))</f>
        <v/>
      </c>
      <c r="AI18" s="101" t="str">
        <f>IF(D18="","",VLOOKUP(D18,'11. Condition and Temporal'!$B$6:$J$101,4,FALSE))</f>
        <v/>
      </c>
    </row>
    <row r="19" spans="2:35" s="27" customFormat="1" ht="15.6">
      <c r="B19" s="106">
        <v>9</v>
      </c>
      <c r="C19" s="82"/>
      <c r="D19" s="534"/>
      <c r="E19" s="535"/>
      <c r="F19" s="607"/>
      <c r="G19" s="608"/>
      <c r="H19" s="609"/>
      <c r="I19" s="219"/>
      <c r="J19" s="213"/>
      <c r="K19" s="220"/>
      <c r="L19" s="166" t="str">
        <f t="shared" si="0"/>
        <v/>
      </c>
      <c r="M19" s="107" t="str">
        <f t="shared" si="1"/>
        <v/>
      </c>
      <c r="N19" s="351" t="str">
        <f t="shared" si="2"/>
        <v/>
      </c>
      <c r="O19" s="73"/>
      <c r="P19" s="3"/>
      <c r="R19" s="568"/>
      <c r="U19" s="100" t="str">
        <f>IF(C19="","",VLOOKUP(D19,'10. All Habitats + Multipliers'!$C$4:$K$99,5,FALSE))</f>
        <v/>
      </c>
      <c r="V19" s="101" t="str">
        <f>IF(U19="","",VLOOKUP(U19,'12. Lists'!$B$47:$D$49,2,FALSE))</f>
        <v/>
      </c>
      <c r="W19" s="100" t="str">
        <f>IF(C19="","",VLOOKUP(D19,'11. Condition and Temporal'!$B$6:$C$101,2,FALSE))</f>
        <v/>
      </c>
      <c r="X19" s="101" t="str">
        <f>IF(W19="","",VLOOKUP(W19,'12. Lists'!$F$47:$G$51,2,FALSE))</f>
        <v/>
      </c>
      <c r="Y19" s="100" t="str">
        <f>IF(C19="","",VLOOKUP(D19,'10. All Habitats + Multipliers'!$C$4:$K$99,9,FALSE))</f>
        <v/>
      </c>
      <c r="Z19" s="102" t="str">
        <f>IF(Y19="","",VLOOKUP(Y19,'12. Lists'!$B$36:$D$39,2,FALSE))</f>
        <v/>
      </c>
      <c r="AA19" s="101" t="str">
        <f>IF(Y19="","",VLOOKUP(Y19,'12. Lists'!$B$36:$D$39,3,FALSE))</f>
        <v/>
      </c>
      <c r="AB19" s="100" t="str">
        <f t="shared" si="4"/>
        <v/>
      </c>
      <c r="AC19" s="102" t="str">
        <f>IF(AB19="","",VLOOKUP(AB19,'12. Lists'!$F$36:$H$38,2,FALSE))</f>
        <v/>
      </c>
      <c r="AD19" s="101" t="str">
        <f>IF(AB19="","",VLOOKUP(AB19,'12. Lists'!$F$36:$H$38,3,FALSE))</f>
        <v/>
      </c>
      <c r="AE19" s="103" t="str">
        <f t="shared" si="6"/>
        <v/>
      </c>
      <c r="AF19" s="104" t="str">
        <f t="shared" si="5"/>
        <v/>
      </c>
      <c r="AG19" s="105" t="str">
        <f t="shared" si="3"/>
        <v/>
      </c>
      <c r="AH19" s="100" t="str">
        <f>IF(U19="","",VLOOKUP(U19,'12. Lists'!$B$47:$D$49,3,FALSE))</f>
        <v/>
      </c>
      <c r="AI19" s="101" t="str">
        <f>IF(D19="","",VLOOKUP(D19,'11. Condition and Temporal'!$B$6:$J$101,4,FALSE))</f>
        <v/>
      </c>
    </row>
    <row r="20" spans="2:35" s="27" customFormat="1" ht="15.6">
      <c r="B20" s="106">
        <v>10</v>
      </c>
      <c r="C20" s="81"/>
      <c r="D20" s="534"/>
      <c r="E20" s="535"/>
      <c r="F20" s="607"/>
      <c r="G20" s="608"/>
      <c r="H20" s="609"/>
      <c r="I20" s="219"/>
      <c r="J20" s="213"/>
      <c r="K20" s="220"/>
      <c r="L20" s="166" t="str">
        <f t="shared" si="0"/>
        <v/>
      </c>
      <c r="M20" s="107" t="str">
        <f t="shared" si="1"/>
        <v/>
      </c>
      <c r="N20" s="351" t="str">
        <f t="shared" si="2"/>
        <v/>
      </c>
      <c r="O20" s="74"/>
      <c r="P20" s="8"/>
      <c r="R20" s="568"/>
      <c r="U20" s="100" t="str">
        <f>IF(C20="","",VLOOKUP(D20,'10. All Habitats + Multipliers'!$C$4:$K$99,5,FALSE))</f>
        <v/>
      </c>
      <c r="V20" s="101" t="str">
        <f>IF(U20="","",VLOOKUP(U20,'12. Lists'!$B$47:$D$49,2,FALSE))</f>
        <v/>
      </c>
      <c r="W20" s="100" t="str">
        <f>IF(C20="","",VLOOKUP(D20,'11. Condition and Temporal'!$B$6:$C$101,2,FALSE))</f>
        <v/>
      </c>
      <c r="X20" s="101" t="str">
        <f>IF(W20="","",VLOOKUP(W20,'12. Lists'!$F$47:$G$51,2,FALSE))</f>
        <v/>
      </c>
      <c r="Y20" s="100" t="str">
        <f>IF(C20="","",VLOOKUP(D20,'10. All Habitats + Multipliers'!$C$4:$K$99,9,FALSE))</f>
        <v/>
      </c>
      <c r="Z20" s="102" t="str">
        <f>IF(Y20="","",VLOOKUP(Y20,'12. Lists'!$B$36:$D$39,2,FALSE))</f>
        <v/>
      </c>
      <c r="AA20" s="101" t="str">
        <f>IF(Y20="","",VLOOKUP(Y20,'12. Lists'!$B$36:$D$39,3,FALSE))</f>
        <v/>
      </c>
      <c r="AB20" s="100" t="str">
        <f t="shared" si="4"/>
        <v/>
      </c>
      <c r="AC20" s="102" t="str">
        <f>IF(AB20="","",VLOOKUP(AB20,'12. Lists'!$F$36:$H$38,2,FALSE))</f>
        <v/>
      </c>
      <c r="AD20" s="101" t="str">
        <f>IF(AB20="","",VLOOKUP(AB20,'12. Lists'!$F$36:$H$38,3,FALSE))</f>
        <v/>
      </c>
      <c r="AE20" s="103" t="str">
        <f t="shared" si="6"/>
        <v/>
      </c>
      <c r="AF20" s="104" t="str">
        <f t="shared" si="5"/>
        <v/>
      </c>
      <c r="AG20" s="105" t="str">
        <f t="shared" si="3"/>
        <v/>
      </c>
      <c r="AH20" s="100" t="str">
        <f>IF(U20="","",VLOOKUP(U20,'12. Lists'!$B$47:$D$49,3,FALSE))</f>
        <v/>
      </c>
      <c r="AI20" s="101" t="str">
        <f>IF(D20="","",VLOOKUP(D20,'11. Condition and Temporal'!$B$6:$J$101,4,FALSE))</f>
        <v/>
      </c>
    </row>
    <row r="21" spans="2:35" s="27" customFormat="1" ht="15.6">
      <c r="B21" s="106">
        <v>11</v>
      </c>
      <c r="C21" s="82"/>
      <c r="D21" s="534"/>
      <c r="E21" s="535"/>
      <c r="F21" s="607"/>
      <c r="G21" s="608"/>
      <c r="H21" s="609"/>
      <c r="I21" s="219"/>
      <c r="J21" s="213"/>
      <c r="K21" s="220"/>
      <c r="L21" s="166" t="str">
        <f t="shared" si="0"/>
        <v/>
      </c>
      <c r="M21" s="107" t="str">
        <f t="shared" si="1"/>
        <v/>
      </c>
      <c r="N21" s="351" t="str">
        <f t="shared" si="2"/>
        <v/>
      </c>
      <c r="O21" s="74"/>
      <c r="P21" s="8"/>
      <c r="R21" s="568"/>
      <c r="U21" s="100" t="str">
        <f>IF(C21="","",VLOOKUP(D21,'10. All Habitats + Multipliers'!$C$4:$K$99,5,FALSE))</f>
        <v/>
      </c>
      <c r="V21" s="101" t="str">
        <f>IF(U21="","",VLOOKUP(U21,'12. Lists'!$B$47:$D$49,2,FALSE))</f>
        <v/>
      </c>
      <c r="W21" s="100" t="str">
        <f>IF(C21="","",VLOOKUP(D21,'11. Condition and Temporal'!$B$6:$C$101,2,FALSE))</f>
        <v/>
      </c>
      <c r="X21" s="101" t="str">
        <f>IF(W21="","",VLOOKUP(W21,'12. Lists'!$F$47:$G$51,2,FALSE))</f>
        <v/>
      </c>
      <c r="Y21" s="100" t="str">
        <f>IF(C21="","",VLOOKUP(D21,'10. All Habitats + Multipliers'!$C$4:$K$99,9,FALSE))</f>
        <v/>
      </c>
      <c r="Z21" s="102" t="str">
        <f>IF(Y21="","",VLOOKUP(Y21,'12. Lists'!$B$36:$D$39,2,FALSE))</f>
        <v/>
      </c>
      <c r="AA21" s="101" t="str">
        <f>IF(Y21="","",VLOOKUP(Y21,'12. Lists'!$B$36:$D$39,3,FALSE))</f>
        <v/>
      </c>
      <c r="AB21" s="100" t="str">
        <f t="shared" si="4"/>
        <v/>
      </c>
      <c r="AC21" s="102" t="str">
        <f>IF(AB21="","",VLOOKUP(AB21,'12. Lists'!$F$36:$H$38,2,FALSE))</f>
        <v/>
      </c>
      <c r="AD21" s="101" t="str">
        <f>IF(AB21="","",VLOOKUP(AB21,'12. Lists'!$F$36:$H$38,3,FALSE))</f>
        <v/>
      </c>
      <c r="AE21" s="103" t="str">
        <f t="shared" si="6"/>
        <v/>
      </c>
      <c r="AF21" s="104" t="str">
        <f t="shared" si="5"/>
        <v/>
      </c>
      <c r="AG21" s="105" t="str">
        <f t="shared" si="3"/>
        <v/>
      </c>
      <c r="AH21" s="100" t="str">
        <f>IF(U21="","",VLOOKUP(U21,'12. Lists'!$B$47:$D$49,3,FALSE))</f>
        <v/>
      </c>
      <c r="AI21" s="101" t="str">
        <f>IF(D21="","",VLOOKUP(D21,'11. Condition and Temporal'!$B$6:$J$101,4,FALSE))</f>
        <v/>
      </c>
    </row>
    <row r="22" spans="2:35" s="27" customFormat="1" ht="15.6">
      <c r="B22" s="106">
        <v>12</v>
      </c>
      <c r="C22" s="82"/>
      <c r="D22" s="534"/>
      <c r="E22" s="535"/>
      <c r="F22" s="607"/>
      <c r="G22" s="608"/>
      <c r="H22" s="609"/>
      <c r="I22" s="219"/>
      <c r="J22" s="213"/>
      <c r="K22" s="220"/>
      <c r="L22" s="166" t="str">
        <f t="shared" si="0"/>
        <v/>
      </c>
      <c r="M22" s="107" t="str">
        <f t="shared" si="1"/>
        <v/>
      </c>
      <c r="N22" s="351" t="str">
        <f t="shared" si="2"/>
        <v/>
      </c>
      <c r="O22" s="74"/>
      <c r="P22" s="8"/>
      <c r="R22" s="568"/>
      <c r="U22" s="100" t="str">
        <f>IF(C22="","",VLOOKUP(D22,'10. All Habitats + Multipliers'!$C$4:$K$99,5,FALSE))</f>
        <v/>
      </c>
      <c r="V22" s="101" t="str">
        <f>IF(U22="","",VLOOKUP(U22,'12. Lists'!$B$47:$D$49,2,FALSE))</f>
        <v/>
      </c>
      <c r="W22" s="100" t="str">
        <f>IF(C22="","",VLOOKUP(D22,'11. Condition and Temporal'!$B$6:$C$101,2,FALSE))</f>
        <v/>
      </c>
      <c r="X22" s="101" t="str">
        <f>IF(W22="","",VLOOKUP(W22,'12. Lists'!$F$47:$G$51,2,FALSE))</f>
        <v/>
      </c>
      <c r="Y22" s="100" t="str">
        <f>IF(C22="","",VLOOKUP(D22,'10. All Habitats + Multipliers'!$C$4:$K$99,9,FALSE))</f>
        <v/>
      </c>
      <c r="Z22" s="102" t="str">
        <f>IF(Y22="","",VLOOKUP(Y22,'12. Lists'!$B$36:$D$39,2,FALSE))</f>
        <v/>
      </c>
      <c r="AA22" s="101" t="str">
        <f>IF(Y22="","",VLOOKUP(Y22,'12. Lists'!$B$36:$D$39,3,FALSE))</f>
        <v/>
      </c>
      <c r="AB22" s="100" t="str">
        <f t="shared" si="4"/>
        <v/>
      </c>
      <c r="AC22" s="102" t="str">
        <f>IF(AB22="","",VLOOKUP(AB22,'12. Lists'!$F$36:$H$38,2,FALSE))</f>
        <v/>
      </c>
      <c r="AD22" s="101" t="str">
        <f>IF(AB22="","",VLOOKUP(AB22,'12. Lists'!$F$36:$H$38,3,FALSE))</f>
        <v/>
      </c>
      <c r="AE22" s="103" t="str">
        <f t="shared" si="6"/>
        <v/>
      </c>
      <c r="AF22" s="104" t="str">
        <f t="shared" si="5"/>
        <v/>
      </c>
      <c r="AG22" s="105" t="str">
        <f t="shared" si="3"/>
        <v/>
      </c>
      <c r="AH22" s="100" t="str">
        <f>IF(U22="","",VLOOKUP(U22,'12. Lists'!$B$47:$D$49,3,FALSE))</f>
        <v/>
      </c>
      <c r="AI22" s="101" t="str">
        <f>IF(D22="","",VLOOKUP(D22,'11. Condition and Temporal'!$B$6:$J$101,4,FALSE))</f>
        <v/>
      </c>
    </row>
    <row r="23" spans="2:35" s="27" customFormat="1" ht="15.6">
      <c r="B23" s="106">
        <v>13</v>
      </c>
      <c r="C23" s="82"/>
      <c r="D23" s="534"/>
      <c r="E23" s="535"/>
      <c r="F23" s="607"/>
      <c r="G23" s="608"/>
      <c r="H23" s="609"/>
      <c r="I23" s="219"/>
      <c r="J23" s="213"/>
      <c r="K23" s="220"/>
      <c r="L23" s="166" t="str">
        <f t="shared" si="0"/>
        <v/>
      </c>
      <c r="M23" s="107" t="str">
        <f t="shared" si="1"/>
        <v/>
      </c>
      <c r="N23" s="351" t="str">
        <f t="shared" si="2"/>
        <v/>
      </c>
      <c r="O23" s="74"/>
      <c r="P23" s="8"/>
      <c r="R23" s="568"/>
      <c r="U23" s="100" t="str">
        <f>IF(C23="","",VLOOKUP(D23,'10. All Habitats + Multipliers'!$C$4:$K$99,5,FALSE))</f>
        <v/>
      </c>
      <c r="V23" s="101" t="str">
        <f>IF(U23="","",VLOOKUP(U23,'12. Lists'!$B$47:$D$49,2,FALSE))</f>
        <v/>
      </c>
      <c r="W23" s="100" t="str">
        <f>IF(C23="","",VLOOKUP(D23,'11. Condition and Temporal'!$B$6:$C$101,2,FALSE))</f>
        <v/>
      </c>
      <c r="X23" s="101" t="str">
        <f>IF(W23="","",VLOOKUP(W23,'12. Lists'!$F$47:$G$51,2,FALSE))</f>
        <v/>
      </c>
      <c r="Y23" s="100" t="str">
        <f>IF(C23="","",VLOOKUP(D23,'10. All Habitats + Multipliers'!$C$4:$K$99,9,FALSE))</f>
        <v/>
      </c>
      <c r="Z23" s="102" t="str">
        <f>IF(Y23="","",VLOOKUP(Y23,'12. Lists'!$B$36:$D$39,2,FALSE))</f>
        <v/>
      </c>
      <c r="AA23" s="101" t="str">
        <f>IF(Y23="","",VLOOKUP(Y23,'12. Lists'!$B$36:$D$39,3,FALSE))</f>
        <v/>
      </c>
      <c r="AB23" s="100" t="str">
        <f t="shared" si="4"/>
        <v/>
      </c>
      <c r="AC23" s="102" t="str">
        <f>IF(AB23="","",VLOOKUP(AB23,'12. Lists'!$F$36:$H$38,2,FALSE))</f>
        <v/>
      </c>
      <c r="AD23" s="101" t="str">
        <f>IF(AB23="","",VLOOKUP(AB23,'12. Lists'!$F$36:$H$38,3,FALSE))</f>
        <v/>
      </c>
      <c r="AE23" s="103" t="str">
        <f t="shared" si="6"/>
        <v/>
      </c>
      <c r="AF23" s="104" t="str">
        <f t="shared" si="5"/>
        <v/>
      </c>
      <c r="AG23" s="105" t="str">
        <f t="shared" si="3"/>
        <v/>
      </c>
      <c r="AH23" s="100" t="str">
        <f>IF(U23="","",VLOOKUP(U23,'12. Lists'!$B$47:$D$49,3,FALSE))</f>
        <v/>
      </c>
      <c r="AI23" s="101" t="str">
        <f>IF(D23="","",VLOOKUP(D23,'11. Condition and Temporal'!$B$6:$J$101,4,FALSE))</f>
        <v/>
      </c>
    </row>
    <row r="24" spans="2:35" s="27" customFormat="1" ht="15.6">
      <c r="B24" s="106">
        <v>14</v>
      </c>
      <c r="C24" s="82"/>
      <c r="D24" s="534"/>
      <c r="E24" s="535"/>
      <c r="F24" s="607"/>
      <c r="G24" s="608"/>
      <c r="H24" s="609"/>
      <c r="I24" s="219"/>
      <c r="J24" s="213"/>
      <c r="K24" s="220"/>
      <c r="L24" s="166" t="str">
        <f t="shared" si="0"/>
        <v/>
      </c>
      <c r="M24" s="107" t="str">
        <f t="shared" si="1"/>
        <v/>
      </c>
      <c r="N24" s="351" t="str">
        <f t="shared" si="2"/>
        <v/>
      </c>
      <c r="O24" s="74"/>
      <c r="P24" s="8"/>
      <c r="R24" s="568"/>
      <c r="U24" s="100" t="str">
        <f>IF(C24="","",VLOOKUP(D24,'10. All Habitats + Multipliers'!$C$4:$K$99,5,FALSE))</f>
        <v/>
      </c>
      <c r="V24" s="101" t="str">
        <f>IF(U24="","",VLOOKUP(U24,'12. Lists'!$B$47:$D$49,2,FALSE))</f>
        <v/>
      </c>
      <c r="W24" s="100" t="str">
        <f>IF(C24="","",VLOOKUP(D24,'11. Condition and Temporal'!$B$6:$C$101,2,FALSE))</f>
        <v/>
      </c>
      <c r="X24" s="101" t="str">
        <f>IF(W24="","",VLOOKUP(W24,'12. Lists'!$F$47:$G$51,2,FALSE))</f>
        <v/>
      </c>
      <c r="Y24" s="100" t="str">
        <f>IF(C24="","",VLOOKUP(D24,'10. All Habitats + Multipliers'!$C$4:$K$99,9,FALSE))</f>
        <v/>
      </c>
      <c r="Z24" s="102" t="str">
        <f>IF(Y24="","",VLOOKUP(Y24,'12. Lists'!$B$36:$D$39,2,FALSE))</f>
        <v/>
      </c>
      <c r="AA24" s="101" t="str">
        <f>IF(Y24="","",VLOOKUP(Y24,'12. Lists'!$B$36:$D$39,3,FALSE))</f>
        <v/>
      </c>
      <c r="AB24" s="100" t="str">
        <f t="shared" si="4"/>
        <v/>
      </c>
      <c r="AC24" s="102" t="str">
        <f>IF(AB24="","",VLOOKUP(AB24,'12. Lists'!$F$36:$H$38,2,FALSE))</f>
        <v/>
      </c>
      <c r="AD24" s="101" t="str">
        <f>IF(AB24="","",VLOOKUP(AB24,'12. Lists'!$F$36:$H$38,3,FALSE))</f>
        <v/>
      </c>
      <c r="AE24" s="103" t="str">
        <f t="shared" si="6"/>
        <v/>
      </c>
      <c r="AF24" s="104" t="str">
        <f t="shared" si="5"/>
        <v/>
      </c>
      <c r="AG24" s="105" t="str">
        <f t="shared" si="3"/>
        <v/>
      </c>
      <c r="AH24" s="100" t="str">
        <f>IF(U24="","",VLOOKUP(U24,'12. Lists'!$B$47:$D$49,3,FALSE))</f>
        <v/>
      </c>
      <c r="AI24" s="101" t="str">
        <f>IF(D24="","",VLOOKUP(D24,'11. Condition and Temporal'!$B$6:$J$101,4,FALSE))</f>
        <v/>
      </c>
    </row>
    <row r="25" spans="2:35" s="27" customFormat="1" ht="15.6">
      <c r="B25" s="106">
        <v>15</v>
      </c>
      <c r="C25" s="82"/>
      <c r="D25" s="534"/>
      <c r="E25" s="535"/>
      <c r="F25" s="607"/>
      <c r="G25" s="608"/>
      <c r="H25" s="609"/>
      <c r="I25" s="219"/>
      <c r="J25" s="213"/>
      <c r="K25" s="220"/>
      <c r="L25" s="166" t="str">
        <f t="shared" si="0"/>
        <v/>
      </c>
      <c r="M25" s="107" t="str">
        <f t="shared" si="1"/>
        <v/>
      </c>
      <c r="N25" s="351" t="str">
        <f t="shared" si="2"/>
        <v/>
      </c>
      <c r="O25" s="74"/>
      <c r="P25" s="8"/>
      <c r="R25" s="568"/>
      <c r="U25" s="100" t="str">
        <f>IF(C25="","",VLOOKUP(D25,'10. All Habitats + Multipliers'!$C$4:$K$99,5,FALSE))</f>
        <v/>
      </c>
      <c r="V25" s="101" t="str">
        <f>IF(U25="","",VLOOKUP(U25,'12. Lists'!$B$47:$D$49,2,FALSE))</f>
        <v/>
      </c>
      <c r="W25" s="100" t="str">
        <f>IF(C25="","",VLOOKUP(D25,'11. Condition and Temporal'!$B$6:$C$101,2,FALSE))</f>
        <v/>
      </c>
      <c r="X25" s="101" t="str">
        <f>IF(W25="","",VLOOKUP(W25,'12. Lists'!$F$47:$G$51,2,FALSE))</f>
        <v/>
      </c>
      <c r="Y25" s="100" t="str">
        <f>IF(C25="","",VLOOKUP(D25,'10. All Habitats + Multipliers'!$C$4:$K$99,9,FALSE))</f>
        <v/>
      </c>
      <c r="Z25" s="102" t="str">
        <f>IF(Y25="","",VLOOKUP(Y25,'12. Lists'!$B$36:$D$39,2,FALSE))</f>
        <v/>
      </c>
      <c r="AA25" s="101" t="str">
        <f>IF(Y25="","",VLOOKUP(Y25,'12. Lists'!$B$36:$D$39,3,FALSE))</f>
        <v/>
      </c>
      <c r="AB25" s="100" t="str">
        <f t="shared" si="4"/>
        <v/>
      </c>
      <c r="AC25" s="102" t="str">
        <f>IF(AB25="","",VLOOKUP(AB25,'12. Lists'!$F$36:$H$38,2,FALSE))</f>
        <v/>
      </c>
      <c r="AD25" s="101" t="str">
        <f>IF(AB25="","",VLOOKUP(AB25,'12. Lists'!$F$36:$H$38,3,FALSE))</f>
        <v/>
      </c>
      <c r="AE25" s="103" t="str">
        <f t="shared" si="6"/>
        <v/>
      </c>
      <c r="AF25" s="104" t="str">
        <f t="shared" si="5"/>
        <v/>
      </c>
      <c r="AG25" s="105" t="str">
        <f t="shared" si="3"/>
        <v/>
      </c>
      <c r="AH25" s="100" t="str">
        <f>IF(U25="","",VLOOKUP(U25,'12. Lists'!$B$47:$D$49,3,FALSE))</f>
        <v/>
      </c>
      <c r="AI25" s="101" t="str">
        <f>IF(D25="","",VLOOKUP(D25,'11. Condition and Temporal'!$B$6:$J$101,4,FALSE))</f>
        <v/>
      </c>
    </row>
    <row r="26" spans="2:35" s="27" customFormat="1" ht="15.6">
      <c r="B26" s="106">
        <v>16</v>
      </c>
      <c r="C26" s="82"/>
      <c r="D26" s="534"/>
      <c r="E26" s="535"/>
      <c r="F26" s="607"/>
      <c r="G26" s="608"/>
      <c r="H26" s="609"/>
      <c r="I26" s="219"/>
      <c r="J26" s="213"/>
      <c r="K26" s="220"/>
      <c r="L26" s="166" t="str">
        <f t="shared" si="0"/>
        <v/>
      </c>
      <c r="M26" s="107" t="str">
        <f t="shared" si="1"/>
        <v/>
      </c>
      <c r="N26" s="351" t="str">
        <f t="shared" si="2"/>
        <v/>
      </c>
      <c r="O26" s="74"/>
      <c r="P26" s="8"/>
      <c r="R26" s="568"/>
      <c r="U26" s="100" t="str">
        <f>IF(C26="","",VLOOKUP(D26,'10. All Habitats + Multipliers'!$C$4:$K$99,5,FALSE))</f>
        <v/>
      </c>
      <c r="V26" s="101" t="str">
        <f>IF(U26="","",VLOOKUP(U26,'12. Lists'!$B$47:$D$49,2,FALSE))</f>
        <v/>
      </c>
      <c r="W26" s="100" t="str">
        <f>IF(C26="","",VLOOKUP(D26,'11. Condition and Temporal'!$B$6:$C$101,2,FALSE))</f>
        <v/>
      </c>
      <c r="X26" s="101" t="str">
        <f>IF(W26="","",VLOOKUP(W26,'12. Lists'!$F$47:$G$51,2,FALSE))</f>
        <v/>
      </c>
      <c r="Y26" s="100" t="str">
        <f>IF(C26="","",VLOOKUP(D26,'10. All Habitats + Multipliers'!$C$4:$K$99,9,FALSE))</f>
        <v/>
      </c>
      <c r="Z26" s="102" t="str">
        <f>IF(Y26="","",VLOOKUP(Y26,'12. Lists'!$B$36:$D$39,2,FALSE))</f>
        <v/>
      </c>
      <c r="AA26" s="101" t="str">
        <f>IF(Y26="","",VLOOKUP(Y26,'12. Lists'!$B$36:$D$39,3,FALSE))</f>
        <v/>
      </c>
      <c r="AB26" s="100" t="str">
        <f t="shared" si="4"/>
        <v/>
      </c>
      <c r="AC26" s="102" t="str">
        <f>IF(AB26="","",VLOOKUP(AB26,'12. Lists'!$F$36:$H$38,2,FALSE))</f>
        <v/>
      </c>
      <c r="AD26" s="101" t="str">
        <f>IF(AB26="","",VLOOKUP(AB26,'12. Lists'!$F$36:$H$38,3,FALSE))</f>
        <v/>
      </c>
      <c r="AE26" s="103" t="str">
        <f t="shared" si="6"/>
        <v/>
      </c>
      <c r="AF26" s="104" t="str">
        <f t="shared" si="5"/>
        <v/>
      </c>
      <c r="AG26" s="105" t="str">
        <f t="shared" si="3"/>
        <v/>
      </c>
      <c r="AH26" s="100" t="str">
        <f>IF(U26="","",VLOOKUP(U26,'12. Lists'!$B$47:$D$49,3,FALSE))</f>
        <v/>
      </c>
      <c r="AI26" s="101" t="str">
        <f>IF(D26="","",VLOOKUP(D26,'11. Condition and Temporal'!$B$6:$J$101,4,FALSE))</f>
        <v/>
      </c>
    </row>
    <row r="27" spans="2:35" s="27" customFormat="1" ht="15.6">
      <c r="B27" s="106">
        <v>17</v>
      </c>
      <c r="C27" s="82"/>
      <c r="D27" s="534"/>
      <c r="E27" s="535"/>
      <c r="F27" s="607"/>
      <c r="G27" s="608"/>
      <c r="H27" s="609"/>
      <c r="I27" s="219"/>
      <c r="J27" s="213"/>
      <c r="K27" s="220"/>
      <c r="L27" s="166" t="str">
        <f t="shared" si="0"/>
        <v/>
      </c>
      <c r="M27" s="107" t="str">
        <f t="shared" si="1"/>
        <v/>
      </c>
      <c r="N27" s="351" t="str">
        <f t="shared" si="2"/>
        <v/>
      </c>
      <c r="O27" s="74"/>
      <c r="P27" s="8"/>
      <c r="R27" s="568"/>
      <c r="U27" s="100" t="str">
        <f>IF(C27="","",VLOOKUP(D27,'10. All Habitats + Multipliers'!$C$4:$K$99,5,FALSE))</f>
        <v/>
      </c>
      <c r="V27" s="101" t="str">
        <f>IF(U27="","",VLOOKUP(U27,'12. Lists'!$B$47:$D$49,2,FALSE))</f>
        <v/>
      </c>
      <c r="W27" s="100" t="str">
        <f>IF(C27="","",VLOOKUP(D27,'11. Condition and Temporal'!$B$6:$C$101,2,FALSE))</f>
        <v/>
      </c>
      <c r="X27" s="101" t="str">
        <f>IF(W27="","",VLOOKUP(W27,'12. Lists'!$F$47:$G$51,2,FALSE))</f>
        <v/>
      </c>
      <c r="Y27" s="100" t="str">
        <f>IF(C27="","",VLOOKUP(D27,'10. All Habitats + Multipliers'!$C$4:$K$99,9,FALSE))</f>
        <v/>
      </c>
      <c r="Z27" s="102" t="str">
        <f>IF(Y27="","",VLOOKUP(Y27,'12. Lists'!$B$36:$D$39,2,FALSE))</f>
        <v/>
      </c>
      <c r="AA27" s="101" t="str">
        <f>IF(Y27="","",VLOOKUP(Y27,'12. Lists'!$B$36:$D$39,3,FALSE))</f>
        <v/>
      </c>
      <c r="AB27" s="100" t="str">
        <f t="shared" si="4"/>
        <v/>
      </c>
      <c r="AC27" s="102" t="str">
        <f>IF(AB27="","",VLOOKUP(AB27,'12. Lists'!$F$36:$H$38,2,FALSE))</f>
        <v/>
      </c>
      <c r="AD27" s="101" t="str">
        <f>IF(AB27="","",VLOOKUP(AB27,'12. Lists'!$F$36:$H$38,3,FALSE))</f>
        <v/>
      </c>
      <c r="AE27" s="103" t="str">
        <f t="shared" si="6"/>
        <v/>
      </c>
      <c r="AF27" s="104" t="str">
        <f t="shared" si="5"/>
        <v/>
      </c>
      <c r="AG27" s="105" t="str">
        <f t="shared" si="3"/>
        <v/>
      </c>
      <c r="AH27" s="100" t="str">
        <f>IF(U27="","",VLOOKUP(U27,'12. Lists'!$B$47:$D$49,3,FALSE))</f>
        <v/>
      </c>
      <c r="AI27" s="101" t="str">
        <f>IF(D27="","",VLOOKUP(D27,'11. Condition and Temporal'!$B$6:$J$101,4,FALSE))</f>
        <v/>
      </c>
    </row>
    <row r="28" spans="2:35" s="27" customFormat="1" ht="15.6">
      <c r="B28" s="106">
        <v>18</v>
      </c>
      <c r="C28" s="82"/>
      <c r="D28" s="534"/>
      <c r="E28" s="535"/>
      <c r="F28" s="607"/>
      <c r="G28" s="608"/>
      <c r="H28" s="609"/>
      <c r="I28" s="219"/>
      <c r="J28" s="213"/>
      <c r="K28" s="220"/>
      <c r="L28" s="166" t="str">
        <f t="shared" si="0"/>
        <v/>
      </c>
      <c r="M28" s="107" t="str">
        <f t="shared" si="1"/>
        <v/>
      </c>
      <c r="N28" s="351" t="str">
        <f t="shared" si="2"/>
        <v/>
      </c>
      <c r="O28" s="74"/>
      <c r="P28" s="8"/>
      <c r="R28" s="568"/>
      <c r="U28" s="100" t="str">
        <f>IF(C28="","",VLOOKUP(D28,'10. All Habitats + Multipliers'!$C$4:$K$99,5,FALSE))</f>
        <v/>
      </c>
      <c r="V28" s="101" t="str">
        <f>IF(U28="","",VLOOKUP(U28,'12. Lists'!$B$47:$D$49,2,FALSE))</f>
        <v/>
      </c>
      <c r="W28" s="100" t="str">
        <f>IF(C28="","",VLOOKUP(D28,'11. Condition and Temporal'!$B$6:$C$101,2,FALSE))</f>
        <v/>
      </c>
      <c r="X28" s="101" t="str">
        <f>IF(W28="","",VLOOKUP(W28,'12. Lists'!$F$47:$G$51,2,FALSE))</f>
        <v/>
      </c>
      <c r="Y28" s="100" t="str">
        <f>IF(C28="","",VLOOKUP(D28,'10. All Habitats + Multipliers'!$C$4:$K$99,9,FALSE))</f>
        <v/>
      </c>
      <c r="Z28" s="102" t="str">
        <f>IF(Y28="","",VLOOKUP(Y28,'12. Lists'!$B$36:$D$39,2,FALSE))</f>
        <v/>
      </c>
      <c r="AA28" s="101" t="str">
        <f>IF(Y28="","",VLOOKUP(Y28,'12. Lists'!$B$36:$D$39,3,FALSE))</f>
        <v/>
      </c>
      <c r="AB28" s="100" t="str">
        <f t="shared" si="4"/>
        <v/>
      </c>
      <c r="AC28" s="102" t="str">
        <f>IF(AB28="","",VLOOKUP(AB28,'12. Lists'!$F$36:$H$38,2,FALSE))</f>
        <v/>
      </c>
      <c r="AD28" s="101" t="str">
        <f>IF(AB28="","",VLOOKUP(AB28,'12. Lists'!$F$36:$H$38,3,FALSE))</f>
        <v/>
      </c>
      <c r="AE28" s="103" t="str">
        <f t="shared" si="6"/>
        <v/>
      </c>
      <c r="AF28" s="104" t="str">
        <f t="shared" si="5"/>
        <v/>
      </c>
      <c r="AG28" s="105" t="str">
        <f t="shared" si="3"/>
        <v/>
      </c>
      <c r="AH28" s="100" t="str">
        <f>IF(U28="","",VLOOKUP(U28,'12. Lists'!$B$47:$D$49,3,FALSE))</f>
        <v/>
      </c>
      <c r="AI28" s="101" t="str">
        <f>IF(D28="","",VLOOKUP(D28,'11. Condition and Temporal'!$B$6:$J$101,4,FALSE))</f>
        <v/>
      </c>
    </row>
    <row r="29" spans="2:35" s="27" customFormat="1" ht="15.6">
      <c r="B29" s="106">
        <v>19</v>
      </c>
      <c r="C29" s="83"/>
      <c r="D29" s="534"/>
      <c r="E29" s="535"/>
      <c r="F29" s="607"/>
      <c r="G29" s="608"/>
      <c r="H29" s="609"/>
      <c r="I29" s="219"/>
      <c r="J29" s="213"/>
      <c r="K29" s="220"/>
      <c r="L29" s="166" t="str">
        <f t="shared" si="0"/>
        <v/>
      </c>
      <c r="M29" s="107" t="str">
        <f t="shared" si="1"/>
        <v/>
      </c>
      <c r="N29" s="351" t="str">
        <f t="shared" si="2"/>
        <v/>
      </c>
      <c r="O29" s="74"/>
      <c r="P29" s="8"/>
      <c r="R29" s="568"/>
      <c r="U29" s="100" t="str">
        <f>IF(C29="","",VLOOKUP(D29,'10. All Habitats + Multipliers'!$C$4:$K$99,5,FALSE))</f>
        <v/>
      </c>
      <c r="V29" s="101" t="str">
        <f>IF(U29="","",VLOOKUP(U29,'12. Lists'!$B$47:$D$49,2,FALSE))</f>
        <v/>
      </c>
      <c r="W29" s="100" t="str">
        <f>IF(C29="","",VLOOKUP(D29,'11. Condition and Temporal'!$B$6:$C$101,2,FALSE))</f>
        <v/>
      </c>
      <c r="X29" s="101" t="str">
        <f>IF(W29="","",VLOOKUP(W29,'12. Lists'!$F$47:$G$51,2,FALSE))</f>
        <v/>
      </c>
      <c r="Y29" s="100" t="str">
        <f>IF(C29="","",VLOOKUP(D29,'10. All Habitats + Multipliers'!$C$4:$K$99,9,FALSE))</f>
        <v/>
      </c>
      <c r="Z29" s="102" t="str">
        <f>IF(Y29="","",VLOOKUP(Y29,'12. Lists'!$B$36:$D$39,2,FALSE))</f>
        <v/>
      </c>
      <c r="AA29" s="101" t="str">
        <f>IF(Y29="","",VLOOKUP(Y29,'12. Lists'!$B$36:$D$39,3,FALSE))</f>
        <v/>
      </c>
      <c r="AB29" s="100" t="str">
        <f t="shared" si="4"/>
        <v/>
      </c>
      <c r="AC29" s="102" t="str">
        <f>IF(AB29="","",VLOOKUP(AB29,'12. Lists'!$F$36:$H$38,2,FALSE))</f>
        <v/>
      </c>
      <c r="AD29" s="101" t="str">
        <f>IF(AB29="","",VLOOKUP(AB29,'12. Lists'!$F$36:$H$38,3,FALSE))</f>
        <v/>
      </c>
      <c r="AE29" s="103" t="str">
        <f t="shared" si="6"/>
        <v/>
      </c>
      <c r="AF29" s="104" t="str">
        <f t="shared" si="5"/>
        <v/>
      </c>
      <c r="AG29" s="105" t="str">
        <f t="shared" si="3"/>
        <v/>
      </c>
      <c r="AH29" s="100" t="str">
        <f>IF(U29="","",VLOOKUP(U29,'12. Lists'!$B$47:$D$49,3,FALSE))</f>
        <v/>
      </c>
      <c r="AI29" s="101" t="str">
        <f>IF(D29="","",VLOOKUP(D29,'11. Condition and Temporal'!$B$6:$J$101,4,FALSE))</f>
        <v/>
      </c>
    </row>
    <row r="30" spans="2:35" s="27" customFormat="1" ht="16.149999999999999" thickBot="1">
      <c r="B30" s="108">
        <v>20</v>
      </c>
      <c r="C30" s="176"/>
      <c r="D30" s="538"/>
      <c r="E30" s="539"/>
      <c r="F30" s="724"/>
      <c r="G30" s="725"/>
      <c r="H30" s="726"/>
      <c r="I30" s="221"/>
      <c r="J30" s="222"/>
      <c r="K30" s="223"/>
      <c r="L30" s="209" t="str">
        <f t="shared" si="0"/>
        <v/>
      </c>
      <c r="M30" s="109" t="str">
        <f t="shared" si="1"/>
        <v/>
      </c>
      <c r="N30" s="110" t="str">
        <f t="shared" si="2"/>
        <v/>
      </c>
      <c r="O30" s="75"/>
      <c r="P30" s="4"/>
      <c r="R30" s="568"/>
      <c r="U30" s="100" t="str">
        <f>IF(C30="","",VLOOKUP(D30,'10. All Habitats + Multipliers'!$C$4:$K$99,5,FALSE))</f>
        <v/>
      </c>
      <c r="V30" s="101" t="str">
        <f>IF(U30="","",VLOOKUP(U30,'12. Lists'!$B$47:$D$49,2,FALSE))</f>
        <v/>
      </c>
      <c r="W30" s="100" t="str">
        <f>IF(C30="","",VLOOKUP(D30,'11. Condition and Temporal'!$B$6:$C$101,2,FALSE))</f>
        <v/>
      </c>
      <c r="X30" s="101" t="str">
        <f>IF(W30="","",VLOOKUP(W30,'12. Lists'!$F$47:$G$51,2,FALSE))</f>
        <v/>
      </c>
      <c r="Y30" s="100" t="str">
        <f>IF(C30="","",VLOOKUP(D30,'10. All Habitats + Multipliers'!$C$4:$K$99,9,FALSE))</f>
        <v/>
      </c>
      <c r="Z30" s="102" t="str">
        <f>IF(Y30="","",VLOOKUP(Y30,'12. Lists'!$B$36:$D$39,2,FALSE))</f>
        <v/>
      </c>
      <c r="AA30" s="101" t="str">
        <f>IF(Y30="","",VLOOKUP(Y30,'12. Lists'!$B$36:$D$39,3,FALSE))</f>
        <v/>
      </c>
      <c r="AB30" s="100" t="str">
        <f t="shared" si="4"/>
        <v/>
      </c>
      <c r="AC30" s="102" t="str">
        <f>IF(AB30="","",VLOOKUP(AB30,'12. Lists'!$F$36:$H$38,2,FALSE))</f>
        <v/>
      </c>
      <c r="AD30" s="101" t="str">
        <f>IF(AB30="","",VLOOKUP(AB30,'12. Lists'!$F$36:$H$38,3,FALSE))</f>
        <v/>
      </c>
      <c r="AE30" s="103" t="str">
        <f t="shared" si="6"/>
        <v/>
      </c>
      <c r="AF30" s="104" t="str">
        <f t="shared" si="5"/>
        <v/>
      </c>
      <c r="AG30" s="105" t="str">
        <f t="shared" si="3"/>
        <v/>
      </c>
      <c r="AH30" s="100" t="str">
        <f>IF(U30="","",VLOOKUP(U30,'12. Lists'!$B$47:$D$49,3,FALSE))</f>
        <v/>
      </c>
      <c r="AI30" s="101" t="str">
        <f>IF(D30="","",VLOOKUP(D30,'11. Condition and Temporal'!$B$6:$J$101,4,FALSE))</f>
        <v/>
      </c>
    </row>
    <row r="31" spans="2:35" s="27" customFormat="1">
      <c r="D31" s="94"/>
      <c r="E31" s="121"/>
      <c r="F31" s="121"/>
      <c r="G31" s="121"/>
      <c r="H31" s="338" t="s">
        <v>262</v>
      </c>
      <c r="I31" s="339">
        <f t="shared" ref="I31:N31" si="7">SUM(I11:I30)</f>
        <v>0</v>
      </c>
      <c r="J31" s="340">
        <f t="shared" si="7"/>
        <v>0</v>
      </c>
      <c r="K31" s="341">
        <f t="shared" si="7"/>
        <v>0</v>
      </c>
      <c r="L31" s="210">
        <f t="shared" si="7"/>
        <v>0</v>
      </c>
      <c r="M31" s="208">
        <f t="shared" si="7"/>
        <v>0</v>
      </c>
      <c r="N31" s="122">
        <f t="shared" si="7"/>
        <v>0</v>
      </c>
      <c r="R31" s="568"/>
    </row>
    <row r="32" spans="2:35" s="27" customFormat="1" ht="15" thickBot="1">
      <c r="D32" s="94"/>
      <c r="E32" s="121"/>
      <c r="F32" s="121"/>
      <c r="G32" s="121"/>
      <c r="H32" s="126" t="s">
        <v>124</v>
      </c>
      <c r="I32" s="605" t="str">
        <f>IF(I31&lt;J31+K31,"Error - Lengths Retained and Enhanced Exceed Total Length","Lengths Acceptable")</f>
        <v>Lengths Acceptable</v>
      </c>
      <c r="J32" s="605"/>
      <c r="K32" s="605"/>
      <c r="L32" s="605"/>
      <c r="M32" s="605"/>
      <c r="N32" s="606"/>
      <c r="O32" s="230">
        <f>IFERROR(FIND("Error",I32),0)</f>
        <v>0</v>
      </c>
      <c r="R32" s="124"/>
    </row>
    <row r="33" spans="2:34" s="27" customFormat="1">
      <c r="D33" s="94"/>
      <c r="E33" s="121"/>
      <c r="F33" s="121"/>
      <c r="G33" s="121"/>
      <c r="O33" s="230">
        <f>COUNTIF(L11:N30,"*"&amp;"error"&amp;"*")</f>
        <v>0</v>
      </c>
      <c r="R33" s="124"/>
    </row>
    <row r="34" spans="2:34" s="27" customFormat="1">
      <c r="D34" s="94"/>
      <c r="E34" s="121"/>
      <c r="F34" s="121"/>
      <c r="G34" s="121"/>
      <c r="H34" s="121"/>
      <c r="I34" s="121"/>
      <c r="J34" s="121"/>
      <c r="K34" s="121"/>
      <c r="L34" s="121"/>
      <c r="M34" s="121"/>
      <c r="N34" s="121"/>
      <c r="O34" s="121"/>
      <c r="R34" s="568" t="s">
        <v>73</v>
      </c>
    </row>
    <row r="35" spans="2:34" s="27" customFormat="1" ht="21">
      <c r="B35" s="62" t="s">
        <v>127</v>
      </c>
      <c r="D35" s="93"/>
      <c r="E35" s="121"/>
      <c r="F35" s="121"/>
      <c r="G35" s="121"/>
      <c r="I35" s="28"/>
      <c r="R35" s="568"/>
    </row>
    <row r="36" spans="2:34" s="27" customFormat="1" ht="15.75" customHeight="1" thickBot="1">
      <c r="R36" s="568"/>
    </row>
    <row r="37" spans="2:34" s="27" customFormat="1" ht="16.149999999999999" customHeight="1">
      <c r="B37" s="576" t="s">
        <v>67</v>
      </c>
      <c r="C37" s="583"/>
      <c r="D37" s="584"/>
      <c r="E37" s="578" t="s">
        <v>128</v>
      </c>
      <c r="F37" s="623"/>
      <c r="G37" s="593"/>
      <c r="H37" s="623" t="s">
        <v>129</v>
      </c>
      <c r="I37" s="598" t="s">
        <v>263</v>
      </c>
      <c r="J37" s="599"/>
      <c r="K37" s="600"/>
      <c r="L37" s="578" t="s">
        <v>264</v>
      </c>
      <c r="M37" s="583"/>
      <c r="N37" s="593"/>
      <c r="O37" s="610" t="s">
        <v>85</v>
      </c>
      <c r="P37" s="593"/>
      <c r="R37" s="568"/>
      <c r="U37" s="591" t="s">
        <v>86</v>
      </c>
      <c r="V37" s="592"/>
      <c r="W37" s="591" t="s">
        <v>87</v>
      </c>
      <c r="X37" s="592"/>
      <c r="Y37" s="591" t="s">
        <v>88</v>
      </c>
      <c r="Z37" s="604"/>
      <c r="AA37" s="592"/>
      <c r="AB37" s="591" t="s">
        <v>89</v>
      </c>
      <c r="AC37" s="604"/>
      <c r="AD37" s="592"/>
      <c r="AE37" s="591" t="s">
        <v>132</v>
      </c>
      <c r="AF37" s="592"/>
      <c r="AG37" s="591" t="s">
        <v>133</v>
      </c>
      <c r="AH37" s="592"/>
    </row>
    <row r="38" spans="2:34" s="27" customFormat="1" ht="31.9" thickBot="1">
      <c r="B38" s="577"/>
      <c r="C38" s="315" t="s">
        <v>93</v>
      </c>
      <c r="D38" s="316" t="s">
        <v>134</v>
      </c>
      <c r="E38" s="91" t="s">
        <v>135</v>
      </c>
      <c r="F38" s="522" t="s">
        <v>136</v>
      </c>
      <c r="G38" s="546"/>
      <c r="H38" s="523"/>
      <c r="I38" s="601"/>
      <c r="J38" s="602"/>
      <c r="K38" s="603"/>
      <c r="L38" s="716"/>
      <c r="M38" s="717"/>
      <c r="N38" s="718"/>
      <c r="O38" s="314" t="s">
        <v>101</v>
      </c>
      <c r="P38" s="95" t="s">
        <v>102</v>
      </c>
      <c r="R38" s="568"/>
      <c r="U38" s="96" t="s">
        <v>103</v>
      </c>
      <c r="V38" s="97" t="s">
        <v>104</v>
      </c>
      <c r="W38" s="96" t="s">
        <v>105</v>
      </c>
      <c r="X38" s="97" t="s">
        <v>104</v>
      </c>
      <c r="Y38" s="96" t="s">
        <v>88</v>
      </c>
      <c r="Z38" s="52" t="s">
        <v>106</v>
      </c>
      <c r="AA38" s="97" t="s">
        <v>107</v>
      </c>
      <c r="AB38" s="96" t="s">
        <v>89</v>
      </c>
      <c r="AC38" s="52" t="s">
        <v>89</v>
      </c>
      <c r="AD38" s="97" t="s">
        <v>108</v>
      </c>
      <c r="AE38" s="96" t="s">
        <v>137</v>
      </c>
      <c r="AF38" s="97" t="s">
        <v>138</v>
      </c>
      <c r="AG38" s="96" t="s">
        <v>139</v>
      </c>
      <c r="AH38" s="97" t="s">
        <v>140</v>
      </c>
    </row>
    <row r="39" spans="2:34" s="27" customFormat="1" ht="43.15">
      <c r="B39" s="98">
        <v>1</v>
      </c>
      <c r="C39" s="81" t="s">
        <v>260</v>
      </c>
      <c r="D39" s="78" t="s">
        <v>261</v>
      </c>
      <c r="E39" s="127" t="str">
        <f>IF(D39="","",VLOOKUP(D39,'11. Condition and Temporal'!$B$6:$D$101,3,FALSE))</f>
        <v>Moderate, Good</v>
      </c>
      <c r="F39" s="719" t="s">
        <v>142</v>
      </c>
      <c r="G39" s="720"/>
      <c r="H39" s="77" t="s">
        <v>114</v>
      </c>
      <c r="I39" s="561">
        <v>41</v>
      </c>
      <c r="J39" s="562"/>
      <c r="K39" s="562"/>
      <c r="L39" s="721">
        <f>IF(C39="","",IFERROR(IF(I39="","Length error",((I39/1000)*(V39*X39))*(AH39*AF39)*(AA39*AD39)),"Value missing"))</f>
        <v>0.31565178586632003</v>
      </c>
      <c r="M39" s="722"/>
      <c r="N39" s="723"/>
      <c r="O39" s="335" t="s">
        <v>265</v>
      </c>
      <c r="P39" s="1"/>
      <c r="Q39" s="128"/>
      <c r="R39" s="568"/>
      <c r="U39" s="100" t="str">
        <f>IF(C39="","",VLOOKUP(D39,'10. All Habitats + Multipliers'!$C$4:$K$99,5,FALSE))</f>
        <v>Medium</v>
      </c>
      <c r="V39" s="101">
        <f>IF(U39="","",VLOOKUP(U39,'12. Lists'!$B$47:$D$49,2,FALSE))</f>
        <v>4</v>
      </c>
      <c r="W39" s="100" t="str">
        <f>IF(F39="","",F39)</f>
        <v>Moderate</v>
      </c>
      <c r="X39" s="101">
        <f>IF(W39="","",VLOOKUP(W39,'12. Lists'!$F$47:$G$51,2,FALSE))</f>
        <v>2</v>
      </c>
      <c r="Y39" s="100" t="str">
        <f>IF(C39="","",VLOOKUP(D39,'10. All Habitats + Multipliers'!$C$4:$K$99,9,FALSE))</f>
        <v>Low</v>
      </c>
      <c r="Z39" s="102" t="str">
        <f>IF(Y39="","",VLOOKUP(Y39,'12. Lists'!$B$36:$D$39,2,FALSE))</f>
        <v>Unconnected habitat</v>
      </c>
      <c r="AA39" s="101">
        <f>IF(Y39="","",VLOOKUP(Y39,'12. Lists'!$B$36:$D$39,3,FALSE))</f>
        <v>1</v>
      </c>
      <c r="AB39" s="100" t="str">
        <f>IF(H39="","",H39)</f>
        <v>Within area formally identified in local strategy</v>
      </c>
      <c r="AC39" s="102" t="str">
        <f>IF(AB39="","",VLOOKUP(AB39,'12. Lists'!$F$36:$H$38,2,FALSE))</f>
        <v xml:space="preserve">High strategic significance </v>
      </c>
      <c r="AD39" s="101">
        <f>IF(AB39="","",VLOOKUP(AB39,'12. Lists'!$F$36:$H$38,3,FALSE))</f>
        <v>1.1499999999999999</v>
      </c>
      <c r="AE39" s="100">
        <f>IF(F39="","",IF(F39="Moderate",VLOOKUP(D39,'11. Condition and Temporal'!$B$6:$J$101,6,FALSE),IF('6. Hedges &amp; Lines of Trees'!F39="Good",VLOOKUP(D39,'11. Condition and Temporal'!$B$6:$J$101,7,FALSE),VLOOKUP(D39,'11. Condition and Temporal'!$B$6:$J$101,8,FALSE))))</f>
        <v>5</v>
      </c>
      <c r="AF39" s="129">
        <f>IF(AE39="","",VLOOKUP(AE39,'12. Lists'!$I$47:$K$80,3,FALSE))</f>
        <v>0.83682870060000003</v>
      </c>
      <c r="AG39" s="100" t="str">
        <f>IF(D39="","",VLOOKUP(D39,'10. All Habitats + Multipliers'!$C$4:$K$99,7,FALSE))</f>
        <v>Low</v>
      </c>
      <c r="AH39" s="101">
        <f>IF(AG39="","",VLOOKUP(AG39,'12. Lists'!$J$35:$K$38,2,FALSE))</f>
        <v>1</v>
      </c>
    </row>
    <row r="40" spans="2:34" s="27" customFormat="1" ht="15.6">
      <c r="B40" s="106">
        <v>2</v>
      </c>
      <c r="C40" s="82"/>
      <c r="D40" s="78"/>
      <c r="E40" s="127" t="str">
        <f>IF(D40="","",VLOOKUP(D40,'11. Condition and Temporal'!$B$6:$D$101,3,FALSE))</f>
        <v/>
      </c>
      <c r="F40" s="713"/>
      <c r="G40" s="714"/>
      <c r="H40" s="76"/>
      <c r="I40" s="561"/>
      <c r="J40" s="562"/>
      <c r="K40" s="562"/>
      <c r="L40" s="715" t="str">
        <f>IF(C40="","",IFERROR(IF(I40="","Length error",((I40/1000)*(V40*X40))*(AH40*AF40)*(AA40*AD40)),"Value missing"))</f>
        <v/>
      </c>
      <c r="M40" s="512"/>
      <c r="N40" s="513"/>
      <c r="O40" s="79"/>
      <c r="P40" s="12"/>
      <c r="Q40" s="128"/>
      <c r="R40" s="568"/>
      <c r="U40" s="100" t="str">
        <f>IF(C40="","",VLOOKUP(D40,'10. All Habitats + Multipliers'!$C$4:$K$99,5,FALSE))</f>
        <v/>
      </c>
      <c r="V40" s="101" t="str">
        <f>IF(U40="","",VLOOKUP(U40,'12. Lists'!$B$47:$D$49,2,FALSE))</f>
        <v/>
      </c>
      <c r="W40" s="100" t="str">
        <f>IF(F40="","",F40)</f>
        <v/>
      </c>
      <c r="X40" s="101" t="str">
        <f>IF(W40="","",VLOOKUP(W40,'12. Lists'!$F$47:$G$51,2,FALSE))</f>
        <v/>
      </c>
      <c r="Y40" s="100" t="str">
        <f>IF(C40="","",VLOOKUP(D40,'10. All Habitats + Multipliers'!$C$4:$K$99,9,FALSE))</f>
        <v/>
      </c>
      <c r="Z40" s="102" t="str">
        <f>IF(Y40="","",VLOOKUP(Y40,'12. Lists'!$B$36:$D$39,2,FALSE))</f>
        <v/>
      </c>
      <c r="AA40" s="101" t="str">
        <f>IF(Y40="","",VLOOKUP(Y40,'12. Lists'!$B$36:$D$39,3,FALSE))</f>
        <v/>
      </c>
      <c r="AB40" s="100" t="str">
        <f t="shared" ref="AB40:AB58" si="8">IF(H40="","",H40)</f>
        <v/>
      </c>
      <c r="AC40" s="102" t="str">
        <f>IF(AB40="","",VLOOKUP(AB40,'12. Lists'!$F$36:$H$38,2,FALSE))</f>
        <v/>
      </c>
      <c r="AD40" s="101" t="str">
        <f>IF(AB40="","",VLOOKUP(AB40,'12. Lists'!$F$36:$H$38,3,FALSE))</f>
        <v/>
      </c>
      <c r="AE40" s="100" t="str">
        <f>IF(F40="","",IF(F40="Moderate",VLOOKUP(D40,'11. Condition and Temporal'!$B$6:$J$101,6,FALSE),IF('6. Hedges &amp; Lines of Trees'!F40="Good",VLOOKUP(D40,'11. Condition and Temporal'!$B$6:$J$101,7,FALSE),VLOOKUP(D40,'11. Condition and Temporal'!$B$6:$J$101,8,FALSE))))</f>
        <v/>
      </c>
      <c r="AF40" s="129" t="str">
        <f>IF(AE40="","",VLOOKUP(AE40,'12. Lists'!$I$47:$K$80,3,FALSE))</f>
        <v/>
      </c>
      <c r="AG40" s="100" t="str">
        <f>IF(D40="","",VLOOKUP(D40,'10. All Habitats + Multipliers'!$C$4:$K$99,7,FALSE))</f>
        <v/>
      </c>
      <c r="AH40" s="101" t="str">
        <f>IF(AG40="","",VLOOKUP(AG40,'12. Lists'!$J$35:$K$38,2,FALSE))</f>
        <v/>
      </c>
    </row>
    <row r="41" spans="2:34" s="27" customFormat="1" ht="15.6">
      <c r="B41" s="106">
        <v>3</v>
      </c>
      <c r="C41" s="82"/>
      <c r="D41" s="78"/>
      <c r="E41" s="127" t="str">
        <f>IF(D41="","",VLOOKUP(D41,'11. Condition and Temporal'!$B$6:$D$101,3,FALSE))</f>
        <v/>
      </c>
      <c r="F41" s="713"/>
      <c r="G41" s="714"/>
      <c r="H41" s="76"/>
      <c r="I41" s="561"/>
      <c r="J41" s="562"/>
      <c r="K41" s="562"/>
      <c r="L41" s="715" t="str">
        <f t="shared" ref="L41:L58" si="9">IF(C41="","",IFERROR(IF(I41="","Length error",((I41/1000)*(V41*X41))*(AH41*AF41)*(AA41*AD41)),"Value missing"))</f>
        <v/>
      </c>
      <c r="M41" s="512"/>
      <c r="N41" s="513"/>
      <c r="O41" s="79"/>
      <c r="P41" s="12"/>
      <c r="Q41" s="128"/>
      <c r="R41" s="568"/>
      <c r="U41" s="100" t="str">
        <f>IF(C41="","",VLOOKUP(D41,'10. All Habitats + Multipliers'!$C$4:$K$99,5,FALSE))</f>
        <v/>
      </c>
      <c r="V41" s="101" t="str">
        <f>IF(U41="","",VLOOKUP(U41,'12. Lists'!$B$47:$D$49,2,FALSE))</f>
        <v/>
      </c>
      <c r="W41" s="100" t="str">
        <f>IF(F41="","",F41)</f>
        <v/>
      </c>
      <c r="X41" s="101" t="str">
        <f>IF(W41="","",VLOOKUP(W41,'12. Lists'!$F$47:$G$51,2,FALSE))</f>
        <v/>
      </c>
      <c r="Y41" s="100" t="str">
        <f>IF(C41="","",VLOOKUP(D41,'10. All Habitats + Multipliers'!$C$4:$K$99,9,FALSE))</f>
        <v/>
      </c>
      <c r="Z41" s="102" t="str">
        <f>IF(Y41="","",VLOOKUP(Y41,'12. Lists'!$B$36:$D$39,2,FALSE))</f>
        <v/>
      </c>
      <c r="AA41" s="101" t="str">
        <f>IF(Y41="","",VLOOKUP(Y41,'12. Lists'!$B$36:$D$39,3,FALSE))</f>
        <v/>
      </c>
      <c r="AB41" s="100" t="str">
        <f t="shared" si="8"/>
        <v/>
      </c>
      <c r="AC41" s="102" t="str">
        <f>IF(AB41="","",VLOOKUP(AB41,'12. Lists'!$F$36:$H$38,2,FALSE))</f>
        <v/>
      </c>
      <c r="AD41" s="101" t="str">
        <f>IF(AB41="","",VLOOKUP(AB41,'12. Lists'!$F$36:$H$38,3,FALSE))</f>
        <v/>
      </c>
      <c r="AE41" s="100" t="str">
        <f>IF(F41="","",IF(F41="Moderate",VLOOKUP(D41,'11. Condition and Temporal'!$B$6:$J$101,6,FALSE),IF('6. Hedges &amp; Lines of Trees'!F41="Good",VLOOKUP(D41,'11. Condition and Temporal'!$B$6:$J$101,7,FALSE),VLOOKUP(D41,'11. Condition and Temporal'!$B$6:$J$101,8,FALSE))))</f>
        <v/>
      </c>
      <c r="AF41" s="129" t="str">
        <f>IF(AE41="","",VLOOKUP(AE41,'12. Lists'!$I$47:$K$80,3,FALSE))</f>
        <v/>
      </c>
      <c r="AG41" s="100" t="str">
        <f>IF(D41="","",VLOOKUP(D41,'10. All Habitats + Multipliers'!$C$4:$K$99,7,FALSE))</f>
        <v/>
      </c>
      <c r="AH41" s="101" t="str">
        <f>IF(AG41="","",VLOOKUP(AG41,'12. Lists'!$J$35:$K$38,2,FALSE))</f>
        <v/>
      </c>
    </row>
    <row r="42" spans="2:34" s="27" customFormat="1" ht="15.6">
      <c r="B42" s="106">
        <v>4</v>
      </c>
      <c r="C42" s="82"/>
      <c r="D42" s="78"/>
      <c r="E42" s="127" t="str">
        <f>IF(D42="","",VLOOKUP(D42,'11. Condition and Temporal'!$B$6:$D$101,3,FALSE))</f>
        <v/>
      </c>
      <c r="F42" s="713"/>
      <c r="G42" s="714"/>
      <c r="H42" s="76"/>
      <c r="I42" s="561"/>
      <c r="J42" s="562"/>
      <c r="K42" s="562"/>
      <c r="L42" s="715" t="str">
        <f t="shared" si="9"/>
        <v/>
      </c>
      <c r="M42" s="512"/>
      <c r="N42" s="513"/>
      <c r="O42" s="79"/>
      <c r="P42" s="12"/>
      <c r="Q42" s="128"/>
      <c r="R42" s="568"/>
      <c r="U42" s="100" t="str">
        <f>IF(C42="","",VLOOKUP(D42,'10. All Habitats + Multipliers'!$C$4:$K$99,5,FALSE))</f>
        <v/>
      </c>
      <c r="V42" s="101" t="str">
        <f>IF(U42="","",VLOOKUP(U42,'12. Lists'!$B$47:$D$49,2,FALSE))</f>
        <v/>
      </c>
      <c r="W42" s="100" t="str">
        <f>IF(F42="","",F42)</f>
        <v/>
      </c>
      <c r="X42" s="101" t="str">
        <f>IF(W42="","",VLOOKUP(W42,'12. Lists'!$F$47:$G$51,2,FALSE))</f>
        <v/>
      </c>
      <c r="Y42" s="100" t="str">
        <f>IF(C42="","",VLOOKUP(D42,'10. All Habitats + Multipliers'!$C$4:$K$99,9,FALSE))</f>
        <v/>
      </c>
      <c r="Z42" s="102" t="str">
        <f>IF(Y42="","",VLOOKUP(Y42,'12. Lists'!$B$36:$D$39,2,FALSE))</f>
        <v/>
      </c>
      <c r="AA42" s="101" t="str">
        <f>IF(Y42="","",VLOOKUP(Y42,'12. Lists'!$B$36:$D$39,3,FALSE))</f>
        <v/>
      </c>
      <c r="AB42" s="100" t="str">
        <f t="shared" si="8"/>
        <v/>
      </c>
      <c r="AC42" s="102" t="str">
        <f>IF(AB42="","",VLOOKUP(AB42,'12. Lists'!$F$36:$H$38,2,FALSE))</f>
        <v/>
      </c>
      <c r="AD42" s="101" t="str">
        <f>IF(AB42="","",VLOOKUP(AB42,'12. Lists'!$F$36:$H$38,3,FALSE))</f>
        <v/>
      </c>
      <c r="AE42" s="100" t="str">
        <f>IF(F42="","",IF(F42="Moderate",VLOOKUP(D42,'11. Condition and Temporal'!$B$6:$J$101,6,FALSE),IF('6. Hedges &amp; Lines of Trees'!F42="Good",VLOOKUP(D42,'11. Condition and Temporal'!$B$6:$J$101,7,FALSE),VLOOKUP(D42,'11. Condition and Temporal'!$B$6:$J$101,8,FALSE))))</f>
        <v/>
      </c>
      <c r="AF42" s="129" t="str">
        <f>IF(AE42="","",VLOOKUP(AE42,'12. Lists'!$I$47:$K$80,3,FALSE))</f>
        <v/>
      </c>
      <c r="AG42" s="100" t="str">
        <f>IF(D42="","",VLOOKUP(D42,'10. All Habitats + Multipliers'!$C$4:$K$99,7,FALSE))</f>
        <v/>
      </c>
      <c r="AH42" s="101" t="str">
        <f>IF(AG42="","",VLOOKUP(AG42,'12. Lists'!$J$35:$K$38,2,FALSE))</f>
        <v/>
      </c>
    </row>
    <row r="43" spans="2:34" s="27" customFormat="1" ht="15.6">
      <c r="B43" s="106">
        <v>5</v>
      </c>
      <c r="C43" s="82"/>
      <c r="D43" s="78"/>
      <c r="E43" s="127" t="str">
        <f>IF(D43="","",VLOOKUP(D43,'11. Condition and Temporal'!$B$6:$D$101,3,FALSE))</f>
        <v/>
      </c>
      <c r="F43" s="713"/>
      <c r="G43" s="714"/>
      <c r="H43" s="76"/>
      <c r="I43" s="561"/>
      <c r="J43" s="562"/>
      <c r="K43" s="562"/>
      <c r="L43" s="715" t="str">
        <f t="shared" si="9"/>
        <v/>
      </c>
      <c r="M43" s="512"/>
      <c r="N43" s="513"/>
      <c r="O43" s="79"/>
      <c r="P43" s="12"/>
      <c r="R43" s="568"/>
      <c r="U43" s="100" t="str">
        <f>IF(C43="","",VLOOKUP(D43,'10. All Habitats + Multipliers'!$C$4:$K$99,5,FALSE))</f>
        <v/>
      </c>
      <c r="V43" s="101" t="str">
        <f>IF(U43="","",VLOOKUP(U43,'12. Lists'!$B$47:$D$49,2,FALSE))</f>
        <v/>
      </c>
      <c r="W43" s="100" t="str">
        <f t="shared" ref="W43:W58" si="10">IF(F43="","",F43)</f>
        <v/>
      </c>
      <c r="X43" s="101" t="str">
        <f>IF(W43="","",VLOOKUP(W43,'12. Lists'!$F$47:$G$51,2,FALSE))</f>
        <v/>
      </c>
      <c r="Y43" s="100" t="str">
        <f>IF(C43="","",VLOOKUP(D43,'10. All Habitats + Multipliers'!$C$4:$K$99,9,FALSE))</f>
        <v/>
      </c>
      <c r="Z43" s="102" t="str">
        <f>IF(Y43="","",VLOOKUP(Y43,'12. Lists'!$B$36:$D$39,2,FALSE))</f>
        <v/>
      </c>
      <c r="AA43" s="101" t="str">
        <f>IF(Y43="","",VLOOKUP(Y43,'12. Lists'!$B$36:$D$39,3,FALSE))</f>
        <v/>
      </c>
      <c r="AB43" s="100" t="str">
        <f t="shared" si="8"/>
        <v/>
      </c>
      <c r="AC43" s="102" t="str">
        <f>IF(AB43="","",VLOOKUP(AB43,'12. Lists'!$F$36:$H$38,2,FALSE))</f>
        <v/>
      </c>
      <c r="AD43" s="101" t="str">
        <f>IF(AB43="","",VLOOKUP(AB43,'12. Lists'!$F$36:$H$38,3,FALSE))</f>
        <v/>
      </c>
      <c r="AE43" s="100" t="str">
        <f>IF(F43="","",IF(F43="Moderate",VLOOKUP(D43,'11. Condition and Temporal'!$B$6:$J$101,6,FALSE),IF('6. Hedges &amp; Lines of Trees'!F43="Good",VLOOKUP(D43,'11. Condition and Temporal'!$B$6:$J$101,7,FALSE),VLOOKUP(D43,'11. Condition and Temporal'!$B$6:$J$101,8,FALSE))))</f>
        <v/>
      </c>
      <c r="AF43" s="129" t="str">
        <f>IF(AE43="","",VLOOKUP(AE43,'12. Lists'!$I$47:$K$80,3,FALSE))</f>
        <v/>
      </c>
      <c r="AG43" s="100" t="str">
        <f>IF(D43="","",VLOOKUP(D43,'10. All Habitats + Multipliers'!$C$4:$K$99,7,FALSE))</f>
        <v/>
      </c>
      <c r="AH43" s="101" t="str">
        <f>IF(AG43="","",VLOOKUP(AG43,'12. Lists'!$J$35:$K$38,2,FALSE))</f>
        <v/>
      </c>
    </row>
    <row r="44" spans="2:34" s="27" customFormat="1" ht="15.6">
      <c r="B44" s="106">
        <v>6</v>
      </c>
      <c r="C44" s="82"/>
      <c r="D44" s="78"/>
      <c r="E44" s="127" t="str">
        <f>IF(D44="","",VLOOKUP(D44,'11. Condition and Temporal'!$B$6:$D$101,3,FALSE))</f>
        <v/>
      </c>
      <c r="F44" s="713"/>
      <c r="G44" s="714"/>
      <c r="H44" s="76"/>
      <c r="I44" s="561"/>
      <c r="J44" s="562"/>
      <c r="K44" s="562"/>
      <c r="L44" s="715" t="str">
        <f t="shared" si="9"/>
        <v/>
      </c>
      <c r="M44" s="512"/>
      <c r="N44" s="513"/>
      <c r="O44" s="79"/>
      <c r="P44" s="12"/>
      <c r="R44" s="568"/>
      <c r="U44" s="100" t="str">
        <f>IF(C44="","",VLOOKUP(D44,'10. All Habitats + Multipliers'!$C$4:$K$99,5,FALSE))</f>
        <v/>
      </c>
      <c r="V44" s="101" t="str">
        <f>IF(U44="","",VLOOKUP(U44,'12. Lists'!$B$47:$D$49,2,FALSE))</f>
        <v/>
      </c>
      <c r="W44" s="100" t="str">
        <f t="shared" si="10"/>
        <v/>
      </c>
      <c r="X44" s="101" t="str">
        <f>IF(W44="","",VLOOKUP(W44,'12. Lists'!$F$47:$G$51,2,FALSE))</f>
        <v/>
      </c>
      <c r="Y44" s="100" t="str">
        <f>IF(C44="","",VLOOKUP(D44,'10. All Habitats + Multipliers'!$C$4:$K$99,9,FALSE))</f>
        <v/>
      </c>
      <c r="Z44" s="102" t="str">
        <f>IF(Y44="","",VLOOKUP(Y44,'12. Lists'!$B$36:$D$39,2,FALSE))</f>
        <v/>
      </c>
      <c r="AA44" s="101" t="str">
        <f>IF(Y44="","",VLOOKUP(Y44,'12. Lists'!$B$36:$D$39,3,FALSE))</f>
        <v/>
      </c>
      <c r="AB44" s="100" t="str">
        <f t="shared" si="8"/>
        <v/>
      </c>
      <c r="AC44" s="102" t="str">
        <f>IF(AB44="","",VLOOKUP(AB44,'12. Lists'!$F$36:$H$38,2,FALSE))</f>
        <v/>
      </c>
      <c r="AD44" s="101" t="str">
        <f>IF(AB44="","",VLOOKUP(AB44,'12. Lists'!$F$36:$H$38,3,FALSE))</f>
        <v/>
      </c>
      <c r="AE44" s="100" t="str">
        <f>IF(F44="","",IF(F44="Moderate",VLOOKUP(D44,'11. Condition and Temporal'!$B$6:$J$101,6,FALSE),IF('6. Hedges &amp; Lines of Trees'!F44="Good",VLOOKUP(D44,'11. Condition and Temporal'!$B$6:$J$101,7,FALSE),VLOOKUP(D44,'11. Condition and Temporal'!$B$6:$J$101,8,FALSE))))</f>
        <v/>
      </c>
      <c r="AF44" s="129" t="str">
        <f>IF(AE44="","",VLOOKUP(AE44,'12. Lists'!$I$47:$K$80,3,FALSE))</f>
        <v/>
      </c>
      <c r="AG44" s="100" t="str">
        <f>IF(D44="","",VLOOKUP(D44,'10. All Habitats + Multipliers'!$C$4:$K$99,7,FALSE))</f>
        <v/>
      </c>
      <c r="AH44" s="101" t="str">
        <f>IF(AG44="","",VLOOKUP(AG44,'12. Lists'!$J$35:$K$38,2,FALSE))</f>
        <v/>
      </c>
    </row>
    <row r="45" spans="2:34" s="27" customFormat="1" ht="15.6">
      <c r="B45" s="106">
        <v>7</v>
      </c>
      <c r="C45" s="82"/>
      <c r="D45" s="78"/>
      <c r="E45" s="127" t="str">
        <f>IF(D45="","",VLOOKUP(D45,'11. Condition and Temporal'!$B$6:$D$101,3,FALSE))</f>
        <v/>
      </c>
      <c r="F45" s="713"/>
      <c r="G45" s="714"/>
      <c r="H45" s="76"/>
      <c r="I45" s="561"/>
      <c r="J45" s="562"/>
      <c r="K45" s="562"/>
      <c r="L45" s="715" t="str">
        <f t="shared" si="9"/>
        <v/>
      </c>
      <c r="M45" s="512"/>
      <c r="N45" s="513"/>
      <c r="O45" s="79"/>
      <c r="P45" s="12"/>
      <c r="R45" s="568"/>
      <c r="U45" s="100" t="str">
        <f>IF(C45="","",VLOOKUP(D45,'10. All Habitats + Multipliers'!$C$4:$K$99,5,FALSE))</f>
        <v/>
      </c>
      <c r="V45" s="101" t="str">
        <f>IF(U45="","",VLOOKUP(U45,'12. Lists'!$B$47:$D$49,2,FALSE))</f>
        <v/>
      </c>
      <c r="W45" s="100" t="str">
        <f t="shared" si="10"/>
        <v/>
      </c>
      <c r="X45" s="101" t="str">
        <f>IF(W45="","",VLOOKUP(W45,'12. Lists'!$F$47:$G$51,2,FALSE))</f>
        <v/>
      </c>
      <c r="Y45" s="100" t="str">
        <f>IF(C45="","",VLOOKUP(D45,'10. All Habitats + Multipliers'!$C$4:$K$99,9,FALSE))</f>
        <v/>
      </c>
      <c r="Z45" s="102" t="str">
        <f>IF(Y45="","",VLOOKUP(Y45,'12. Lists'!$B$36:$D$39,2,FALSE))</f>
        <v/>
      </c>
      <c r="AA45" s="101" t="str">
        <f>IF(Y45="","",VLOOKUP(Y45,'12. Lists'!$B$36:$D$39,3,FALSE))</f>
        <v/>
      </c>
      <c r="AB45" s="100" t="str">
        <f t="shared" si="8"/>
        <v/>
      </c>
      <c r="AC45" s="102" t="str">
        <f>IF(AB45="","",VLOOKUP(AB45,'12. Lists'!$F$36:$H$38,2,FALSE))</f>
        <v/>
      </c>
      <c r="AD45" s="101" t="str">
        <f>IF(AB45="","",VLOOKUP(AB45,'12. Lists'!$F$36:$H$38,3,FALSE))</f>
        <v/>
      </c>
      <c r="AE45" s="100" t="str">
        <f>IF(F45="","",IF(F45="Moderate",VLOOKUP(D45,'11. Condition and Temporal'!$B$6:$J$101,6,FALSE),IF('6. Hedges &amp; Lines of Trees'!F45="Good",VLOOKUP(D45,'11. Condition and Temporal'!$B$6:$J$101,7,FALSE),VLOOKUP(D45,'11. Condition and Temporal'!$B$6:$J$101,8,FALSE))))</f>
        <v/>
      </c>
      <c r="AF45" s="129" t="str">
        <f>IF(AE45="","",VLOOKUP(AE45,'12. Lists'!$I$47:$K$80,3,FALSE))</f>
        <v/>
      </c>
      <c r="AG45" s="100" t="str">
        <f>IF(D45="","",VLOOKUP(D45,'10. All Habitats + Multipliers'!$C$4:$K$99,7,FALSE))</f>
        <v/>
      </c>
      <c r="AH45" s="101" t="str">
        <f>IF(AG45="","",VLOOKUP(AG45,'12. Lists'!$J$35:$K$38,2,FALSE))</f>
        <v/>
      </c>
    </row>
    <row r="46" spans="2:34" s="27" customFormat="1" ht="15.6">
      <c r="B46" s="106">
        <v>8</v>
      </c>
      <c r="C46" s="82"/>
      <c r="D46" s="78"/>
      <c r="E46" s="127" t="str">
        <f>IF(D46="","",VLOOKUP(D46,'11. Condition and Temporal'!$B$6:$D$101,3,FALSE))</f>
        <v/>
      </c>
      <c r="F46" s="713"/>
      <c r="G46" s="714"/>
      <c r="H46" s="76"/>
      <c r="I46" s="561"/>
      <c r="J46" s="562"/>
      <c r="K46" s="562"/>
      <c r="L46" s="715" t="str">
        <f t="shared" si="9"/>
        <v/>
      </c>
      <c r="M46" s="512"/>
      <c r="N46" s="513"/>
      <c r="O46" s="79"/>
      <c r="P46" s="12"/>
      <c r="R46" s="568"/>
      <c r="U46" s="100" t="str">
        <f>IF(C46="","",VLOOKUP(D46,'10. All Habitats + Multipliers'!$C$4:$K$99,5,FALSE))</f>
        <v/>
      </c>
      <c r="V46" s="101" t="str">
        <f>IF(U46="","",VLOOKUP(U46,'12. Lists'!$B$47:$D$49,2,FALSE))</f>
        <v/>
      </c>
      <c r="W46" s="100" t="str">
        <f t="shared" si="10"/>
        <v/>
      </c>
      <c r="X46" s="101" t="str">
        <f>IF(W46="","",VLOOKUP(W46,'12. Lists'!$F$47:$G$51,2,FALSE))</f>
        <v/>
      </c>
      <c r="Y46" s="100" t="str">
        <f>IF(C46="","",VLOOKUP(D46,'10. All Habitats + Multipliers'!$C$4:$K$99,9,FALSE))</f>
        <v/>
      </c>
      <c r="Z46" s="102" t="str">
        <f>IF(Y46="","",VLOOKUP(Y46,'12. Lists'!$B$36:$D$39,2,FALSE))</f>
        <v/>
      </c>
      <c r="AA46" s="101" t="str">
        <f>IF(Y46="","",VLOOKUP(Y46,'12. Lists'!$B$36:$D$39,3,FALSE))</f>
        <v/>
      </c>
      <c r="AB46" s="100" t="str">
        <f t="shared" si="8"/>
        <v/>
      </c>
      <c r="AC46" s="102" t="str">
        <f>IF(AB46="","",VLOOKUP(AB46,'12. Lists'!$F$36:$H$38,2,FALSE))</f>
        <v/>
      </c>
      <c r="AD46" s="101" t="str">
        <f>IF(AB46="","",VLOOKUP(AB46,'12. Lists'!$F$36:$H$38,3,FALSE))</f>
        <v/>
      </c>
      <c r="AE46" s="100" t="str">
        <f>IF(F46="","",IF(F46="Moderate",VLOOKUP(D46,'11. Condition and Temporal'!$B$6:$J$101,6,FALSE),IF('6. Hedges &amp; Lines of Trees'!F46="Good",VLOOKUP(D46,'11. Condition and Temporal'!$B$6:$J$101,7,FALSE),VLOOKUP(D46,'11. Condition and Temporal'!$B$6:$J$101,8,FALSE))))</f>
        <v/>
      </c>
      <c r="AF46" s="129" t="str">
        <f>IF(AE46="","",VLOOKUP(AE46,'12. Lists'!$I$47:$K$80,3,FALSE))</f>
        <v/>
      </c>
      <c r="AG46" s="100" t="str">
        <f>IF(D46="","",VLOOKUP(D46,'10. All Habitats + Multipliers'!$C$4:$K$99,7,FALSE))</f>
        <v/>
      </c>
      <c r="AH46" s="101" t="str">
        <f>IF(AG46="","",VLOOKUP(AG46,'12. Lists'!$J$35:$K$38,2,FALSE))</f>
        <v/>
      </c>
    </row>
    <row r="47" spans="2:34" s="27" customFormat="1" ht="15.6">
      <c r="B47" s="106">
        <v>9</v>
      </c>
      <c r="C47" s="82"/>
      <c r="D47" s="78"/>
      <c r="E47" s="127" t="str">
        <f>IF(D47="","",VLOOKUP(D47,'11. Condition and Temporal'!$B$6:$D$101,3,FALSE))</f>
        <v/>
      </c>
      <c r="F47" s="713"/>
      <c r="G47" s="714"/>
      <c r="H47" s="76"/>
      <c r="I47" s="561"/>
      <c r="J47" s="562"/>
      <c r="K47" s="562"/>
      <c r="L47" s="715" t="str">
        <f t="shared" si="9"/>
        <v/>
      </c>
      <c r="M47" s="512"/>
      <c r="N47" s="513"/>
      <c r="O47" s="79"/>
      <c r="P47" s="12"/>
      <c r="R47" s="568"/>
      <c r="U47" s="100" t="str">
        <f>IF(C47="","",VLOOKUP(D47,'10. All Habitats + Multipliers'!$C$4:$K$99,5,FALSE))</f>
        <v/>
      </c>
      <c r="V47" s="101" t="str">
        <f>IF(U47="","",VLOOKUP(U47,'12. Lists'!$B$47:$D$49,2,FALSE))</f>
        <v/>
      </c>
      <c r="W47" s="100" t="str">
        <f t="shared" si="10"/>
        <v/>
      </c>
      <c r="X47" s="101" t="str">
        <f>IF(W47="","",VLOOKUP(W47,'12. Lists'!$F$47:$G$51,2,FALSE))</f>
        <v/>
      </c>
      <c r="Y47" s="100" t="str">
        <f>IF(C47="","",VLOOKUP(D47,'10. All Habitats + Multipliers'!$C$4:$K$99,9,FALSE))</f>
        <v/>
      </c>
      <c r="Z47" s="102" t="str">
        <f>IF(Y47="","",VLOOKUP(Y47,'12. Lists'!$B$36:$D$39,2,FALSE))</f>
        <v/>
      </c>
      <c r="AA47" s="101" t="str">
        <f>IF(Y47="","",VLOOKUP(Y47,'12. Lists'!$B$36:$D$39,3,FALSE))</f>
        <v/>
      </c>
      <c r="AB47" s="100" t="str">
        <f t="shared" si="8"/>
        <v/>
      </c>
      <c r="AC47" s="102" t="str">
        <f>IF(AB47="","",VLOOKUP(AB47,'12. Lists'!$F$36:$H$38,2,FALSE))</f>
        <v/>
      </c>
      <c r="AD47" s="101" t="str">
        <f>IF(AB47="","",VLOOKUP(AB47,'12. Lists'!$F$36:$H$38,3,FALSE))</f>
        <v/>
      </c>
      <c r="AE47" s="100" t="str">
        <f>IF(F47="","",IF(F47="Moderate",VLOOKUP(D47,'11. Condition and Temporal'!$B$6:$J$101,6,FALSE),IF('6. Hedges &amp; Lines of Trees'!F47="Good",VLOOKUP(D47,'11. Condition and Temporal'!$B$6:$J$101,7,FALSE),VLOOKUP(D47,'11. Condition and Temporal'!$B$6:$J$101,8,FALSE))))</f>
        <v/>
      </c>
      <c r="AF47" s="129" t="str">
        <f>IF(AE47="","",VLOOKUP(AE47,'12. Lists'!$I$47:$K$80,3,FALSE))</f>
        <v/>
      </c>
      <c r="AG47" s="100" t="str">
        <f>IF(D47="","",VLOOKUP(D47,'10. All Habitats + Multipliers'!$C$4:$K$99,7,FALSE))</f>
        <v/>
      </c>
      <c r="AH47" s="101" t="str">
        <f>IF(AG47="","",VLOOKUP(AG47,'12. Lists'!$J$35:$K$38,2,FALSE))</f>
        <v/>
      </c>
    </row>
    <row r="48" spans="2:34" s="27" customFormat="1" ht="15.6">
      <c r="B48" s="106">
        <v>10</v>
      </c>
      <c r="C48" s="81"/>
      <c r="D48" s="78"/>
      <c r="E48" s="127" t="str">
        <f>IF(D48="","",VLOOKUP(D48,'11. Condition and Temporal'!$B$6:$D$101,3,FALSE))</f>
        <v/>
      </c>
      <c r="F48" s="713"/>
      <c r="G48" s="714"/>
      <c r="H48" s="76"/>
      <c r="I48" s="561"/>
      <c r="J48" s="562"/>
      <c r="K48" s="562"/>
      <c r="L48" s="715" t="str">
        <f t="shared" si="9"/>
        <v/>
      </c>
      <c r="M48" s="512"/>
      <c r="N48" s="513"/>
      <c r="O48" s="79"/>
      <c r="P48" s="12"/>
      <c r="R48" s="568"/>
      <c r="U48" s="100" t="str">
        <f>IF(C48="","",VLOOKUP(D48,'10. All Habitats + Multipliers'!$C$4:$K$99,5,FALSE))</f>
        <v/>
      </c>
      <c r="V48" s="101" t="str">
        <f>IF(U48="","",VLOOKUP(U48,'12. Lists'!$B$47:$D$49,2,FALSE))</f>
        <v/>
      </c>
      <c r="W48" s="100" t="str">
        <f t="shared" si="10"/>
        <v/>
      </c>
      <c r="X48" s="101" t="str">
        <f>IF(W48="","",VLOOKUP(W48,'12. Lists'!$F$47:$G$51,2,FALSE))</f>
        <v/>
      </c>
      <c r="Y48" s="100" t="str">
        <f>IF(C48="","",VLOOKUP(D48,'10. All Habitats + Multipliers'!$C$4:$K$99,9,FALSE))</f>
        <v/>
      </c>
      <c r="Z48" s="102" t="str">
        <f>IF(Y48="","",VLOOKUP(Y48,'12. Lists'!$B$36:$D$39,2,FALSE))</f>
        <v/>
      </c>
      <c r="AA48" s="101" t="str">
        <f>IF(Y48="","",VLOOKUP(Y48,'12. Lists'!$B$36:$D$39,3,FALSE))</f>
        <v/>
      </c>
      <c r="AB48" s="100" t="str">
        <f t="shared" si="8"/>
        <v/>
      </c>
      <c r="AC48" s="102" t="str">
        <f>IF(AB48="","",VLOOKUP(AB48,'12. Lists'!$F$36:$H$38,2,FALSE))</f>
        <v/>
      </c>
      <c r="AD48" s="101" t="str">
        <f>IF(AB48="","",VLOOKUP(AB48,'12. Lists'!$F$36:$H$38,3,FALSE))</f>
        <v/>
      </c>
      <c r="AE48" s="100" t="str">
        <f>IF(F48="","",IF(F48="Moderate",VLOOKUP(D48,'11. Condition and Temporal'!$B$6:$J$101,6,FALSE),IF('6. Hedges &amp; Lines of Trees'!F48="Good",VLOOKUP(D48,'11. Condition and Temporal'!$B$6:$J$101,7,FALSE),VLOOKUP(D48,'11. Condition and Temporal'!$B$6:$J$101,8,FALSE))))</f>
        <v/>
      </c>
      <c r="AF48" s="129" t="str">
        <f>IF(AE48="","",VLOOKUP(AE48,'12. Lists'!$I$47:$K$80,3,FALSE))</f>
        <v/>
      </c>
      <c r="AG48" s="100" t="str">
        <f>IF(D48="","",VLOOKUP(D48,'10. All Habitats + Multipliers'!$C$4:$K$99,7,FALSE))</f>
        <v/>
      </c>
      <c r="AH48" s="101" t="str">
        <f>IF(AG48="","",VLOOKUP(AG48,'12. Lists'!$J$35:$K$38,2,FALSE))</f>
        <v/>
      </c>
    </row>
    <row r="49" spans="1:73" s="27" customFormat="1" ht="15.6">
      <c r="B49" s="106">
        <v>11</v>
      </c>
      <c r="C49" s="82"/>
      <c r="D49" s="78"/>
      <c r="E49" s="127" t="str">
        <f>IF(D49="","",VLOOKUP(D49,'11. Condition and Temporal'!$B$6:$D$101,3,FALSE))</f>
        <v/>
      </c>
      <c r="F49" s="713"/>
      <c r="G49" s="714"/>
      <c r="H49" s="76"/>
      <c r="I49" s="561"/>
      <c r="J49" s="562"/>
      <c r="K49" s="562"/>
      <c r="L49" s="715" t="str">
        <f t="shared" si="9"/>
        <v/>
      </c>
      <c r="M49" s="512"/>
      <c r="N49" s="513"/>
      <c r="O49" s="79"/>
      <c r="P49" s="12"/>
      <c r="R49" s="568"/>
      <c r="U49" s="100" t="str">
        <f>IF(C49="","",VLOOKUP(D49,'10. All Habitats + Multipliers'!$C$4:$K$99,5,FALSE))</f>
        <v/>
      </c>
      <c r="V49" s="101" t="str">
        <f>IF(U49="","",VLOOKUP(U49,'12. Lists'!$B$47:$D$49,2,FALSE))</f>
        <v/>
      </c>
      <c r="W49" s="100" t="str">
        <f t="shared" si="10"/>
        <v/>
      </c>
      <c r="X49" s="101" t="str">
        <f>IF(W49="","",VLOOKUP(W49,'12. Lists'!$F$47:$G$51,2,FALSE))</f>
        <v/>
      </c>
      <c r="Y49" s="100" t="str">
        <f>IF(C49="","",VLOOKUP(D49,'10. All Habitats + Multipliers'!$C$4:$K$99,9,FALSE))</f>
        <v/>
      </c>
      <c r="Z49" s="102" t="str">
        <f>IF(Y49="","",VLOOKUP(Y49,'12. Lists'!$B$36:$D$39,2,FALSE))</f>
        <v/>
      </c>
      <c r="AA49" s="101" t="str">
        <f>IF(Y49="","",VLOOKUP(Y49,'12. Lists'!$B$36:$D$39,3,FALSE))</f>
        <v/>
      </c>
      <c r="AB49" s="100" t="str">
        <f t="shared" si="8"/>
        <v/>
      </c>
      <c r="AC49" s="102" t="str">
        <f>IF(AB49="","",VLOOKUP(AB49,'12. Lists'!$F$36:$H$38,2,FALSE))</f>
        <v/>
      </c>
      <c r="AD49" s="101" t="str">
        <f>IF(AB49="","",VLOOKUP(AB49,'12. Lists'!$F$36:$H$38,3,FALSE))</f>
        <v/>
      </c>
      <c r="AE49" s="100" t="str">
        <f>IF(F49="","",IF(F49="Moderate",VLOOKUP(D49,'11. Condition and Temporal'!$B$6:$J$101,6,FALSE),IF('6. Hedges &amp; Lines of Trees'!F49="Good",VLOOKUP(D49,'11. Condition and Temporal'!$B$6:$J$101,7,FALSE),VLOOKUP(D49,'11. Condition and Temporal'!$B$6:$J$101,8,FALSE))))</f>
        <v/>
      </c>
      <c r="AF49" s="129" t="str">
        <f>IF(AE49="","",VLOOKUP(AE49,'12. Lists'!$I$47:$K$80,3,FALSE))</f>
        <v/>
      </c>
      <c r="AG49" s="100" t="str">
        <f>IF(D49="","",VLOOKUP(D49,'10. All Habitats + Multipliers'!$C$4:$K$99,7,FALSE))</f>
        <v/>
      </c>
      <c r="AH49" s="101" t="str">
        <f>IF(AG49="","",VLOOKUP(AG49,'12. Lists'!$J$35:$K$38,2,FALSE))</f>
        <v/>
      </c>
    </row>
    <row r="50" spans="1:73" s="27" customFormat="1" ht="15.6">
      <c r="B50" s="106">
        <v>12</v>
      </c>
      <c r="C50" s="82"/>
      <c r="D50" s="78"/>
      <c r="E50" s="127" t="str">
        <f>IF(D50="","",VLOOKUP(D50,'11. Condition and Temporal'!$B$6:$D$101,3,FALSE))</f>
        <v/>
      </c>
      <c r="F50" s="713"/>
      <c r="G50" s="714"/>
      <c r="H50" s="76"/>
      <c r="I50" s="561"/>
      <c r="J50" s="562"/>
      <c r="K50" s="562"/>
      <c r="L50" s="715" t="str">
        <f t="shared" si="9"/>
        <v/>
      </c>
      <c r="M50" s="512"/>
      <c r="N50" s="513"/>
      <c r="O50" s="79"/>
      <c r="P50" s="12"/>
      <c r="R50" s="568"/>
      <c r="U50" s="100" t="str">
        <f>IF(C50="","",VLOOKUP(D50,'10. All Habitats + Multipliers'!$C$4:$K$99,5,FALSE))</f>
        <v/>
      </c>
      <c r="V50" s="101" t="str">
        <f>IF(U50="","",VLOOKUP(U50,'12. Lists'!$B$47:$D$49,2,FALSE))</f>
        <v/>
      </c>
      <c r="W50" s="100" t="str">
        <f t="shared" si="10"/>
        <v/>
      </c>
      <c r="X50" s="101" t="str">
        <f>IF(W50="","",VLOOKUP(W50,'12. Lists'!$F$47:$G$51,2,FALSE))</f>
        <v/>
      </c>
      <c r="Y50" s="100" t="str">
        <f>IF(C50="","",VLOOKUP(D50,'10. All Habitats + Multipliers'!$C$4:$K$99,9,FALSE))</f>
        <v/>
      </c>
      <c r="Z50" s="102" t="str">
        <f>IF(Y50="","",VLOOKUP(Y50,'12. Lists'!$B$36:$D$39,2,FALSE))</f>
        <v/>
      </c>
      <c r="AA50" s="101" t="str">
        <f>IF(Y50="","",VLOOKUP(Y50,'12. Lists'!$B$36:$D$39,3,FALSE))</f>
        <v/>
      </c>
      <c r="AB50" s="100" t="str">
        <f t="shared" si="8"/>
        <v/>
      </c>
      <c r="AC50" s="102" t="str">
        <f>IF(AB50="","",VLOOKUP(AB50,'12. Lists'!$F$36:$H$38,2,FALSE))</f>
        <v/>
      </c>
      <c r="AD50" s="101" t="str">
        <f>IF(AB50="","",VLOOKUP(AB50,'12. Lists'!$F$36:$H$38,3,FALSE))</f>
        <v/>
      </c>
      <c r="AE50" s="100" t="str">
        <f>IF(F50="","",IF(F50="Moderate",VLOOKUP(D50,'11. Condition and Temporal'!$B$6:$J$101,6,FALSE),IF('6. Hedges &amp; Lines of Trees'!F50="Good",VLOOKUP(D50,'11. Condition and Temporal'!$B$6:$J$101,7,FALSE),VLOOKUP(D50,'11. Condition and Temporal'!$B$6:$J$101,8,FALSE))))</f>
        <v/>
      </c>
      <c r="AF50" s="129" t="str">
        <f>IF(AE50="","",VLOOKUP(AE50,'12. Lists'!$I$47:$K$80,3,FALSE))</f>
        <v/>
      </c>
      <c r="AG50" s="100" t="str">
        <f>IF(D50="","",VLOOKUP(D50,'10. All Habitats + Multipliers'!$C$4:$K$99,7,FALSE))</f>
        <v/>
      </c>
      <c r="AH50" s="101" t="str">
        <f>IF(AG50="","",VLOOKUP(AG50,'12. Lists'!$J$35:$K$38,2,FALSE))</f>
        <v/>
      </c>
    </row>
    <row r="51" spans="1:73" s="27" customFormat="1" ht="15.6">
      <c r="B51" s="106">
        <v>13</v>
      </c>
      <c r="C51" s="82"/>
      <c r="D51" s="78"/>
      <c r="E51" s="127" t="str">
        <f>IF(D51="","",VLOOKUP(D51,'11. Condition and Temporal'!$B$6:$D$101,3,FALSE))</f>
        <v/>
      </c>
      <c r="F51" s="713"/>
      <c r="G51" s="714"/>
      <c r="H51" s="76"/>
      <c r="I51" s="561"/>
      <c r="J51" s="562"/>
      <c r="K51" s="562"/>
      <c r="L51" s="715" t="str">
        <f t="shared" si="9"/>
        <v/>
      </c>
      <c r="M51" s="512"/>
      <c r="N51" s="513"/>
      <c r="O51" s="79"/>
      <c r="P51" s="12"/>
      <c r="R51" s="568"/>
      <c r="U51" s="100" t="str">
        <f>IF(C51="","",VLOOKUP(D51,'10. All Habitats + Multipliers'!$C$4:$K$99,5,FALSE))</f>
        <v/>
      </c>
      <c r="V51" s="101" t="str">
        <f>IF(U51="","",VLOOKUP(U51,'12. Lists'!$B$47:$D$49,2,FALSE))</f>
        <v/>
      </c>
      <c r="W51" s="100" t="str">
        <f t="shared" si="10"/>
        <v/>
      </c>
      <c r="X51" s="101" t="str">
        <f>IF(W51="","",VLOOKUP(W51,'12. Lists'!$F$47:$G$51,2,FALSE))</f>
        <v/>
      </c>
      <c r="Y51" s="100" t="str">
        <f>IF(C51="","",VLOOKUP(D51,'10. All Habitats + Multipliers'!$C$4:$K$99,9,FALSE))</f>
        <v/>
      </c>
      <c r="Z51" s="102" t="str">
        <f>IF(Y51="","",VLOOKUP(Y51,'12. Lists'!$B$36:$D$39,2,FALSE))</f>
        <v/>
      </c>
      <c r="AA51" s="101" t="str">
        <f>IF(Y51="","",VLOOKUP(Y51,'12. Lists'!$B$36:$D$39,3,FALSE))</f>
        <v/>
      </c>
      <c r="AB51" s="100" t="str">
        <f t="shared" si="8"/>
        <v/>
      </c>
      <c r="AC51" s="102" t="str">
        <f>IF(AB51="","",VLOOKUP(AB51,'12. Lists'!$F$36:$H$38,2,FALSE))</f>
        <v/>
      </c>
      <c r="AD51" s="101" t="str">
        <f>IF(AB51="","",VLOOKUP(AB51,'12. Lists'!$F$36:$H$38,3,FALSE))</f>
        <v/>
      </c>
      <c r="AE51" s="100" t="str">
        <f>IF(F51="","",IF(F51="Moderate",VLOOKUP(D51,'11. Condition and Temporal'!$B$6:$J$101,6,FALSE),IF('6. Hedges &amp; Lines of Trees'!F51="Good",VLOOKUP(D51,'11. Condition and Temporal'!$B$6:$J$101,7,FALSE),VLOOKUP(D51,'11. Condition and Temporal'!$B$6:$J$101,8,FALSE))))</f>
        <v/>
      </c>
      <c r="AF51" s="129" t="str">
        <f>IF(AE51="","",VLOOKUP(AE51,'12. Lists'!$I$47:$K$80,3,FALSE))</f>
        <v/>
      </c>
      <c r="AG51" s="100" t="str">
        <f>IF(D51="","",VLOOKUP(D51,'10. All Habitats + Multipliers'!$C$4:$K$99,7,FALSE))</f>
        <v/>
      </c>
      <c r="AH51" s="101" t="str">
        <f>IF(AG51="","",VLOOKUP(AG51,'12. Lists'!$J$35:$K$38,2,FALSE))</f>
        <v/>
      </c>
    </row>
    <row r="52" spans="1:73" s="27" customFormat="1" ht="15.6">
      <c r="B52" s="106">
        <v>14</v>
      </c>
      <c r="C52" s="82"/>
      <c r="D52" s="78"/>
      <c r="E52" s="127" t="str">
        <f>IF(D52="","",VLOOKUP(D52,'11. Condition and Temporal'!$B$6:$D$101,3,FALSE))</f>
        <v/>
      </c>
      <c r="F52" s="713"/>
      <c r="G52" s="714"/>
      <c r="H52" s="76"/>
      <c r="I52" s="561"/>
      <c r="J52" s="562"/>
      <c r="K52" s="562"/>
      <c r="L52" s="715" t="str">
        <f t="shared" si="9"/>
        <v/>
      </c>
      <c r="M52" s="512"/>
      <c r="N52" s="513"/>
      <c r="O52" s="79"/>
      <c r="P52" s="12"/>
      <c r="R52" s="568"/>
      <c r="U52" s="100" t="str">
        <f>IF(C52="","",VLOOKUP(D52,'10. All Habitats + Multipliers'!$C$4:$K$99,5,FALSE))</f>
        <v/>
      </c>
      <c r="V52" s="101" t="str">
        <f>IF(U52="","",VLOOKUP(U52,'12. Lists'!$B$47:$D$49,2,FALSE))</f>
        <v/>
      </c>
      <c r="W52" s="100" t="str">
        <f t="shared" si="10"/>
        <v/>
      </c>
      <c r="X52" s="101" t="str">
        <f>IF(W52="","",VLOOKUP(W52,'12. Lists'!$F$47:$G$51,2,FALSE))</f>
        <v/>
      </c>
      <c r="Y52" s="100" t="str">
        <f>IF(C52="","",VLOOKUP(D52,'10. All Habitats + Multipliers'!$C$4:$K$99,9,FALSE))</f>
        <v/>
      </c>
      <c r="Z52" s="102" t="str">
        <f>IF(Y52="","",VLOOKUP(Y52,'12. Lists'!$B$36:$D$39,2,FALSE))</f>
        <v/>
      </c>
      <c r="AA52" s="101" t="str">
        <f>IF(Y52="","",VLOOKUP(Y52,'12. Lists'!$B$36:$D$39,3,FALSE))</f>
        <v/>
      </c>
      <c r="AB52" s="100" t="str">
        <f t="shared" si="8"/>
        <v/>
      </c>
      <c r="AC52" s="102" t="str">
        <f>IF(AB52="","",VLOOKUP(AB52,'12. Lists'!$F$36:$H$38,2,FALSE))</f>
        <v/>
      </c>
      <c r="AD52" s="101" t="str">
        <f>IF(AB52="","",VLOOKUP(AB52,'12. Lists'!$F$36:$H$38,3,FALSE))</f>
        <v/>
      </c>
      <c r="AE52" s="100" t="str">
        <f>IF(F52="","",IF(F52="Moderate",VLOOKUP(D52,'11. Condition and Temporal'!$B$6:$J$101,6,FALSE),IF('6. Hedges &amp; Lines of Trees'!F52="Good",VLOOKUP(D52,'11. Condition and Temporal'!$B$6:$J$101,7,FALSE),VLOOKUP(D52,'11. Condition and Temporal'!$B$6:$J$101,8,FALSE))))</f>
        <v/>
      </c>
      <c r="AF52" s="129" t="str">
        <f>IF(AE52="","",VLOOKUP(AE52,'12. Lists'!$I$47:$K$80,3,FALSE))</f>
        <v/>
      </c>
      <c r="AG52" s="100" t="str">
        <f>IF(D52="","",VLOOKUP(D52,'10. All Habitats + Multipliers'!$C$4:$K$99,7,FALSE))</f>
        <v/>
      </c>
      <c r="AH52" s="101" t="str">
        <f>IF(AG52="","",VLOOKUP(AG52,'12. Lists'!$J$35:$K$38,2,FALSE))</f>
        <v/>
      </c>
    </row>
    <row r="53" spans="1:73" s="27" customFormat="1" ht="15.6">
      <c r="B53" s="106">
        <v>15</v>
      </c>
      <c r="C53" s="82"/>
      <c r="D53" s="78"/>
      <c r="E53" s="127" t="str">
        <f>IF(D53="","",VLOOKUP(D53,'11. Condition and Temporal'!$B$6:$D$101,3,FALSE))</f>
        <v/>
      </c>
      <c r="F53" s="713"/>
      <c r="G53" s="714"/>
      <c r="H53" s="76"/>
      <c r="I53" s="561"/>
      <c r="J53" s="562"/>
      <c r="K53" s="562"/>
      <c r="L53" s="715" t="str">
        <f t="shared" si="9"/>
        <v/>
      </c>
      <c r="M53" s="512"/>
      <c r="N53" s="513"/>
      <c r="O53" s="79"/>
      <c r="P53" s="12"/>
      <c r="R53" s="568"/>
      <c r="U53" s="100" t="str">
        <f>IF(C53="","",VLOOKUP(D53,'10. All Habitats + Multipliers'!$C$4:$K$99,5,FALSE))</f>
        <v/>
      </c>
      <c r="V53" s="101" t="str">
        <f>IF(U53="","",VLOOKUP(U53,'12. Lists'!$B$47:$D$49,2,FALSE))</f>
        <v/>
      </c>
      <c r="W53" s="100" t="str">
        <f t="shared" si="10"/>
        <v/>
      </c>
      <c r="X53" s="101" t="str">
        <f>IF(W53="","",VLOOKUP(W53,'12. Lists'!$F$47:$G$51,2,FALSE))</f>
        <v/>
      </c>
      <c r="Y53" s="100" t="str">
        <f>IF(C53="","",VLOOKUP(D53,'10. All Habitats + Multipliers'!$C$4:$K$99,9,FALSE))</f>
        <v/>
      </c>
      <c r="Z53" s="102" t="str">
        <f>IF(Y53="","",VLOOKUP(Y53,'12. Lists'!$B$36:$D$39,2,FALSE))</f>
        <v/>
      </c>
      <c r="AA53" s="101" t="str">
        <f>IF(Y53="","",VLOOKUP(Y53,'12. Lists'!$B$36:$D$39,3,FALSE))</f>
        <v/>
      </c>
      <c r="AB53" s="100" t="str">
        <f t="shared" si="8"/>
        <v/>
      </c>
      <c r="AC53" s="102" t="str">
        <f>IF(AB53="","",VLOOKUP(AB53,'12. Lists'!$F$36:$H$38,2,FALSE))</f>
        <v/>
      </c>
      <c r="AD53" s="101" t="str">
        <f>IF(AB53="","",VLOOKUP(AB53,'12. Lists'!$F$36:$H$38,3,FALSE))</f>
        <v/>
      </c>
      <c r="AE53" s="100" t="str">
        <f>IF(F53="","",IF(F53="Moderate",VLOOKUP(D53,'11. Condition and Temporal'!$B$6:$J$101,6,FALSE),IF('6. Hedges &amp; Lines of Trees'!F53="Good",VLOOKUP(D53,'11. Condition and Temporal'!$B$6:$J$101,7,FALSE),VLOOKUP(D53,'11. Condition and Temporal'!$B$6:$J$101,8,FALSE))))</f>
        <v/>
      </c>
      <c r="AF53" s="129" t="str">
        <f>IF(AE53="","",VLOOKUP(AE53,'12. Lists'!$I$47:$K$80,3,FALSE))</f>
        <v/>
      </c>
      <c r="AG53" s="100" t="str">
        <f>IF(D53="","",VLOOKUP(D53,'10. All Habitats + Multipliers'!$C$4:$K$99,7,FALSE))</f>
        <v/>
      </c>
      <c r="AH53" s="101" t="str">
        <f>IF(AG53="","",VLOOKUP(AG53,'12. Lists'!$J$35:$K$38,2,FALSE))</f>
        <v/>
      </c>
    </row>
    <row r="54" spans="1:73" s="27" customFormat="1" ht="15.6">
      <c r="B54" s="106">
        <v>16</v>
      </c>
      <c r="C54" s="82"/>
      <c r="D54" s="78"/>
      <c r="E54" s="127" t="str">
        <f>IF(D54="","",VLOOKUP(D54,'11. Condition and Temporal'!$B$6:$D$101,3,FALSE))</f>
        <v/>
      </c>
      <c r="F54" s="713"/>
      <c r="G54" s="714"/>
      <c r="H54" s="76"/>
      <c r="I54" s="561"/>
      <c r="J54" s="562"/>
      <c r="K54" s="562"/>
      <c r="L54" s="715" t="str">
        <f t="shared" si="9"/>
        <v/>
      </c>
      <c r="M54" s="512"/>
      <c r="N54" s="513"/>
      <c r="O54" s="79"/>
      <c r="P54" s="12"/>
      <c r="R54" s="568"/>
      <c r="U54" s="100" t="str">
        <f>IF(C54="","",VLOOKUP(D54,'10. All Habitats + Multipliers'!$C$4:$K$99,5,FALSE))</f>
        <v/>
      </c>
      <c r="V54" s="101" t="str">
        <f>IF(U54="","",VLOOKUP(U54,'12. Lists'!$B$47:$D$49,2,FALSE))</f>
        <v/>
      </c>
      <c r="W54" s="100" t="str">
        <f t="shared" si="10"/>
        <v/>
      </c>
      <c r="X54" s="101" t="str">
        <f>IF(W54="","",VLOOKUP(W54,'12. Lists'!$F$47:$G$51,2,FALSE))</f>
        <v/>
      </c>
      <c r="Y54" s="100" t="str">
        <f>IF(C54="","",VLOOKUP(D54,'10. All Habitats + Multipliers'!$C$4:$K$99,9,FALSE))</f>
        <v/>
      </c>
      <c r="Z54" s="102" t="str">
        <f>IF(Y54="","",VLOOKUP(Y54,'12. Lists'!$B$36:$D$39,2,FALSE))</f>
        <v/>
      </c>
      <c r="AA54" s="101" t="str">
        <f>IF(Y54="","",VLOOKUP(Y54,'12. Lists'!$B$36:$D$39,3,FALSE))</f>
        <v/>
      </c>
      <c r="AB54" s="100" t="str">
        <f t="shared" si="8"/>
        <v/>
      </c>
      <c r="AC54" s="102" t="str">
        <f>IF(AB54="","",VLOOKUP(AB54,'12. Lists'!$F$36:$H$38,2,FALSE))</f>
        <v/>
      </c>
      <c r="AD54" s="101" t="str">
        <f>IF(AB54="","",VLOOKUP(AB54,'12. Lists'!$F$36:$H$38,3,FALSE))</f>
        <v/>
      </c>
      <c r="AE54" s="100" t="str">
        <f>IF(F54="","",IF(F54="Moderate",VLOOKUP(D54,'11. Condition and Temporal'!$B$6:$J$101,6,FALSE),IF('6. Hedges &amp; Lines of Trees'!F54="Good",VLOOKUP(D54,'11. Condition and Temporal'!$B$6:$J$101,7,FALSE),VLOOKUP(D54,'11. Condition and Temporal'!$B$6:$J$101,8,FALSE))))</f>
        <v/>
      </c>
      <c r="AF54" s="129" t="str">
        <f>IF(AE54="","",VLOOKUP(AE54,'12. Lists'!$I$47:$K$80,3,FALSE))</f>
        <v/>
      </c>
      <c r="AG54" s="100" t="str">
        <f>IF(D54="","",VLOOKUP(D54,'10. All Habitats + Multipliers'!$C$4:$K$99,7,FALSE))</f>
        <v/>
      </c>
      <c r="AH54" s="101" t="str">
        <f>IF(AG54="","",VLOOKUP(AG54,'12. Lists'!$J$35:$K$38,2,FALSE))</f>
        <v/>
      </c>
    </row>
    <row r="55" spans="1:73" s="27" customFormat="1" ht="15.6">
      <c r="B55" s="106">
        <v>17</v>
      </c>
      <c r="C55" s="82"/>
      <c r="D55" s="78"/>
      <c r="E55" s="127" t="str">
        <f>IF(D55="","",VLOOKUP(D55,'11. Condition and Temporal'!$B$6:$D$101,3,FALSE))</f>
        <v/>
      </c>
      <c r="F55" s="713"/>
      <c r="G55" s="714"/>
      <c r="H55" s="76"/>
      <c r="I55" s="561"/>
      <c r="J55" s="562"/>
      <c r="K55" s="562"/>
      <c r="L55" s="715" t="str">
        <f t="shared" si="9"/>
        <v/>
      </c>
      <c r="M55" s="512"/>
      <c r="N55" s="513"/>
      <c r="O55" s="79"/>
      <c r="P55" s="12"/>
      <c r="R55" s="568"/>
      <c r="U55" s="100" t="str">
        <f>IF(C55="","",VLOOKUP(D55,'10. All Habitats + Multipliers'!$C$4:$K$99,5,FALSE))</f>
        <v/>
      </c>
      <c r="V55" s="101" t="str">
        <f>IF(U55="","",VLOOKUP(U55,'12. Lists'!$B$47:$D$49,2,FALSE))</f>
        <v/>
      </c>
      <c r="W55" s="100" t="str">
        <f t="shared" si="10"/>
        <v/>
      </c>
      <c r="X55" s="101" t="str">
        <f>IF(W55="","",VLOOKUP(W55,'12. Lists'!$F$47:$G$51,2,FALSE))</f>
        <v/>
      </c>
      <c r="Y55" s="100" t="str">
        <f>IF(C55="","",VLOOKUP(D55,'10. All Habitats + Multipliers'!$C$4:$K$99,9,FALSE))</f>
        <v/>
      </c>
      <c r="Z55" s="102" t="str">
        <f>IF(Y55="","",VLOOKUP(Y55,'12. Lists'!$B$36:$D$39,2,FALSE))</f>
        <v/>
      </c>
      <c r="AA55" s="101" t="str">
        <f>IF(Y55="","",VLOOKUP(Y55,'12. Lists'!$B$36:$D$39,3,FALSE))</f>
        <v/>
      </c>
      <c r="AB55" s="100" t="str">
        <f t="shared" si="8"/>
        <v/>
      </c>
      <c r="AC55" s="102" t="str">
        <f>IF(AB55="","",VLOOKUP(AB55,'12. Lists'!$F$36:$H$38,2,FALSE))</f>
        <v/>
      </c>
      <c r="AD55" s="101" t="str">
        <f>IF(AB55="","",VLOOKUP(AB55,'12. Lists'!$F$36:$H$38,3,FALSE))</f>
        <v/>
      </c>
      <c r="AE55" s="100" t="str">
        <f>IF(F55="","",IF(F55="Moderate",VLOOKUP(D55,'11. Condition and Temporal'!$B$6:$J$101,6,FALSE),IF('6. Hedges &amp; Lines of Trees'!F55="Good",VLOOKUP(D55,'11. Condition and Temporal'!$B$6:$J$101,7,FALSE),VLOOKUP(D55,'11. Condition and Temporal'!$B$6:$J$101,8,FALSE))))</f>
        <v/>
      </c>
      <c r="AF55" s="129" t="str">
        <f>IF(AE55="","",VLOOKUP(AE55,'12. Lists'!$I$47:$K$80,3,FALSE))</f>
        <v/>
      </c>
      <c r="AG55" s="100" t="str">
        <f>IF(D55="","",VLOOKUP(D55,'10. All Habitats + Multipliers'!$C$4:$K$99,7,FALSE))</f>
        <v/>
      </c>
      <c r="AH55" s="101" t="str">
        <f>IF(AG55="","",VLOOKUP(AG55,'12. Lists'!$J$35:$K$38,2,FALSE))</f>
        <v/>
      </c>
    </row>
    <row r="56" spans="1:73" s="27" customFormat="1" ht="15.6">
      <c r="B56" s="106">
        <v>18</v>
      </c>
      <c r="C56" s="82"/>
      <c r="D56" s="78"/>
      <c r="E56" s="127" t="str">
        <f>IF(D56="","",VLOOKUP(D56,'11. Condition and Temporal'!$B$6:$D$101,3,FALSE))</f>
        <v/>
      </c>
      <c r="F56" s="713"/>
      <c r="G56" s="714"/>
      <c r="H56" s="76"/>
      <c r="I56" s="561"/>
      <c r="J56" s="562"/>
      <c r="K56" s="562"/>
      <c r="L56" s="715" t="str">
        <f t="shared" si="9"/>
        <v/>
      </c>
      <c r="M56" s="512"/>
      <c r="N56" s="513"/>
      <c r="O56" s="79"/>
      <c r="P56" s="12"/>
      <c r="R56" s="568"/>
      <c r="U56" s="100" t="str">
        <f>IF(C56="","",VLOOKUP(D56,'10. All Habitats + Multipliers'!$C$4:$K$99,5,FALSE))</f>
        <v/>
      </c>
      <c r="V56" s="101" t="str">
        <f>IF(U56="","",VLOOKUP(U56,'12. Lists'!$B$47:$D$49,2,FALSE))</f>
        <v/>
      </c>
      <c r="W56" s="100" t="str">
        <f t="shared" si="10"/>
        <v/>
      </c>
      <c r="X56" s="101" t="str">
        <f>IF(W56="","",VLOOKUP(W56,'12. Lists'!$F$47:$G$51,2,FALSE))</f>
        <v/>
      </c>
      <c r="Y56" s="100" t="str">
        <f>IF(C56="","",VLOOKUP(D56,'10. All Habitats + Multipliers'!$C$4:$K$99,9,FALSE))</f>
        <v/>
      </c>
      <c r="Z56" s="102" t="str">
        <f>IF(Y56="","",VLOOKUP(Y56,'12. Lists'!$B$36:$D$39,2,FALSE))</f>
        <v/>
      </c>
      <c r="AA56" s="101" t="str">
        <f>IF(Y56="","",VLOOKUP(Y56,'12. Lists'!$B$36:$D$39,3,FALSE))</f>
        <v/>
      </c>
      <c r="AB56" s="100" t="str">
        <f t="shared" si="8"/>
        <v/>
      </c>
      <c r="AC56" s="102" t="str">
        <f>IF(AB56="","",VLOOKUP(AB56,'12. Lists'!$F$36:$H$38,2,FALSE))</f>
        <v/>
      </c>
      <c r="AD56" s="101" t="str">
        <f>IF(AB56="","",VLOOKUP(AB56,'12. Lists'!$F$36:$H$38,3,FALSE))</f>
        <v/>
      </c>
      <c r="AE56" s="100" t="str">
        <f>IF(F56="","",IF(F56="Moderate",VLOOKUP(D56,'11. Condition and Temporal'!$B$6:$J$101,6,FALSE),IF('6. Hedges &amp; Lines of Trees'!F56="Good",VLOOKUP(D56,'11. Condition and Temporal'!$B$6:$J$101,7,FALSE),VLOOKUP(D56,'11. Condition and Temporal'!$B$6:$J$101,8,FALSE))))</f>
        <v/>
      </c>
      <c r="AF56" s="129" t="str">
        <f>IF(AE56="","",VLOOKUP(AE56,'12. Lists'!$I$47:$K$80,3,FALSE))</f>
        <v/>
      </c>
      <c r="AG56" s="100" t="str">
        <f>IF(D56="","",VLOOKUP(D56,'10. All Habitats + Multipliers'!$C$4:$K$99,7,FALSE))</f>
        <v/>
      </c>
      <c r="AH56" s="101" t="str">
        <f>IF(AG56="","",VLOOKUP(AG56,'12. Lists'!$J$35:$K$38,2,FALSE))</f>
        <v/>
      </c>
    </row>
    <row r="57" spans="1:73" s="27" customFormat="1" ht="15.6">
      <c r="B57" s="106">
        <v>19</v>
      </c>
      <c r="C57" s="83"/>
      <c r="D57" s="78"/>
      <c r="E57" s="127" t="str">
        <f>IF(D57="","",VLOOKUP(D57,'11. Condition and Temporal'!$B$6:$D$101,3,FALSE))</f>
        <v/>
      </c>
      <c r="F57" s="713"/>
      <c r="G57" s="714"/>
      <c r="H57" s="76"/>
      <c r="I57" s="561"/>
      <c r="J57" s="562"/>
      <c r="K57" s="562"/>
      <c r="L57" s="715" t="str">
        <f t="shared" si="9"/>
        <v/>
      </c>
      <c r="M57" s="512"/>
      <c r="N57" s="513"/>
      <c r="O57" s="79"/>
      <c r="P57" s="12"/>
      <c r="R57" s="568"/>
      <c r="U57" s="100" t="str">
        <f>IF(C57="","",VLOOKUP(D57,'10. All Habitats + Multipliers'!$C$4:$K$99,5,FALSE))</f>
        <v/>
      </c>
      <c r="V57" s="101" t="str">
        <f>IF(U57="","",VLOOKUP(U57,'12. Lists'!$B$47:$D$49,2,FALSE))</f>
        <v/>
      </c>
      <c r="W57" s="100" t="str">
        <f t="shared" si="10"/>
        <v/>
      </c>
      <c r="X57" s="101" t="str">
        <f>IF(W57="","",VLOOKUP(W57,'12. Lists'!$F$47:$G$51,2,FALSE))</f>
        <v/>
      </c>
      <c r="Y57" s="100" t="str">
        <f>IF(C57="","",VLOOKUP(D57,'10. All Habitats + Multipliers'!$C$4:$K$99,9,FALSE))</f>
        <v/>
      </c>
      <c r="Z57" s="102" t="str">
        <f>IF(Y57="","",VLOOKUP(Y57,'12. Lists'!$B$36:$D$39,2,FALSE))</f>
        <v/>
      </c>
      <c r="AA57" s="101" t="str">
        <f>IF(Y57="","",VLOOKUP(Y57,'12. Lists'!$B$36:$D$39,3,FALSE))</f>
        <v/>
      </c>
      <c r="AB57" s="100" t="str">
        <f t="shared" si="8"/>
        <v/>
      </c>
      <c r="AC57" s="102" t="str">
        <f>IF(AB57="","",VLOOKUP(AB57,'12. Lists'!$F$36:$H$38,2,FALSE))</f>
        <v/>
      </c>
      <c r="AD57" s="101" t="str">
        <f>IF(AB57="","",VLOOKUP(AB57,'12. Lists'!$F$36:$H$38,3,FALSE))</f>
        <v/>
      </c>
      <c r="AE57" s="100" t="str">
        <f>IF(F57="","",IF(F57="Moderate",VLOOKUP(D57,'11. Condition and Temporal'!$B$6:$J$101,6,FALSE),IF('6. Hedges &amp; Lines of Trees'!F57="Good",VLOOKUP(D57,'11. Condition and Temporal'!$B$6:$J$101,7,FALSE),VLOOKUP(D57,'11. Condition and Temporal'!$B$6:$J$101,8,FALSE))))</f>
        <v/>
      </c>
      <c r="AF57" s="129" t="str">
        <f>IF(AE57="","",VLOOKUP(AE57,'12. Lists'!$I$47:$K$80,3,FALSE))</f>
        <v/>
      </c>
      <c r="AG57" s="100" t="str">
        <f>IF(D57="","",VLOOKUP(D57,'10. All Habitats + Multipliers'!$C$4:$K$99,7,FALSE))</f>
        <v/>
      </c>
      <c r="AH57" s="101" t="str">
        <f>IF(AG57="","",VLOOKUP(AG57,'12. Lists'!$J$35:$K$38,2,FALSE))</f>
        <v/>
      </c>
    </row>
    <row r="58" spans="1:73" s="27" customFormat="1" ht="16.149999999999999" thickBot="1">
      <c r="B58" s="108">
        <v>20</v>
      </c>
      <c r="C58" s="176"/>
      <c r="D58" s="177"/>
      <c r="E58" s="178" t="str">
        <f>IF(D58="","",VLOOKUP(D58,'11. Condition and Temporal'!$B$6:$D$101,3,FALSE))</f>
        <v/>
      </c>
      <c r="F58" s="706"/>
      <c r="G58" s="707"/>
      <c r="H58" s="84"/>
      <c r="I58" s="708"/>
      <c r="J58" s="709"/>
      <c r="K58" s="709"/>
      <c r="L58" s="710" t="str">
        <f t="shared" si="9"/>
        <v/>
      </c>
      <c r="M58" s="711"/>
      <c r="N58" s="712"/>
      <c r="O58" s="80"/>
      <c r="P58" s="14"/>
      <c r="R58" s="568"/>
      <c r="U58" s="100" t="str">
        <f>IF(C58="","",VLOOKUP(D58,'10. All Habitats + Multipliers'!$C$4:$K$99,5,FALSE))</f>
        <v/>
      </c>
      <c r="V58" s="101" t="str">
        <f>IF(U58="","",VLOOKUP(U58,'12. Lists'!$B$47:$D$49,2,FALSE))</f>
        <v/>
      </c>
      <c r="W58" s="100" t="str">
        <f t="shared" si="10"/>
        <v/>
      </c>
      <c r="X58" s="101" t="str">
        <f>IF(W58="","",VLOOKUP(W58,'12. Lists'!$F$47:$G$51,2,FALSE))</f>
        <v/>
      </c>
      <c r="Y58" s="100" t="str">
        <f>IF(C58="","",VLOOKUP(D58,'10. All Habitats + Multipliers'!$C$4:$K$99,9,FALSE))</f>
        <v/>
      </c>
      <c r="Z58" s="102" t="str">
        <f>IF(Y58="","",VLOOKUP(Y58,'12. Lists'!$B$36:$D$39,2,FALSE))</f>
        <v/>
      </c>
      <c r="AA58" s="101" t="str">
        <f>IF(Y58="","",VLOOKUP(Y58,'12. Lists'!$B$36:$D$39,3,FALSE))</f>
        <v/>
      </c>
      <c r="AB58" s="100" t="str">
        <f t="shared" si="8"/>
        <v/>
      </c>
      <c r="AC58" s="102" t="str">
        <f>IF(AB58="","",VLOOKUP(AB58,'12. Lists'!$F$36:$H$38,2,FALSE))</f>
        <v/>
      </c>
      <c r="AD58" s="101" t="str">
        <f>IF(AB58="","",VLOOKUP(AB58,'12. Lists'!$F$36:$H$38,3,FALSE))</f>
        <v/>
      </c>
      <c r="AE58" s="100" t="str">
        <f>IF(F58="","",IF(F58="Moderate",VLOOKUP(D58,'11. Condition and Temporal'!$B$6:$J$101,6,FALSE),IF('6. Hedges &amp; Lines of Trees'!F58="Good",VLOOKUP(D58,'11. Condition and Temporal'!$B$6:$J$101,7,FALSE),VLOOKUP(D58,'11. Condition and Temporal'!$B$6:$J$101,8,FALSE))))</f>
        <v/>
      </c>
      <c r="AF58" s="129" t="str">
        <f>IF(AE58="","",VLOOKUP(AE58,'12. Lists'!$I$47:$K$80,3,FALSE))</f>
        <v/>
      </c>
      <c r="AG58" s="100" t="str">
        <f>IF(D58="","",VLOOKUP(D58,'10. All Habitats + Multipliers'!$C$4:$K$99,7,FALSE))</f>
        <v/>
      </c>
      <c r="AH58" s="101" t="str">
        <f>IF(AG58="","",VLOOKUP(AG58,'12. Lists'!$J$35:$K$38,2,FALSE))</f>
        <v/>
      </c>
    </row>
    <row r="59" spans="1:73" s="27" customFormat="1" ht="15" thickBot="1">
      <c r="H59" s="189" t="s">
        <v>262</v>
      </c>
      <c r="I59" s="654">
        <f>SUM(I39:K58)</f>
        <v>41</v>
      </c>
      <c r="J59" s="655"/>
      <c r="K59" s="656"/>
      <c r="L59" s="703">
        <f>SUM(L39:N58)</f>
        <v>0.31565178586632003</v>
      </c>
      <c r="M59" s="704"/>
      <c r="N59" s="525"/>
      <c r="R59" s="568"/>
    </row>
    <row r="60" spans="1:73" s="27" customFormat="1">
      <c r="R60" s="568"/>
    </row>
    <row r="61" spans="1:73" s="27" customFormat="1">
      <c r="R61" s="568"/>
      <c r="BA61" s="53" t="s">
        <v>149</v>
      </c>
    </row>
    <row r="62" spans="1:73" s="27" customFormat="1" ht="21">
      <c r="B62" s="62" t="s">
        <v>150</v>
      </c>
      <c r="D62" s="93"/>
      <c r="H62" s="28"/>
      <c r="R62" s="568"/>
      <c r="BA62" s="53" t="s">
        <v>151</v>
      </c>
    </row>
    <row r="63" spans="1:73" s="27" customFormat="1" ht="15" thickBot="1">
      <c r="A63" s="705"/>
      <c r="R63" s="568"/>
    </row>
    <row r="64" spans="1:73" s="27" customFormat="1" ht="16.149999999999999" customHeight="1" thickBot="1">
      <c r="A64" s="705"/>
      <c r="B64" s="510" t="s">
        <v>152</v>
      </c>
      <c r="C64" s="591" t="s">
        <v>153</v>
      </c>
      <c r="D64" s="592"/>
      <c r="E64" s="578" t="s">
        <v>154</v>
      </c>
      <c r="F64" s="583"/>
      <c r="G64" s="593"/>
      <c r="H64" s="648" t="s">
        <v>155</v>
      </c>
      <c r="I64" s="648" t="s">
        <v>266</v>
      </c>
      <c r="J64" s="650" t="s">
        <v>157</v>
      </c>
      <c r="K64" s="651"/>
      <c r="L64" s="697" t="s">
        <v>158</v>
      </c>
      <c r="M64" s="604" t="s">
        <v>159</v>
      </c>
      <c r="N64" s="592"/>
      <c r="O64" s="646" t="s">
        <v>85</v>
      </c>
      <c r="P64" s="647"/>
      <c r="R64" s="568"/>
      <c r="U64" s="678" t="s">
        <v>160</v>
      </c>
      <c r="V64" s="674"/>
      <c r="W64" s="674"/>
      <c r="X64" s="674"/>
      <c r="Y64" s="674"/>
      <c r="Z64" s="674"/>
      <c r="AA64" s="674"/>
      <c r="AB64" s="674"/>
      <c r="AC64" s="674"/>
      <c r="AD64" s="674"/>
      <c r="AE64" s="675"/>
      <c r="AF64" s="648" t="s">
        <v>161</v>
      </c>
      <c r="AG64" s="678" t="s">
        <v>162</v>
      </c>
      <c r="AH64" s="674"/>
      <c r="AI64" s="674"/>
      <c r="AJ64" s="674"/>
      <c r="AK64" s="674"/>
      <c r="AL64" s="674"/>
      <c r="AM64" s="674"/>
      <c r="AN64" s="674"/>
      <c r="AO64" s="674"/>
      <c r="AP64" s="674"/>
      <c r="AQ64" s="674"/>
      <c r="AR64" s="674"/>
      <c r="AS64" s="674"/>
      <c r="AT64" s="674"/>
      <c r="AU64" s="674"/>
      <c r="AV64" s="679"/>
      <c r="AW64" s="680"/>
      <c r="BA64" s="204" t="s">
        <v>163</v>
      </c>
      <c r="BB64" s="297">
        <f>COUNTIF(BB66:BB85,"?*")</f>
        <v>0</v>
      </c>
      <c r="BC64" s="297">
        <f t="shared" ref="BC64:BU64" si="11">COUNTIF(BC66:BC85,"?*")</f>
        <v>0</v>
      </c>
      <c r="BD64" s="297">
        <f t="shared" si="11"/>
        <v>0</v>
      </c>
      <c r="BE64" s="297">
        <f t="shared" si="11"/>
        <v>0</v>
      </c>
      <c r="BF64" s="297">
        <f t="shared" si="11"/>
        <v>0</v>
      </c>
      <c r="BG64" s="297">
        <f t="shared" si="11"/>
        <v>0</v>
      </c>
      <c r="BH64" s="297">
        <f t="shared" si="11"/>
        <v>0</v>
      </c>
      <c r="BI64" s="297">
        <f t="shared" si="11"/>
        <v>0</v>
      </c>
      <c r="BJ64" s="297">
        <f t="shared" si="11"/>
        <v>0</v>
      </c>
      <c r="BK64" s="297">
        <f t="shared" si="11"/>
        <v>0</v>
      </c>
      <c r="BL64" s="297">
        <f t="shared" si="11"/>
        <v>0</v>
      </c>
      <c r="BM64" s="297">
        <f t="shared" si="11"/>
        <v>0</v>
      </c>
      <c r="BN64" s="297">
        <f t="shared" si="11"/>
        <v>0</v>
      </c>
      <c r="BO64" s="297">
        <f t="shared" si="11"/>
        <v>0</v>
      </c>
      <c r="BP64" s="297">
        <f t="shared" si="11"/>
        <v>0</v>
      </c>
      <c r="BQ64" s="297">
        <f t="shared" si="11"/>
        <v>0</v>
      </c>
      <c r="BR64" s="297">
        <f t="shared" si="11"/>
        <v>0</v>
      </c>
      <c r="BS64" s="297">
        <f t="shared" si="11"/>
        <v>0</v>
      </c>
      <c r="BT64" s="297">
        <f t="shared" si="11"/>
        <v>0</v>
      </c>
      <c r="BU64" s="297">
        <f t="shared" si="11"/>
        <v>0</v>
      </c>
    </row>
    <row r="65" spans="1:76" s="27" customFormat="1" ht="43.9" thickBot="1">
      <c r="A65" s="705"/>
      <c r="B65" s="511"/>
      <c r="C65" s="336" t="s">
        <v>164</v>
      </c>
      <c r="D65" s="95" t="s">
        <v>165</v>
      </c>
      <c r="E65" s="91" t="s">
        <v>166</v>
      </c>
      <c r="F65" s="522" t="s">
        <v>167</v>
      </c>
      <c r="G65" s="546"/>
      <c r="H65" s="649"/>
      <c r="I65" s="649"/>
      <c r="J65" s="652"/>
      <c r="K65" s="653"/>
      <c r="L65" s="698"/>
      <c r="M65" s="671"/>
      <c r="N65" s="672"/>
      <c r="O65" s="314" t="s">
        <v>101</v>
      </c>
      <c r="P65" s="95" t="s">
        <v>102</v>
      </c>
      <c r="R65" s="568"/>
      <c r="U65" s="285" t="s">
        <v>168</v>
      </c>
      <c r="V65" s="139" t="s">
        <v>169</v>
      </c>
      <c r="W65" s="140" t="s">
        <v>170</v>
      </c>
      <c r="X65" s="139" t="s">
        <v>171</v>
      </c>
      <c r="Y65" s="140" t="s">
        <v>172</v>
      </c>
      <c r="Z65" s="139" t="s">
        <v>173</v>
      </c>
      <c r="AA65" s="141" t="s">
        <v>174</v>
      </c>
      <c r="AB65" s="140" t="s">
        <v>175</v>
      </c>
      <c r="AC65" s="139" t="s">
        <v>176</v>
      </c>
      <c r="AD65" s="141" t="s">
        <v>177</v>
      </c>
      <c r="AE65" s="140" t="s">
        <v>178</v>
      </c>
      <c r="AF65" s="677"/>
      <c r="AG65" s="138" t="s">
        <v>168</v>
      </c>
      <c r="AH65" s="139" t="s">
        <v>103</v>
      </c>
      <c r="AI65" s="140" t="s">
        <v>104</v>
      </c>
      <c r="AJ65" s="139" t="s">
        <v>105</v>
      </c>
      <c r="AK65" s="140" t="s">
        <v>104</v>
      </c>
      <c r="AL65" s="139" t="s">
        <v>179</v>
      </c>
      <c r="AM65" s="141" t="s">
        <v>106</v>
      </c>
      <c r="AN65" s="140" t="s">
        <v>107</v>
      </c>
      <c r="AO65" s="139" t="s">
        <v>89</v>
      </c>
      <c r="AP65" s="141" t="s">
        <v>89</v>
      </c>
      <c r="AQ65" s="140" t="s">
        <v>108</v>
      </c>
      <c r="AR65" s="139" t="s">
        <v>180</v>
      </c>
      <c r="AS65" s="140" t="s">
        <v>181</v>
      </c>
      <c r="AT65" s="139" t="s">
        <v>182</v>
      </c>
      <c r="AU65" s="140" t="s">
        <v>183</v>
      </c>
      <c r="AV65" s="142" t="s">
        <v>184</v>
      </c>
      <c r="AW65" s="260" t="s">
        <v>185</v>
      </c>
      <c r="AX65" s="293" t="s">
        <v>186</v>
      </c>
      <c r="AY65" s="294" t="s">
        <v>187</v>
      </c>
      <c r="BA65" s="88" t="s">
        <v>188</v>
      </c>
      <c r="BB65" s="266">
        <v>1</v>
      </c>
      <c r="BC65" s="266">
        <v>2</v>
      </c>
      <c r="BD65" s="266">
        <v>3</v>
      </c>
      <c r="BE65" s="266">
        <v>4</v>
      </c>
      <c r="BF65" s="266">
        <v>5</v>
      </c>
      <c r="BG65" s="266">
        <v>6</v>
      </c>
      <c r="BH65" s="266">
        <v>7</v>
      </c>
      <c r="BI65" s="266">
        <v>8</v>
      </c>
      <c r="BJ65" s="266">
        <v>9</v>
      </c>
      <c r="BK65" s="266">
        <v>10</v>
      </c>
      <c r="BL65" s="266">
        <v>11</v>
      </c>
      <c r="BM65" s="266">
        <v>12</v>
      </c>
      <c r="BN65" s="266">
        <v>13</v>
      </c>
      <c r="BO65" s="266">
        <v>14</v>
      </c>
      <c r="BP65" s="266">
        <v>15</v>
      </c>
      <c r="BQ65" s="266">
        <v>16</v>
      </c>
      <c r="BR65" s="266">
        <v>17</v>
      </c>
      <c r="BS65" s="266">
        <v>18</v>
      </c>
      <c r="BT65" s="266">
        <v>19</v>
      </c>
      <c r="BU65" s="266">
        <v>20</v>
      </c>
      <c r="BV65" s="295" t="s">
        <v>189</v>
      </c>
      <c r="BW65" s="266" t="s">
        <v>190</v>
      </c>
      <c r="BX65" s="266" t="s">
        <v>191</v>
      </c>
    </row>
    <row r="66" spans="1:76" s="27" customFormat="1" ht="15.6">
      <c r="B66" s="98">
        <v>1</v>
      </c>
      <c r="C66" s="330" t="str">
        <f t="shared" ref="C66:C85" si="12">IF(D66="","",C11)</f>
        <v/>
      </c>
      <c r="D66" s="331" t="str">
        <f t="shared" ref="D66:D85" si="13">IF(K11="","",D11)</f>
        <v/>
      </c>
      <c r="E66" s="332" t="str">
        <f>IF(AY66="","",AY66)</f>
        <v/>
      </c>
      <c r="F66" s="544"/>
      <c r="G66" s="545"/>
      <c r="H66" s="333" t="str">
        <f>IF(D66="","",AC66)</f>
        <v/>
      </c>
      <c r="I66" s="334" t="str">
        <f t="shared" ref="I66:I85" si="14">IF(K11="","",K11)</f>
        <v/>
      </c>
      <c r="J66" s="542" t="str">
        <f>IF(F66="","",VLOOKUP(F66,'11. Condition and Temporal'!$B$6:$F$101,5,FALSE))</f>
        <v/>
      </c>
      <c r="K66" s="543"/>
      <c r="L66" s="192" t="str">
        <f>IFERROR(IF(D66="","",IF(AY66="Distinctivness",((((I66*AI66*AK66)-(I66*W66*Y66))*(AW66*AU66))+(I66*W66*Y66))*(AN66*AQ66),((((I66*AI66*AK66)-(I66*W66*Y66))*(AW66*AS66))+(I66*W66*Y66))*(AN66*AQ66))/1000),"Value missing")</f>
        <v/>
      </c>
      <c r="M66" s="553" t="str">
        <f>IF(F66="","",L66-AE66)</f>
        <v/>
      </c>
      <c r="N66" s="699"/>
      <c r="O66" s="335"/>
      <c r="P66" s="1"/>
      <c r="R66" s="568"/>
      <c r="U66" s="286" t="str">
        <f>IF(D66="","",K11)</f>
        <v/>
      </c>
      <c r="V66" s="145" t="str">
        <f t="shared" ref="V66:AC66" si="15">IF($D66="","",U11)</f>
        <v/>
      </c>
      <c r="W66" s="146" t="str">
        <f t="shared" si="15"/>
        <v/>
      </c>
      <c r="X66" s="145" t="str">
        <f t="shared" si="15"/>
        <v/>
      </c>
      <c r="Y66" s="146" t="str">
        <f t="shared" si="15"/>
        <v/>
      </c>
      <c r="Z66" s="145" t="str">
        <f t="shared" si="15"/>
        <v/>
      </c>
      <c r="AA66" s="147" t="str">
        <f t="shared" si="15"/>
        <v/>
      </c>
      <c r="AB66" s="146" t="str">
        <f t="shared" si="15"/>
        <v/>
      </c>
      <c r="AC66" s="145" t="str">
        <f t="shared" si="15"/>
        <v/>
      </c>
      <c r="AD66" s="147" t="str">
        <f>IF($D66="","",AD11)</f>
        <v/>
      </c>
      <c r="AE66" s="146" t="str">
        <f>IF(AD66="","",(U66*W66*Y66)*(AB66*AD66)/1000)</f>
        <v/>
      </c>
      <c r="AF66" s="288" t="str">
        <f>IF(AE66="","",IF(AI66&lt;W66,"Not Acceptable","Acceptable"))</f>
        <v/>
      </c>
      <c r="AG66" s="144" t="str">
        <f>IF(D66="","",I66)</f>
        <v/>
      </c>
      <c r="AH66" s="145" t="str">
        <f>IF(D66="","",VLOOKUP(F66,'10. All Habitats + Multipliers'!$C$4:$K$99,5,FALSE))</f>
        <v/>
      </c>
      <c r="AI66" s="146" t="str">
        <f>IF(AH66="","",VLOOKUP(AH66,'12. Lists'!$B$47:$D$50,2,FALSE))</f>
        <v/>
      </c>
      <c r="AJ66" s="145" t="str">
        <f>IF(D66="","",J66)</f>
        <v/>
      </c>
      <c r="AK66" s="146" t="str">
        <f>IF(AJ66="","",VLOOKUP(AJ66,'12. Lists'!$F$47:$G$51,2,FALSE))</f>
        <v/>
      </c>
      <c r="AL66" s="145" t="str">
        <f>IF(D66="","",VLOOKUP(F66,'10. All Habitats + Multipliers'!$C$4:$K$99,9,FALSE))</f>
        <v/>
      </c>
      <c r="AM66" s="147" t="str">
        <f>IF(AL66="","",VLOOKUP(AL66,'12. Lists'!$B$36:$D$39,2,FALSE))</f>
        <v/>
      </c>
      <c r="AN66" s="146" t="str">
        <f>IF(AL66="","",VLOOKUP(AL66,'12. Lists'!$B$36:$D$39,3,FALSE))</f>
        <v/>
      </c>
      <c r="AO66" s="145" t="str">
        <f t="shared" ref="AO66" si="16">IF(H66="","",H66)</f>
        <v/>
      </c>
      <c r="AP66" s="147" t="str">
        <f>IF(AO66="","",VLOOKUP(AO66,'12. Lists'!$F$36:$H$38,2,FALSE))</f>
        <v/>
      </c>
      <c r="AQ66" s="146" t="str">
        <f>IF(AO66="","",VLOOKUP(AO66,'12. Lists'!$F$36:$H$38,3,FALSE))</f>
        <v/>
      </c>
      <c r="AR66" s="145" t="str">
        <f>IF(D66="","",VLOOKUP(F66,'11. Condition and Temporal'!$B$6:$J$101,9,FALSE))</f>
        <v/>
      </c>
      <c r="AS66" s="149" t="str">
        <f>IF(AR66="","",VLOOKUP(AR66,'12. Lists'!$I$47:$K$80,3,FALSE))</f>
        <v/>
      </c>
      <c r="AT66" s="175" t="str">
        <f>IF(D66="","",VLOOKUP(F66,'11. Condition and Temporal'!$B$6:$K$104,10,FALSE))</f>
        <v/>
      </c>
      <c r="AU66" s="149" t="str">
        <f>IF(AT66="","",VLOOKUP(AT66,'12. Lists'!$I$47:$K$80,3,FALSE))</f>
        <v/>
      </c>
      <c r="AV66" s="148" t="str">
        <f>IF(D66="","",VLOOKUP(F66,'10. All Habitats + Multipliers'!$C$4:$K$99,8,FALSE))</f>
        <v/>
      </c>
      <c r="AW66" s="146" t="str">
        <f>IF(AV66="","",VLOOKUP(AV66,'12. Lists'!$J$35:$K$38,2,FALSE))</f>
        <v/>
      </c>
      <c r="AX66" s="145" t="str">
        <f>IF(D66="","",VLOOKUP(D66,'11. Condition and Temporal'!$B$6:$K$101,4,FALSE))</f>
        <v/>
      </c>
      <c r="AY66" s="146" t="str">
        <f>IF(F66="","",IF(D66=F66,"Condition","Distinctivness"))</f>
        <v/>
      </c>
      <c r="AZ66" s="327"/>
      <c r="BA66" s="100">
        <v>1</v>
      </c>
      <c r="BB66" s="102" t="str">
        <f>TRIM(MID(SUBSTITUTE($AX$66,$BA$62,REPT(" ",LEN($AX$66))),($BA66-1)*LEN($AX$66)+1,LEN($AX$66)))</f>
        <v/>
      </c>
      <c r="BC66" s="102" t="str">
        <f>TRIM(MID(SUBSTITUTE($AX$67,$BA$62,REPT(" ",LEN($AX$67))),($BA66-1)*LEN($AX$67)+1,LEN($AX$67)))</f>
        <v/>
      </c>
      <c r="BD66" s="102" t="str">
        <f>TRIM(MID(SUBSTITUTE($AX$68,$BA$62,REPT(" ",LEN($AX$68))),($BA66-1)*LEN($AX$68)+1,LEN($AX$68)))</f>
        <v/>
      </c>
      <c r="BE66" s="102" t="str">
        <f>TRIM(MID(SUBSTITUTE($AX$69,$BA$62,REPT(" ",LEN($AX$69))),($BA66-1)*LEN($AX$69)+1,LEN($AX$69)))</f>
        <v/>
      </c>
      <c r="BF66" s="102" t="str">
        <f>TRIM(MID(SUBSTITUTE($AX$70,$BA$62,REPT(" ",LEN($AX$70))),($BA66-1)*LEN($AX$70)+1,LEN($AX$70)))</f>
        <v/>
      </c>
      <c r="BG66" s="102" t="str">
        <f>TRIM(MID(SUBSTITUTE($AX$71,$BA$62,REPT(" ",LEN($AX$71))),($BA66-1)*LEN($AX$71)+1,LEN($AX$71)))</f>
        <v/>
      </c>
      <c r="BH66" s="102" t="str">
        <f>TRIM(MID(SUBSTITUTE($AX$72,$BA$62,REPT(" ",LEN($AX$72))),($BA66-1)*LEN($AX$72)+1,LEN($AX$72)))</f>
        <v/>
      </c>
      <c r="BI66" s="102" t="str">
        <f>TRIM(MID(SUBSTITUTE($AX$73,$BA$62,REPT(" ",LEN($AX$73))),($BA66-1)*LEN($AX$73)+1,LEN($AX$73)))</f>
        <v/>
      </c>
      <c r="BJ66" s="102" t="str">
        <f>TRIM(MID(SUBSTITUTE($AX$74,$BA$62,REPT(" ",LEN($AX$74))),($BA66-1)*LEN($AX$74)+1,LEN($AX$74)))</f>
        <v/>
      </c>
      <c r="BK66" s="102" t="str">
        <f>TRIM(MID(SUBSTITUTE($AX$75,$BA$62,REPT(" ",LEN($AX$75))),($BA66-1)*LEN($AX$75)+1,LEN($AX$75)))</f>
        <v/>
      </c>
      <c r="BL66" s="102" t="str">
        <f>TRIM(MID(SUBSTITUTE($AX$76,$BA$62,REPT(" ",LEN($AX$76))),($BA66-1)*LEN($AX$76)+1,LEN($AX$76)))</f>
        <v/>
      </c>
      <c r="BM66" s="102" t="str">
        <f>TRIM(MID(SUBSTITUTE($AX$77,$BA$62,REPT(" ",LEN($AX$77))),($BA66-1)*LEN($AX$77)+1,LEN($AX$77)))</f>
        <v/>
      </c>
      <c r="BN66" s="102" t="str">
        <f>TRIM(MID(SUBSTITUTE($AX$78,$BA$62,REPT(" ",LEN($AX$78))),($BA66-1)*LEN($AX$78)+1,LEN($AX$78)))</f>
        <v/>
      </c>
      <c r="BO66" s="102" t="str">
        <f>TRIM(MID(SUBSTITUTE($AX$79,$BA$62,REPT(" ",LEN($AX$79))),($BA66-1)*LEN($AX$79)+1,LEN($AX$79)))</f>
        <v/>
      </c>
      <c r="BP66" s="102" t="str">
        <f>TRIM(MID(SUBSTITUTE($AX$80,$BA$62,REPT(" ",LEN($AX$80))),($BA66-1)*LEN($AX$80)+1,LEN($AX$80)))</f>
        <v/>
      </c>
      <c r="BQ66" s="102" t="str">
        <f>TRIM(MID(SUBSTITUTE($AX$81,$BA$62,REPT(" ",LEN($AX$81))),($BA66-1)*LEN($AX$81)+1,LEN($AX$81)))</f>
        <v/>
      </c>
      <c r="BR66" s="102" t="str">
        <f>TRIM(MID(SUBSTITUTE($AX$82,$BA$62,REPT(" ",LEN($AX$82))),($BA66-1)*LEN($AX$82)+1,LEN($AX$82)))</f>
        <v/>
      </c>
      <c r="BS66" s="102" t="str">
        <f>TRIM(MID(SUBSTITUTE($AX$83,$BA$62,REPT(" ",LEN($AX$83))),($BA66-1)*LEN($AX$83)+1,LEN($AX$83)))</f>
        <v/>
      </c>
      <c r="BT66" s="102" t="str">
        <f>TRIM(MID(SUBSTITUTE($AX$84,$BA$62,REPT(" ",LEN($AX$84))),($BA66-1)*LEN($AX$84)+1,LEN($AX$84)))</f>
        <v/>
      </c>
      <c r="BU66" s="101" t="str">
        <f>TRIM(MID(SUBSTITUTE($AX$85,$BA$62,REPT(" ",LEN($AX$85))),($BA66-1)*LEN($AX$85)+1,LEN($AX$85)))</f>
        <v/>
      </c>
      <c r="BV66" s="296" t="str">
        <f>IF(BX66=0,"",CONCATENATE(BW66,"66:",BW66,BX66+65))</f>
        <v/>
      </c>
      <c r="BW66" s="102" t="s">
        <v>192</v>
      </c>
      <c r="BX66" s="102">
        <f>BB64</f>
        <v>0</v>
      </c>
    </row>
    <row r="67" spans="1:76" s="27" customFormat="1" ht="15.6">
      <c r="B67" s="106">
        <v>2</v>
      </c>
      <c r="C67" s="150" t="str">
        <f t="shared" si="12"/>
        <v/>
      </c>
      <c r="D67" s="151" t="str">
        <f t="shared" si="13"/>
        <v/>
      </c>
      <c r="E67" s="259" t="str">
        <f t="shared" ref="E67:E85" si="17">IF(AY67="","",AY67)</f>
        <v/>
      </c>
      <c r="F67" s="534"/>
      <c r="G67" s="535"/>
      <c r="H67" s="241" t="str">
        <f t="shared" ref="H67:H85" si="18">IF(D67="","",AC67)</f>
        <v/>
      </c>
      <c r="I67" s="227" t="str">
        <f t="shared" si="14"/>
        <v/>
      </c>
      <c r="J67" s="520" t="str">
        <f>IF(F67="","",VLOOKUP(F67,'11. Condition and Temporal'!$B$6:$F$101,5,FALSE))</f>
        <v/>
      </c>
      <c r="K67" s="521"/>
      <c r="L67" s="192" t="str">
        <f t="shared" ref="L67:L85" si="19">IFERROR(IF(D67="","",IF(AY67="Distinctivness",((((I67*AI67*AK67)-(I67*W67*Y67))*(AW67*AU67))+(I67*W67*Y67))*(AN67*AQ67),((((I67*AI67*AK67)-(I67*W67*Y67))*(AW67*AS67))+(I67*W67*Y67))*(AN67*AQ67))/1000),"Value missing")</f>
        <v/>
      </c>
      <c r="M67" s="553" t="str">
        <f t="shared" ref="M67:M85" si="20">IF(F67="","",L67-AE67)</f>
        <v/>
      </c>
      <c r="N67" s="699"/>
      <c r="O67" s="79"/>
      <c r="P67" s="12"/>
      <c r="R67" s="568"/>
      <c r="U67" s="286" t="str">
        <f t="shared" ref="U67:U85" si="21">IF(D67="","",K12)</f>
        <v/>
      </c>
      <c r="V67" s="145" t="str">
        <f t="shared" ref="V67:AC67" si="22">IF($D67="","",U12)</f>
        <v/>
      </c>
      <c r="W67" s="146" t="str">
        <f t="shared" si="22"/>
        <v/>
      </c>
      <c r="X67" s="145" t="str">
        <f t="shared" si="22"/>
        <v/>
      </c>
      <c r="Y67" s="146" t="str">
        <f t="shared" si="22"/>
        <v/>
      </c>
      <c r="Z67" s="145" t="str">
        <f t="shared" si="22"/>
        <v/>
      </c>
      <c r="AA67" s="147" t="str">
        <f t="shared" si="22"/>
        <v/>
      </c>
      <c r="AB67" s="146" t="str">
        <f t="shared" si="22"/>
        <v/>
      </c>
      <c r="AC67" s="145" t="str">
        <f t="shared" si="22"/>
        <v/>
      </c>
      <c r="AD67" s="147" t="str">
        <f t="shared" ref="AD67:AD85" si="23">IF($D67="","",AD12)</f>
        <v/>
      </c>
      <c r="AE67" s="146" t="str">
        <f t="shared" ref="AE67:AE85" si="24">IF(AD67="","",(U67*W67*Y67)*(AB67*AD67)/1000)</f>
        <v/>
      </c>
      <c r="AF67" s="288" t="str">
        <f t="shared" ref="AF67:AF85" si="25">IF(AE67="","",IF(AI67&lt;W67,"Not Acceptable","Acceptable"))</f>
        <v/>
      </c>
      <c r="AG67" s="144" t="str">
        <f t="shared" ref="AG67:AG85" si="26">IF(D67="","",I67)</f>
        <v/>
      </c>
      <c r="AH67" s="145" t="str">
        <f>IF(D67="","",VLOOKUP(F67,'10. All Habitats + Multipliers'!$C$4:$K$99,5,FALSE))</f>
        <v/>
      </c>
      <c r="AI67" s="146" t="str">
        <f>IF(AH67="","",VLOOKUP(AH67,'12. Lists'!$B$47:$D$50,2,FALSE))</f>
        <v/>
      </c>
      <c r="AJ67" s="145" t="str">
        <f t="shared" ref="AJ67:AJ85" si="27">IF(D67="","",J67)</f>
        <v/>
      </c>
      <c r="AK67" s="146" t="str">
        <f>IF(AJ67="","",VLOOKUP(AJ67,'12. Lists'!$F$47:$G$51,2,FALSE))</f>
        <v/>
      </c>
      <c r="AL67" s="145" t="str">
        <f>IF(D67="","",VLOOKUP(F67,'10. All Habitats + Multipliers'!$C$4:$K$99,9,FALSE))</f>
        <v/>
      </c>
      <c r="AM67" s="147" t="str">
        <f>IF(AL67="","",VLOOKUP(AL67,'12. Lists'!$B$36:$D$39,2,FALSE))</f>
        <v/>
      </c>
      <c r="AN67" s="146" t="str">
        <f>IF(AL67="","",VLOOKUP(AL67,'12. Lists'!$B$36:$D$39,3,FALSE))</f>
        <v/>
      </c>
      <c r="AO67" s="145" t="str">
        <f t="shared" ref="AO67:AO85" si="28">IF(H67="","",H67)</f>
        <v/>
      </c>
      <c r="AP67" s="147" t="str">
        <f>IF(AO67="","",VLOOKUP(AO67,'12. Lists'!$F$36:$H$38,2,FALSE))</f>
        <v/>
      </c>
      <c r="AQ67" s="146" t="str">
        <f>IF(AO67="","",VLOOKUP(AO67,'12. Lists'!$F$36:$H$38,3,FALSE))</f>
        <v/>
      </c>
      <c r="AR67" s="145" t="str">
        <f>IF(D67="","",VLOOKUP(F67,'11. Condition and Temporal'!$B$6:$J$101,9,FALSE))</f>
        <v/>
      </c>
      <c r="AS67" s="149" t="str">
        <f>IF(AR67="","",VLOOKUP(AR67,'12. Lists'!$I$47:$K$80,3,FALSE))</f>
        <v/>
      </c>
      <c r="AT67" s="175" t="str">
        <f>IF(D67="","",VLOOKUP(F67,'11. Condition and Temporal'!$B$6:$K$104,10,FALSE))</f>
        <v/>
      </c>
      <c r="AU67" s="149" t="str">
        <f>IF(AT67="","",VLOOKUP(AT67,'12. Lists'!$I$47:$K$80,3,FALSE))</f>
        <v/>
      </c>
      <c r="AV67" s="148" t="str">
        <f>IF(D67="","",VLOOKUP(F67,'10. All Habitats + Multipliers'!$C$4:$K$99,8,FALSE))</f>
        <v/>
      </c>
      <c r="AW67" s="146" t="str">
        <f>IF(AV67="","",VLOOKUP(AV67,'12. Lists'!$J$35:$K$38,2,FALSE))</f>
        <v/>
      </c>
      <c r="AX67" s="145" t="str">
        <f>IF(D67="","",VLOOKUP(D67,'11. Condition and Temporal'!$B$6:$K$101,4,FALSE))</f>
        <v/>
      </c>
      <c r="AY67" s="146" t="str">
        <f t="shared" ref="AY67:AY85" si="29">IF(F67="","",IF(D67=F67,"Condition","Distinctivness"))</f>
        <v/>
      </c>
      <c r="AZ67" s="327"/>
      <c r="BA67" s="100">
        <v>2</v>
      </c>
      <c r="BB67" s="102" t="str">
        <f t="shared" ref="BB67:BB85" si="30">TRIM(MID(SUBSTITUTE($AX$66,$BA$62,REPT(" ",LEN($AX$66))),($BA67-1)*LEN($AX$66)+1,LEN($AX$66)))</f>
        <v/>
      </c>
      <c r="BC67" s="102" t="str">
        <f t="shared" ref="BC67:BC85" si="31">TRIM(MID(SUBSTITUTE($AX$67,$BA$62,REPT(" ",LEN($AX$67))),($BA67-1)*LEN($AX$67)+1,LEN($AX$67)))</f>
        <v/>
      </c>
      <c r="BD67" s="102" t="str">
        <f t="shared" ref="BD67:BD85" si="32">TRIM(MID(SUBSTITUTE($AX$68,$BA$62,REPT(" ",LEN($AX$68))),($BA67-1)*LEN($AX$68)+1,LEN($AX$68)))</f>
        <v/>
      </c>
      <c r="BE67" s="102" t="str">
        <f t="shared" ref="BE67:BE85" si="33">TRIM(MID(SUBSTITUTE($AX$69,$BA$62,REPT(" ",LEN($AX$69))),($BA67-1)*LEN($AX$69)+1,LEN($AX$69)))</f>
        <v/>
      </c>
      <c r="BF67" s="102" t="str">
        <f t="shared" ref="BF67:BF85" si="34">TRIM(MID(SUBSTITUTE($AX$70,$BA$62,REPT(" ",LEN($AX$70))),($BA67-1)*LEN($AX$70)+1,LEN($AX$70)))</f>
        <v/>
      </c>
      <c r="BG67" s="102" t="str">
        <f t="shared" ref="BG67:BG85" si="35">TRIM(MID(SUBSTITUTE($AX$71,$BA$62,REPT(" ",LEN($AX$71))),($BA67-1)*LEN($AX$71)+1,LEN($AX$71)))</f>
        <v/>
      </c>
      <c r="BH67" s="102" t="str">
        <f t="shared" ref="BH67:BH85" si="36">TRIM(MID(SUBSTITUTE($AX$72,$BA$62,REPT(" ",LEN($AX$72))),($BA67-1)*LEN($AX$72)+1,LEN($AX$72)))</f>
        <v/>
      </c>
      <c r="BI67" s="102" t="str">
        <f t="shared" ref="BI67:BI85" si="37">TRIM(MID(SUBSTITUTE($AX$73,$BA$62,REPT(" ",LEN($AX$73))),($BA67-1)*LEN($AX$73)+1,LEN($AX$73)))</f>
        <v/>
      </c>
      <c r="BJ67" s="102" t="str">
        <f t="shared" ref="BJ67:BJ85" si="38">TRIM(MID(SUBSTITUTE($AX$74,$BA$62,REPT(" ",LEN($AX$74))),($BA67-1)*LEN($AX$74)+1,LEN($AX$74)))</f>
        <v/>
      </c>
      <c r="BK67" s="102" t="str">
        <f t="shared" ref="BK67:BK85" si="39">TRIM(MID(SUBSTITUTE($AX$75,$BA$62,REPT(" ",LEN($AX$75))),($BA67-1)*LEN($AX$75)+1,LEN($AX$75)))</f>
        <v/>
      </c>
      <c r="BL67" s="102" t="str">
        <f t="shared" ref="BL67:BL85" si="40">TRIM(MID(SUBSTITUTE($AX$76,$BA$62,REPT(" ",LEN($AX$76))),($BA67-1)*LEN($AX$76)+1,LEN($AX$76)))</f>
        <v/>
      </c>
      <c r="BM67" s="102" t="str">
        <f t="shared" ref="BM67:BM85" si="41">TRIM(MID(SUBSTITUTE($AX$77,$BA$62,REPT(" ",LEN($AX$77))),($BA67-1)*LEN($AX$77)+1,LEN($AX$77)))</f>
        <v/>
      </c>
      <c r="BN67" s="102" t="str">
        <f t="shared" ref="BN67:BN85" si="42">TRIM(MID(SUBSTITUTE($AX$78,$BA$62,REPT(" ",LEN($AX$78))),($BA67-1)*LEN($AX$78)+1,LEN($AX$78)))</f>
        <v/>
      </c>
      <c r="BO67" s="102" t="str">
        <f t="shared" ref="BO67:BO85" si="43">TRIM(MID(SUBSTITUTE($AX$79,$BA$62,REPT(" ",LEN($AX$79))),($BA67-1)*LEN($AX$79)+1,LEN($AX$79)))</f>
        <v/>
      </c>
      <c r="BP67" s="102" t="str">
        <f t="shared" ref="BP67:BP85" si="44">TRIM(MID(SUBSTITUTE($AX$80,$BA$62,REPT(" ",LEN($AX$80))),($BA67-1)*LEN($AX$80)+1,LEN($AX$80)))</f>
        <v/>
      </c>
      <c r="BQ67" s="102" t="str">
        <f t="shared" ref="BQ67:BQ85" si="45">TRIM(MID(SUBSTITUTE($AX$81,$BA$62,REPT(" ",LEN($AX$81))),($BA67-1)*LEN($AX$81)+1,LEN($AX$81)))</f>
        <v/>
      </c>
      <c r="BR67" s="102" t="str">
        <f t="shared" ref="BR67:BR85" si="46">TRIM(MID(SUBSTITUTE($AX$82,$BA$62,REPT(" ",LEN($AX$82))),($BA67-1)*LEN($AX$82)+1,LEN($AX$82)))</f>
        <v/>
      </c>
      <c r="BS67" s="102" t="str">
        <f t="shared" ref="BS67:BS85" si="47">TRIM(MID(SUBSTITUTE($AX$83,$BA$62,REPT(" ",LEN($AX$83))),($BA67-1)*LEN($AX$83)+1,LEN($AX$83)))</f>
        <v/>
      </c>
      <c r="BT67" s="102" t="str">
        <f t="shared" ref="BT67:BT85" si="48">TRIM(MID(SUBSTITUTE($AX$84,$BA$62,REPT(" ",LEN($AX$84))),($BA67-1)*LEN($AX$84)+1,LEN($AX$84)))</f>
        <v/>
      </c>
      <c r="BU67" s="101" t="str">
        <f t="shared" ref="BU67:BU85" si="49">TRIM(MID(SUBSTITUTE($AX$85,$BA$62,REPT(" ",LEN($AX$85))),($BA67-1)*LEN($AX$85)+1,LEN($AX$85)))</f>
        <v/>
      </c>
      <c r="BV67" s="296" t="str">
        <f t="shared" ref="BV67:BV85" si="50">IF(BX67=0,"",CONCATENATE(BW67,"66:",BW67,BX67+65))</f>
        <v/>
      </c>
      <c r="BW67" s="102" t="s">
        <v>193</v>
      </c>
      <c r="BX67" s="102">
        <f>BC64</f>
        <v>0</v>
      </c>
    </row>
    <row r="68" spans="1:76" s="27" customFormat="1" ht="15.6" customHeight="1">
      <c r="B68" s="106">
        <v>3</v>
      </c>
      <c r="C68" s="150" t="str">
        <f t="shared" si="12"/>
        <v/>
      </c>
      <c r="D68" s="151" t="str">
        <f t="shared" si="13"/>
        <v/>
      </c>
      <c r="E68" s="259" t="str">
        <f t="shared" si="17"/>
        <v/>
      </c>
      <c r="F68" s="534"/>
      <c r="G68" s="535"/>
      <c r="H68" s="241" t="str">
        <f t="shared" si="18"/>
        <v/>
      </c>
      <c r="I68" s="227" t="str">
        <f t="shared" si="14"/>
        <v/>
      </c>
      <c r="J68" s="520" t="str">
        <f>IF(F68="","",VLOOKUP(F68,'11. Condition and Temporal'!$B$6:$F$101,5,FALSE))</f>
        <v/>
      </c>
      <c r="K68" s="521"/>
      <c r="L68" s="192" t="str">
        <f t="shared" si="19"/>
        <v/>
      </c>
      <c r="M68" s="553" t="str">
        <f t="shared" si="20"/>
        <v/>
      </c>
      <c r="N68" s="699"/>
      <c r="O68" s="79"/>
      <c r="P68" s="12"/>
      <c r="R68" s="568"/>
      <c r="U68" s="286" t="str">
        <f t="shared" si="21"/>
        <v/>
      </c>
      <c r="V68" s="145" t="str">
        <f t="shared" ref="V68:AC68" si="51">IF($D68="","",U13)</f>
        <v/>
      </c>
      <c r="W68" s="146" t="str">
        <f t="shared" si="51"/>
        <v/>
      </c>
      <c r="X68" s="145" t="str">
        <f t="shared" si="51"/>
        <v/>
      </c>
      <c r="Y68" s="146" t="str">
        <f t="shared" si="51"/>
        <v/>
      </c>
      <c r="Z68" s="145" t="str">
        <f t="shared" si="51"/>
        <v/>
      </c>
      <c r="AA68" s="147" t="str">
        <f t="shared" si="51"/>
        <v/>
      </c>
      <c r="AB68" s="146" t="str">
        <f t="shared" si="51"/>
        <v/>
      </c>
      <c r="AC68" s="145" t="str">
        <f t="shared" si="51"/>
        <v/>
      </c>
      <c r="AD68" s="147" t="str">
        <f t="shared" si="23"/>
        <v/>
      </c>
      <c r="AE68" s="146" t="str">
        <f t="shared" si="24"/>
        <v/>
      </c>
      <c r="AF68" s="288" t="str">
        <f t="shared" si="25"/>
        <v/>
      </c>
      <c r="AG68" s="144" t="str">
        <f t="shared" si="26"/>
        <v/>
      </c>
      <c r="AH68" s="145" t="str">
        <f>IF(D68="","",VLOOKUP(F68,'10. All Habitats + Multipliers'!$C$4:$K$99,5,FALSE))</f>
        <v/>
      </c>
      <c r="AI68" s="146" t="str">
        <f>IF(AH68="","",VLOOKUP(AH68,'12. Lists'!$B$47:$D$50,2,FALSE))</f>
        <v/>
      </c>
      <c r="AJ68" s="145" t="str">
        <f t="shared" si="27"/>
        <v/>
      </c>
      <c r="AK68" s="146" t="str">
        <f>IF(AJ68="","",VLOOKUP(AJ68,'12. Lists'!$F$47:$G$51,2,FALSE))</f>
        <v/>
      </c>
      <c r="AL68" s="145" t="str">
        <f>IF(D68="","",VLOOKUP(F68,'10. All Habitats + Multipliers'!$C$4:$K$99,9,FALSE))</f>
        <v/>
      </c>
      <c r="AM68" s="147" t="str">
        <f>IF(AL68="","",VLOOKUP(AL68,'12. Lists'!$B$36:$D$39,2,FALSE))</f>
        <v/>
      </c>
      <c r="AN68" s="146" t="str">
        <f>IF(AL68="","",VLOOKUP(AL68,'12. Lists'!$B$36:$D$39,3,FALSE))</f>
        <v/>
      </c>
      <c r="AO68" s="145" t="str">
        <f t="shared" si="28"/>
        <v/>
      </c>
      <c r="AP68" s="147" t="str">
        <f>IF(AO68="","",VLOOKUP(AO68,'12. Lists'!$F$36:$H$38,2,FALSE))</f>
        <v/>
      </c>
      <c r="AQ68" s="146" t="str">
        <f>IF(AO68="","",VLOOKUP(AO68,'12. Lists'!$F$36:$H$38,3,FALSE))</f>
        <v/>
      </c>
      <c r="AR68" s="145" t="str">
        <f>IF(D68="","",VLOOKUP(F68,'11. Condition and Temporal'!$B$6:$J$101,9,FALSE))</f>
        <v/>
      </c>
      <c r="AS68" s="149" t="str">
        <f>IF(AR68="","",VLOOKUP(AR68,'12. Lists'!$I$47:$K$80,3,FALSE))</f>
        <v/>
      </c>
      <c r="AT68" s="175" t="str">
        <f>IF(D68="","",VLOOKUP(F68,'11. Condition and Temporal'!$B$6:$K$104,10,FALSE))</f>
        <v/>
      </c>
      <c r="AU68" s="149" t="str">
        <f>IF(AT68="","",VLOOKUP(AT68,'12. Lists'!$I$47:$K$80,3,FALSE))</f>
        <v/>
      </c>
      <c r="AV68" s="148" t="str">
        <f>IF(D68="","",VLOOKUP(F68,'10. All Habitats + Multipliers'!$C$4:$K$99,8,FALSE))</f>
        <v/>
      </c>
      <c r="AW68" s="146" t="str">
        <f>IF(AV68="","",VLOOKUP(AV68,'12. Lists'!$J$35:$K$38,2,FALSE))</f>
        <v/>
      </c>
      <c r="AX68" s="145" t="str">
        <f>IF(D68="","",VLOOKUP(D68,'11. Condition and Temporal'!$B$6:$K$101,4,FALSE))</f>
        <v/>
      </c>
      <c r="AY68" s="146" t="str">
        <f t="shared" si="29"/>
        <v/>
      </c>
      <c r="AZ68" s="327"/>
      <c r="BA68" s="100">
        <v>3</v>
      </c>
      <c r="BB68" s="102" t="str">
        <f t="shared" si="30"/>
        <v/>
      </c>
      <c r="BC68" s="102" t="str">
        <f t="shared" si="31"/>
        <v/>
      </c>
      <c r="BD68" s="102" t="str">
        <f t="shared" si="32"/>
        <v/>
      </c>
      <c r="BE68" s="102" t="str">
        <f t="shared" si="33"/>
        <v/>
      </c>
      <c r="BF68" s="102" t="str">
        <f t="shared" si="34"/>
        <v/>
      </c>
      <c r="BG68" s="102" t="str">
        <f t="shared" si="35"/>
        <v/>
      </c>
      <c r="BH68" s="102" t="str">
        <f t="shared" si="36"/>
        <v/>
      </c>
      <c r="BI68" s="102" t="str">
        <f t="shared" si="37"/>
        <v/>
      </c>
      <c r="BJ68" s="102" t="str">
        <f t="shared" si="38"/>
        <v/>
      </c>
      <c r="BK68" s="102" t="str">
        <f t="shared" si="39"/>
        <v/>
      </c>
      <c r="BL68" s="102" t="str">
        <f t="shared" si="40"/>
        <v/>
      </c>
      <c r="BM68" s="102" t="str">
        <f t="shared" si="41"/>
        <v/>
      </c>
      <c r="BN68" s="102" t="str">
        <f t="shared" si="42"/>
        <v/>
      </c>
      <c r="BO68" s="102" t="str">
        <f t="shared" si="43"/>
        <v/>
      </c>
      <c r="BP68" s="102" t="str">
        <f t="shared" si="44"/>
        <v/>
      </c>
      <c r="BQ68" s="102" t="str">
        <f t="shared" si="45"/>
        <v/>
      </c>
      <c r="BR68" s="102" t="str">
        <f t="shared" si="46"/>
        <v/>
      </c>
      <c r="BS68" s="102" t="str">
        <f t="shared" si="47"/>
        <v/>
      </c>
      <c r="BT68" s="102" t="str">
        <f t="shared" si="48"/>
        <v/>
      </c>
      <c r="BU68" s="101" t="str">
        <f t="shared" si="49"/>
        <v/>
      </c>
      <c r="BV68" s="296" t="str">
        <f t="shared" si="50"/>
        <v/>
      </c>
      <c r="BW68" s="102" t="s">
        <v>194</v>
      </c>
      <c r="BX68" s="102">
        <f>BD64</f>
        <v>0</v>
      </c>
    </row>
    <row r="69" spans="1:76" s="27" customFormat="1" ht="15.6" customHeight="1">
      <c r="B69" s="106">
        <v>4</v>
      </c>
      <c r="C69" s="150" t="str">
        <f t="shared" si="12"/>
        <v/>
      </c>
      <c r="D69" s="151" t="str">
        <f t="shared" si="13"/>
        <v/>
      </c>
      <c r="E69" s="259" t="str">
        <f t="shared" si="17"/>
        <v/>
      </c>
      <c r="F69" s="534"/>
      <c r="G69" s="535"/>
      <c r="H69" s="241" t="str">
        <f t="shared" si="18"/>
        <v/>
      </c>
      <c r="I69" s="227" t="str">
        <f t="shared" si="14"/>
        <v/>
      </c>
      <c r="J69" s="520" t="str">
        <f>IF(F69="","",VLOOKUP(F69,'11. Condition and Temporal'!$B$6:$F$101,5,FALSE))</f>
        <v/>
      </c>
      <c r="K69" s="521"/>
      <c r="L69" s="192" t="str">
        <f t="shared" si="19"/>
        <v/>
      </c>
      <c r="M69" s="553" t="str">
        <f t="shared" si="20"/>
        <v/>
      </c>
      <c r="N69" s="699"/>
      <c r="O69" s="79"/>
      <c r="P69" s="12"/>
      <c r="R69" s="568"/>
      <c r="U69" s="286" t="str">
        <f t="shared" si="21"/>
        <v/>
      </c>
      <c r="V69" s="145" t="str">
        <f t="shared" ref="V69:AC69" si="52">IF($D69="","",U14)</f>
        <v/>
      </c>
      <c r="W69" s="146" t="str">
        <f t="shared" si="52"/>
        <v/>
      </c>
      <c r="X69" s="145" t="str">
        <f t="shared" si="52"/>
        <v/>
      </c>
      <c r="Y69" s="146" t="str">
        <f t="shared" si="52"/>
        <v/>
      </c>
      <c r="Z69" s="145" t="str">
        <f t="shared" si="52"/>
        <v/>
      </c>
      <c r="AA69" s="147" t="str">
        <f t="shared" si="52"/>
        <v/>
      </c>
      <c r="AB69" s="146" t="str">
        <f t="shared" si="52"/>
        <v/>
      </c>
      <c r="AC69" s="145" t="str">
        <f t="shared" si="52"/>
        <v/>
      </c>
      <c r="AD69" s="147" t="str">
        <f t="shared" si="23"/>
        <v/>
      </c>
      <c r="AE69" s="146" t="str">
        <f t="shared" si="24"/>
        <v/>
      </c>
      <c r="AF69" s="288" t="str">
        <f t="shared" si="25"/>
        <v/>
      </c>
      <c r="AG69" s="144" t="str">
        <f t="shared" si="26"/>
        <v/>
      </c>
      <c r="AH69" s="145" t="str">
        <f>IF(D69="","",VLOOKUP(F69,'10. All Habitats + Multipliers'!$C$4:$K$99,5,FALSE))</f>
        <v/>
      </c>
      <c r="AI69" s="146" t="str">
        <f>IF(AH69="","",VLOOKUP(AH69,'12. Lists'!$B$47:$D$50,2,FALSE))</f>
        <v/>
      </c>
      <c r="AJ69" s="145" t="str">
        <f t="shared" si="27"/>
        <v/>
      </c>
      <c r="AK69" s="146" t="str">
        <f>IF(AJ69="","",VLOOKUP(AJ69,'12. Lists'!$F$47:$G$51,2,FALSE))</f>
        <v/>
      </c>
      <c r="AL69" s="145" t="str">
        <f>IF(D69="","",VLOOKUP(F69,'10. All Habitats + Multipliers'!$C$4:$K$99,9,FALSE))</f>
        <v/>
      </c>
      <c r="AM69" s="147" t="str">
        <f>IF(AL69="","",VLOOKUP(AL69,'12. Lists'!$B$36:$D$39,2,FALSE))</f>
        <v/>
      </c>
      <c r="AN69" s="146" t="str">
        <f>IF(AL69="","",VLOOKUP(AL69,'12. Lists'!$B$36:$D$39,3,FALSE))</f>
        <v/>
      </c>
      <c r="AO69" s="145" t="str">
        <f t="shared" si="28"/>
        <v/>
      </c>
      <c r="AP69" s="147" t="str">
        <f>IF(AO69="","",VLOOKUP(AO69,'12. Lists'!$F$36:$H$38,2,FALSE))</f>
        <v/>
      </c>
      <c r="AQ69" s="146" t="str">
        <f>IF(AO69="","",VLOOKUP(AO69,'12. Lists'!$F$36:$H$38,3,FALSE))</f>
        <v/>
      </c>
      <c r="AR69" s="145" t="str">
        <f>IF(D69="","",VLOOKUP(F69,'11. Condition and Temporal'!$B$6:$J$101,9,FALSE))</f>
        <v/>
      </c>
      <c r="AS69" s="149" t="str">
        <f>IF(AR69="","",VLOOKUP(AR69,'12. Lists'!$I$47:$K$80,3,FALSE))</f>
        <v/>
      </c>
      <c r="AT69" s="175" t="str">
        <f>IF(D69="","",VLOOKUP(F69,'11. Condition and Temporal'!$B$6:$K$104,10,FALSE))</f>
        <v/>
      </c>
      <c r="AU69" s="149" t="str">
        <f>IF(AT69="","",VLOOKUP(AT69,'12. Lists'!$I$47:$K$80,3,FALSE))</f>
        <v/>
      </c>
      <c r="AV69" s="148" t="str">
        <f>IF(D69="","",VLOOKUP(F69,'10. All Habitats + Multipliers'!$C$4:$K$99,8,FALSE))</f>
        <v/>
      </c>
      <c r="AW69" s="146" t="str">
        <f>IF(AV69="","",VLOOKUP(AV69,'12. Lists'!$J$35:$K$38,2,FALSE))</f>
        <v/>
      </c>
      <c r="AX69" s="145" t="str">
        <f>IF(D69="","",VLOOKUP(D69,'11. Condition and Temporal'!$B$6:$K$101,4,FALSE))</f>
        <v/>
      </c>
      <c r="AY69" s="146" t="str">
        <f t="shared" si="29"/>
        <v/>
      </c>
      <c r="AZ69" s="327"/>
      <c r="BA69" s="100">
        <v>4</v>
      </c>
      <c r="BB69" s="102" t="str">
        <f t="shared" si="30"/>
        <v/>
      </c>
      <c r="BC69" s="102" t="str">
        <f t="shared" si="31"/>
        <v/>
      </c>
      <c r="BD69" s="102" t="str">
        <f t="shared" si="32"/>
        <v/>
      </c>
      <c r="BE69" s="102" t="str">
        <f t="shared" si="33"/>
        <v/>
      </c>
      <c r="BF69" s="102" t="str">
        <f t="shared" si="34"/>
        <v/>
      </c>
      <c r="BG69" s="102" t="str">
        <f t="shared" si="35"/>
        <v/>
      </c>
      <c r="BH69" s="102" t="str">
        <f t="shared" si="36"/>
        <v/>
      </c>
      <c r="BI69" s="102" t="str">
        <f t="shared" si="37"/>
        <v/>
      </c>
      <c r="BJ69" s="102" t="str">
        <f t="shared" si="38"/>
        <v/>
      </c>
      <c r="BK69" s="102" t="str">
        <f t="shared" si="39"/>
        <v/>
      </c>
      <c r="BL69" s="102" t="str">
        <f t="shared" si="40"/>
        <v/>
      </c>
      <c r="BM69" s="102" t="str">
        <f t="shared" si="41"/>
        <v/>
      </c>
      <c r="BN69" s="102" t="str">
        <f t="shared" si="42"/>
        <v/>
      </c>
      <c r="BO69" s="102" t="str">
        <f t="shared" si="43"/>
        <v/>
      </c>
      <c r="BP69" s="102" t="str">
        <f t="shared" si="44"/>
        <v/>
      </c>
      <c r="BQ69" s="102" t="str">
        <f t="shared" si="45"/>
        <v/>
      </c>
      <c r="BR69" s="102" t="str">
        <f t="shared" si="46"/>
        <v/>
      </c>
      <c r="BS69" s="102" t="str">
        <f t="shared" si="47"/>
        <v/>
      </c>
      <c r="BT69" s="102" t="str">
        <f t="shared" si="48"/>
        <v/>
      </c>
      <c r="BU69" s="101" t="str">
        <f t="shared" si="49"/>
        <v/>
      </c>
      <c r="BV69" s="296" t="str">
        <f t="shared" si="50"/>
        <v/>
      </c>
      <c r="BW69" s="102" t="s">
        <v>195</v>
      </c>
      <c r="BX69" s="102">
        <f>BE64</f>
        <v>0</v>
      </c>
    </row>
    <row r="70" spans="1:76" s="27" customFormat="1" ht="15.6" customHeight="1">
      <c r="B70" s="106">
        <v>5</v>
      </c>
      <c r="C70" s="150" t="str">
        <f t="shared" si="12"/>
        <v/>
      </c>
      <c r="D70" s="151" t="str">
        <f t="shared" si="13"/>
        <v/>
      </c>
      <c r="E70" s="259" t="str">
        <f t="shared" si="17"/>
        <v/>
      </c>
      <c r="F70" s="534"/>
      <c r="G70" s="535"/>
      <c r="H70" s="241" t="str">
        <f t="shared" si="18"/>
        <v/>
      </c>
      <c r="I70" s="227" t="str">
        <f t="shared" si="14"/>
        <v/>
      </c>
      <c r="J70" s="520" t="str">
        <f>IF(F70="","",VLOOKUP(F70,'11. Condition and Temporal'!$B$6:$F$101,5,FALSE))</f>
        <v/>
      </c>
      <c r="K70" s="521"/>
      <c r="L70" s="192" t="str">
        <f t="shared" si="19"/>
        <v/>
      </c>
      <c r="M70" s="553" t="str">
        <f t="shared" si="20"/>
        <v/>
      </c>
      <c r="N70" s="699"/>
      <c r="O70" s="79"/>
      <c r="P70" s="12"/>
      <c r="R70" s="568"/>
      <c r="U70" s="286" t="str">
        <f t="shared" si="21"/>
        <v/>
      </c>
      <c r="V70" s="145" t="str">
        <f t="shared" ref="V70:AC70" si="53">IF($D70="","",U15)</f>
        <v/>
      </c>
      <c r="W70" s="146" t="str">
        <f t="shared" si="53"/>
        <v/>
      </c>
      <c r="X70" s="145" t="str">
        <f t="shared" si="53"/>
        <v/>
      </c>
      <c r="Y70" s="146" t="str">
        <f t="shared" si="53"/>
        <v/>
      </c>
      <c r="Z70" s="145" t="str">
        <f t="shared" si="53"/>
        <v/>
      </c>
      <c r="AA70" s="147" t="str">
        <f t="shared" si="53"/>
        <v/>
      </c>
      <c r="AB70" s="146" t="str">
        <f t="shared" si="53"/>
        <v/>
      </c>
      <c r="AC70" s="145" t="str">
        <f t="shared" si="53"/>
        <v/>
      </c>
      <c r="AD70" s="147" t="str">
        <f t="shared" si="23"/>
        <v/>
      </c>
      <c r="AE70" s="146" t="str">
        <f t="shared" si="24"/>
        <v/>
      </c>
      <c r="AF70" s="288" t="str">
        <f t="shared" si="25"/>
        <v/>
      </c>
      <c r="AG70" s="144" t="str">
        <f t="shared" si="26"/>
        <v/>
      </c>
      <c r="AH70" s="145" t="str">
        <f>IF(D70="","",VLOOKUP(F70,'10. All Habitats + Multipliers'!$C$4:$K$99,5,FALSE))</f>
        <v/>
      </c>
      <c r="AI70" s="146" t="str">
        <f>IF(AH70="","",VLOOKUP(AH70,'12. Lists'!$B$47:$D$50,2,FALSE))</f>
        <v/>
      </c>
      <c r="AJ70" s="145" t="str">
        <f t="shared" si="27"/>
        <v/>
      </c>
      <c r="AK70" s="146" t="str">
        <f>IF(AJ70="","",VLOOKUP(AJ70,'12. Lists'!$F$47:$G$51,2,FALSE))</f>
        <v/>
      </c>
      <c r="AL70" s="145" t="str">
        <f>IF(D70="","",VLOOKUP(F70,'10. All Habitats + Multipliers'!$C$4:$K$99,9,FALSE))</f>
        <v/>
      </c>
      <c r="AM70" s="147" t="str">
        <f>IF(AL70="","",VLOOKUP(AL70,'12. Lists'!$B$36:$D$39,2,FALSE))</f>
        <v/>
      </c>
      <c r="AN70" s="146" t="str">
        <f>IF(AL70="","",VLOOKUP(AL70,'12. Lists'!$B$36:$D$39,3,FALSE))</f>
        <v/>
      </c>
      <c r="AO70" s="145" t="str">
        <f t="shared" si="28"/>
        <v/>
      </c>
      <c r="AP70" s="147" t="str">
        <f>IF(AO70="","",VLOOKUP(AO70,'12. Lists'!$F$36:$H$38,2,FALSE))</f>
        <v/>
      </c>
      <c r="AQ70" s="146" t="str">
        <f>IF(AO70="","",VLOOKUP(AO70,'12. Lists'!$F$36:$H$38,3,FALSE))</f>
        <v/>
      </c>
      <c r="AR70" s="145" t="str">
        <f>IF(D70="","",VLOOKUP(F70,'11. Condition and Temporal'!$B$6:$J$101,9,FALSE))</f>
        <v/>
      </c>
      <c r="AS70" s="149" t="str">
        <f>IF(AR70="","",VLOOKUP(AR70,'12. Lists'!$I$47:$K$80,3,FALSE))</f>
        <v/>
      </c>
      <c r="AT70" s="175" t="str">
        <f>IF(D70="","",VLOOKUP(F70,'11. Condition and Temporal'!$B$6:$K$104,10,FALSE))</f>
        <v/>
      </c>
      <c r="AU70" s="149" t="str">
        <f>IF(AT70="","",VLOOKUP(AT70,'12. Lists'!$I$47:$K$80,3,FALSE))</f>
        <v/>
      </c>
      <c r="AV70" s="148" t="str">
        <f>IF(D70="","",VLOOKUP(F70,'10. All Habitats + Multipliers'!$C$4:$K$99,8,FALSE))</f>
        <v/>
      </c>
      <c r="AW70" s="146" t="str">
        <f>IF(AV70="","",VLOOKUP(AV70,'12. Lists'!$J$35:$K$38,2,FALSE))</f>
        <v/>
      </c>
      <c r="AX70" s="145" t="str">
        <f>IF(D70="","",VLOOKUP(D70,'11. Condition and Temporal'!$B$6:$K$101,4,FALSE))</f>
        <v/>
      </c>
      <c r="AY70" s="146" t="str">
        <f t="shared" si="29"/>
        <v/>
      </c>
      <c r="AZ70" s="327"/>
      <c r="BA70" s="100">
        <v>5</v>
      </c>
      <c r="BB70" s="102" t="str">
        <f t="shared" si="30"/>
        <v/>
      </c>
      <c r="BC70" s="102" t="str">
        <f t="shared" si="31"/>
        <v/>
      </c>
      <c r="BD70" s="102" t="str">
        <f t="shared" si="32"/>
        <v/>
      </c>
      <c r="BE70" s="102" t="str">
        <f t="shared" si="33"/>
        <v/>
      </c>
      <c r="BF70" s="102" t="str">
        <f t="shared" si="34"/>
        <v/>
      </c>
      <c r="BG70" s="102" t="str">
        <f t="shared" si="35"/>
        <v/>
      </c>
      <c r="BH70" s="102" t="str">
        <f t="shared" si="36"/>
        <v/>
      </c>
      <c r="BI70" s="102" t="str">
        <f t="shared" si="37"/>
        <v/>
      </c>
      <c r="BJ70" s="102" t="str">
        <f t="shared" si="38"/>
        <v/>
      </c>
      <c r="BK70" s="102" t="str">
        <f t="shared" si="39"/>
        <v/>
      </c>
      <c r="BL70" s="102" t="str">
        <f t="shared" si="40"/>
        <v/>
      </c>
      <c r="BM70" s="102" t="str">
        <f t="shared" si="41"/>
        <v/>
      </c>
      <c r="BN70" s="102" t="str">
        <f t="shared" si="42"/>
        <v/>
      </c>
      <c r="BO70" s="102" t="str">
        <f t="shared" si="43"/>
        <v/>
      </c>
      <c r="BP70" s="102" t="str">
        <f t="shared" si="44"/>
        <v/>
      </c>
      <c r="BQ70" s="102" t="str">
        <f t="shared" si="45"/>
        <v/>
      </c>
      <c r="BR70" s="102" t="str">
        <f t="shared" si="46"/>
        <v/>
      </c>
      <c r="BS70" s="102" t="str">
        <f t="shared" si="47"/>
        <v/>
      </c>
      <c r="BT70" s="102" t="str">
        <f t="shared" si="48"/>
        <v/>
      </c>
      <c r="BU70" s="101" t="str">
        <f t="shared" si="49"/>
        <v/>
      </c>
      <c r="BV70" s="296" t="str">
        <f t="shared" si="50"/>
        <v/>
      </c>
      <c r="BW70" s="102" t="s">
        <v>196</v>
      </c>
      <c r="BX70" s="102">
        <f>BF64</f>
        <v>0</v>
      </c>
    </row>
    <row r="71" spans="1:76" s="27" customFormat="1" ht="15.6" customHeight="1">
      <c r="B71" s="106">
        <v>6</v>
      </c>
      <c r="C71" s="150" t="str">
        <f t="shared" si="12"/>
        <v/>
      </c>
      <c r="D71" s="151" t="str">
        <f t="shared" si="13"/>
        <v/>
      </c>
      <c r="E71" s="259" t="str">
        <f t="shared" si="17"/>
        <v/>
      </c>
      <c r="F71" s="534"/>
      <c r="G71" s="535"/>
      <c r="H71" s="241" t="str">
        <f t="shared" si="18"/>
        <v/>
      </c>
      <c r="I71" s="227" t="str">
        <f t="shared" si="14"/>
        <v/>
      </c>
      <c r="J71" s="520" t="str">
        <f>IF(F71="","",VLOOKUP(F71,'11. Condition and Temporal'!$B$6:$F$101,5,FALSE))</f>
        <v/>
      </c>
      <c r="K71" s="521"/>
      <c r="L71" s="192" t="str">
        <f t="shared" si="19"/>
        <v/>
      </c>
      <c r="M71" s="553" t="str">
        <f t="shared" si="20"/>
        <v/>
      </c>
      <c r="N71" s="699"/>
      <c r="O71" s="79"/>
      <c r="P71" s="12"/>
      <c r="R71" s="568"/>
      <c r="U71" s="286" t="str">
        <f t="shared" si="21"/>
        <v/>
      </c>
      <c r="V71" s="145" t="str">
        <f t="shared" ref="V71:AC71" si="54">IF($D71="","",U16)</f>
        <v/>
      </c>
      <c r="W71" s="146" t="str">
        <f t="shared" si="54"/>
        <v/>
      </c>
      <c r="X71" s="145" t="str">
        <f t="shared" si="54"/>
        <v/>
      </c>
      <c r="Y71" s="146" t="str">
        <f t="shared" si="54"/>
        <v/>
      </c>
      <c r="Z71" s="145" t="str">
        <f t="shared" si="54"/>
        <v/>
      </c>
      <c r="AA71" s="147" t="str">
        <f t="shared" si="54"/>
        <v/>
      </c>
      <c r="AB71" s="146" t="str">
        <f t="shared" si="54"/>
        <v/>
      </c>
      <c r="AC71" s="145" t="str">
        <f t="shared" si="54"/>
        <v/>
      </c>
      <c r="AD71" s="147" t="str">
        <f t="shared" si="23"/>
        <v/>
      </c>
      <c r="AE71" s="146" t="str">
        <f t="shared" si="24"/>
        <v/>
      </c>
      <c r="AF71" s="288" t="str">
        <f t="shared" si="25"/>
        <v/>
      </c>
      <c r="AG71" s="144" t="str">
        <f t="shared" si="26"/>
        <v/>
      </c>
      <c r="AH71" s="145" t="str">
        <f>IF(D71="","",VLOOKUP(F71,'10. All Habitats + Multipliers'!$C$4:$K$99,5,FALSE))</f>
        <v/>
      </c>
      <c r="AI71" s="146" t="str">
        <f>IF(AH71="","",VLOOKUP(AH71,'12. Lists'!$B$47:$D$50,2,FALSE))</f>
        <v/>
      </c>
      <c r="AJ71" s="145" t="str">
        <f t="shared" si="27"/>
        <v/>
      </c>
      <c r="AK71" s="146" t="str">
        <f>IF(AJ71="","",VLOOKUP(AJ71,'12. Lists'!$F$47:$G$51,2,FALSE))</f>
        <v/>
      </c>
      <c r="AL71" s="145" t="str">
        <f>IF(D71="","",VLOOKUP(F71,'10. All Habitats + Multipliers'!$C$4:$K$99,9,FALSE))</f>
        <v/>
      </c>
      <c r="AM71" s="147" t="str">
        <f>IF(AL71="","",VLOOKUP(AL71,'12. Lists'!$B$36:$D$39,2,FALSE))</f>
        <v/>
      </c>
      <c r="AN71" s="146" t="str">
        <f>IF(AL71="","",VLOOKUP(AL71,'12. Lists'!$B$36:$D$39,3,FALSE))</f>
        <v/>
      </c>
      <c r="AO71" s="145" t="str">
        <f t="shared" si="28"/>
        <v/>
      </c>
      <c r="AP71" s="147" t="str">
        <f>IF(AO71="","",VLOOKUP(AO71,'12. Lists'!$F$36:$H$38,2,FALSE))</f>
        <v/>
      </c>
      <c r="AQ71" s="146" t="str">
        <f>IF(AO71="","",VLOOKUP(AO71,'12. Lists'!$F$36:$H$38,3,FALSE))</f>
        <v/>
      </c>
      <c r="AR71" s="145" t="str">
        <f>IF(D71="","",VLOOKUP(F71,'11. Condition and Temporal'!$B$6:$J$101,9,FALSE))</f>
        <v/>
      </c>
      <c r="AS71" s="149" t="str">
        <f>IF(AR71="","",VLOOKUP(AR71,'12. Lists'!$I$47:$K$80,3,FALSE))</f>
        <v/>
      </c>
      <c r="AT71" s="175" t="str">
        <f>IF(D71="","",VLOOKUP(F71,'11. Condition and Temporal'!$B$6:$K$104,10,FALSE))</f>
        <v/>
      </c>
      <c r="AU71" s="149" t="str">
        <f>IF(AT71="","",VLOOKUP(AT71,'12. Lists'!$I$47:$K$80,3,FALSE))</f>
        <v/>
      </c>
      <c r="AV71" s="148" t="str">
        <f>IF(D71="","",VLOOKUP(F71,'10. All Habitats + Multipliers'!$C$4:$K$99,8,FALSE))</f>
        <v/>
      </c>
      <c r="AW71" s="146" t="str">
        <f>IF(AV71="","",VLOOKUP(AV71,'12. Lists'!$J$35:$K$38,2,FALSE))</f>
        <v/>
      </c>
      <c r="AX71" s="145" t="str">
        <f>IF(D71="","",VLOOKUP(D71,'11. Condition and Temporal'!$B$6:$K$101,4,FALSE))</f>
        <v/>
      </c>
      <c r="AY71" s="146" t="str">
        <f t="shared" si="29"/>
        <v/>
      </c>
      <c r="AZ71" s="327"/>
      <c r="BA71" s="100">
        <v>6</v>
      </c>
      <c r="BB71" s="102" t="str">
        <f t="shared" si="30"/>
        <v/>
      </c>
      <c r="BC71" s="102" t="str">
        <f t="shared" si="31"/>
        <v/>
      </c>
      <c r="BD71" s="102" t="str">
        <f t="shared" si="32"/>
        <v/>
      </c>
      <c r="BE71" s="102" t="str">
        <f t="shared" si="33"/>
        <v/>
      </c>
      <c r="BF71" s="102" t="str">
        <f t="shared" si="34"/>
        <v/>
      </c>
      <c r="BG71" s="102" t="str">
        <f t="shared" si="35"/>
        <v/>
      </c>
      <c r="BH71" s="102" t="str">
        <f t="shared" si="36"/>
        <v/>
      </c>
      <c r="BI71" s="102" t="str">
        <f t="shared" si="37"/>
        <v/>
      </c>
      <c r="BJ71" s="102" t="str">
        <f t="shared" si="38"/>
        <v/>
      </c>
      <c r="BK71" s="102" t="str">
        <f t="shared" si="39"/>
        <v/>
      </c>
      <c r="BL71" s="102" t="str">
        <f t="shared" si="40"/>
        <v/>
      </c>
      <c r="BM71" s="102" t="str">
        <f t="shared" si="41"/>
        <v/>
      </c>
      <c r="BN71" s="102" t="str">
        <f t="shared" si="42"/>
        <v/>
      </c>
      <c r="BO71" s="102" t="str">
        <f t="shared" si="43"/>
        <v/>
      </c>
      <c r="BP71" s="102" t="str">
        <f t="shared" si="44"/>
        <v/>
      </c>
      <c r="BQ71" s="102" t="str">
        <f t="shared" si="45"/>
        <v/>
      </c>
      <c r="BR71" s="102" t="str">
        <f t="shared" si="46"/>
        <v/>
      </c>
      <c r="BS71" s="102" t="str">
        <f t="shared" si="47"/>
        <v/>
      </c>
      <c r="BT71" s="102" t="str">
        <f t="shared" si="48"/>
        <v/>
      </c>
      <c r="BU71" s="101" t="str">
        <f t="shared" si="49"/>
        <v/>
      </c>
      <c r="BV71" s="296" t="str">
        <f t="shared" si="50"/>
        <v/>
      </c>
      <c r="BW71" s="102" t="s">
        <v>197</v>
      </c>
      <c r="BX71" s="102">
        <f>BG64</f>
        <v>0</v>
      </c>
    </row>
    <row r="72" spans="1:76" s="27" customFormat="1" ht="15.6" customHeight="1">
      <c r="B72" s="106">
        <v>7</v>
      </c>
      <c r="C72" s="150" t="str">
        <f t="shared" si="12"/>
        <v/>
      </c>
      <c r="D72" s="151" t="str">
        <f t="shared" si="13"/>
        <v/>
      </c>
      <c r="E72" s="259" t="str">
        <f t="shared" si="17"/>
        <v/>
      </c>
      <c r="F72" s="534"/>
      <c r="G72" s="535"/>
      <c r="H72" s="241" t="str">
        <f t="shared" si="18"/>
        <v/>
      </c>
      <c r="I72" s="227" t="str">
        <f t="shared" si="14"/>
        <v/>
      </c>
      <c r="J72" s="520" t="str">
        <f>IF(F72="","",VLOOKUP(F72,'11. Condition and Temporal'!$B$6:$F$101,5,FALSE))</f>
        <v/>
      </c>
      <c r="K72" s="521"/>
      <c r="L72" s="192" t="str">
        <f t="shared" si="19"/>
        <v/>
      </c>
      <c r="M72" s="553" t="str">
        <f t="shared" si="20"/>
        <v/>
      </c>
      <c r="N72" s="699"/>
      <c r="O72" s="79"/>
      <c r="P72" s="12"/>
      <c r="R72" s="568"/>
      <c r="U72" s="286" t="str">
        <f t="shared" si="21"/>
        <v/>
      </c>
      <c r="V72" s="145" t="str">
        <f t="shared" ref="V72:AC72" si="55">IF($D72="","",U17)</f>
        <v/>
      </c>
      <c r="W72" s="146" t="str">
        <f t="shared" si="55"/>
        <v/>
      </c>
      <c r="X72" s="145" t="str">
        <f t="shared" si="55"/>
        <v/>
      </c>
      <c r="Y72" s="146" t="str">
        <f t="shared" si="55"/>
        <v/>
      </c>
      <c r="Z72" s="145" t="str">
        <f t="shared" si="55"/>
        <v/>
      </c>
      <c r="AA72" s="147" t="str">
        <f t="shared" si="55"/>
        <v/>
      </c>
      <c r="AB72" s="146" t="str">
        <f t="shared" si="55"/>
        <v/>
      </c>
      <c r="AC72" s="145" t="str">
        <f t="shared" si="55"/>
        <v/>
      </c>
      <c r="AD72" s="147" t="str">
        <f t="shared" si="23"/>
        <v/>
      </c>
      <c r="AE72" s="146" t="str">
        <f t="shared" si="24"/>
        <v/>
      </c>
      <c r="AF72" s="288" t="str">
        <f t="shared" si="25"/>
        <v/>
      </c>
      <c r="AG72" s="144" t="str">
        <f t="shared" si="26"/>
        <v/>
      </c>
      <c r="AH72" s="145" t="str">
        <f>IF(D72="","",VLOOKUP(F72,'10. All Habitats + Multipliers'!$C$4:$K$99,5,FALSE))</f>
        <v/>
      </c>
      <c r="AI72" s="146" t="str">
        <f>IF(AH72="","",VLOOKUP(AH72,'12. Lists'!$B$47:$D$50,2,FALSE))</f>
        <v/>
      </c>
      <c r="AJ72" s="145" t="str">
        <f t="shared" si="27"/>
        <v/>
      </c>
      <c r="AK72" s="146" t="str">
        <f>IF(AJ72="","",VLOOKUP(AJ72,'12. Lists'!$F$47:$G$51,2,FALSE))</f>
        <v/>
      </c>
      <c r="AL72" s="145" t="str">
        <f>IF(D72="","",VLOOKUP(F72,'10. All Habitats + Multipliers'!$C$4:$K$99,9,FALSE))</f>
        <v/>
      </c>
      <c r="AM72" s="147" t="str">
        <f>IF(AL72="","",VLOOKUP(AL72,'12. Lists'!$B$36:$D$39,2,FALSE))</f>
        <v/>
      </c>
      <c r="AN72" s="146" t="str">
        <f>IF(AL72="","",VLOOKUP(AL72,'12. Lists'!$B$36:$D$39,3,FALSE))</f>
        <v/>
      </c>
      <c r="AO72" s="145" t="str">
        <f t="shared" si="28"/>
        <v/>
      </c>
      <c r="AP72" s="147" t="str">
        <f>IF(AO72="","",VLOOKUP(AO72,'12. Lists'!$F$36:$H$38,2,FALSE))</f>
        <v/>
      </c>
      <c r="AQ72" s="146" t="str">
        <f>IF(AO72="","",VLOOKUP(AO72,'12. Lists'!$F$36:$H$38,3,FALSE))</f>
        <v/>
      </c>
      <c r="AR72" s="145" t="str">
        <f>IF(D72="","",VLOOKUP(F72,'11. Condition and Temporal'!$B$6:$J$101,9,FALSE))</f>
        <v/>
      </c>
      <c r="AS72" s="149" t="str">
        <f>IF(AR72="","",VLOOKUP(AR72,'12. Lists'!$I$47:$K$80,3,FALSE))</f>
        <v/>
      </c>
      <c r="AT72" s="175" t="str">
        <f>IF(D72="","",VLOOKUP(F72,'11. Condition and Temporal'!$B$6:$K$104,10,FALSE))</f>
        <v/>
      </c>
      <c r="AU72" s="149" t="str">
        <f>IF(AT72="","",VLOOKUP(AT72,'12. Lists'!$I$47:$K$80,3,FALSE))</f>
        <v/>
      </c>
      <c r="AV72" s="148" t="str">
        <f>IF(D72="","",VLOOKUP(F72,'10. All Habitats + Multipliers'!$C$4:$K$99,8,FALSE))</f>
        <v/>
      </c>
      <c r="AW72" s="146" t="str">
        <f>IF(AV72="","",VLOOKUP(AV72,'12. Lists'!$J$35:$K$38,2,FALSE))</f>
        <v/>
      </c>
      <c r="AX72" s="145" t="str">
        <f>IF(D72="","",VLOOKUP(D72,'11. Condition and Temporal'!$B$6:$K$101,4,FALSE))</f>
        <v/>
      </c>
      <c r="AY72" s="146" t="str">
        <f t="shared" si="29"/>
        <v/>
      </c>
      <c r="AZ72" s="327"/>
      <c r="BA72" s="100">
        <v>7</v>
      </c>
      <c r="BB72" s="102" t="str">
        <f t="shared" si="30"/>
        <v/>
      </c>
      <c r="BC72" s="102" t="str">
        <f t="shared" si="31"/>
        <v/>
      </c>
      <c r="BD72" s="102" t="str">
        <f t="shared" si="32"/>
        <v/>
      </c>
      <c r="BE72" s="102" t="str">
        <f t="shared" si="33"/>
        <v/>
      </c>
      <c r="BF72" s="102" t="str">
        <f t="shared" si="34"/>
        <v/>
      </c>
      <c r="BG72" s="102" t="str">
        <f t="shared" si="35"/>
        <v/>
      </c>
      <c r="BH72" s="102" t="str">
        <f t="shared" si="36"/>
        <v/>
      </c>
      <c r="BI72" s="102" t="str">
        <f t="shared" si="37"/>
        <v/>
      </c>
      <c r="BJ72" s="102" t="str">
        <f t="shared" si="38"/>
        <v/>
      </c>
      <c r="BK72" s="102" t="str">
        <f t="shared" si="39"/>
        <v/>
      </c>
      <c r="BL72" s="102" t="str">
        <f t="shared" si="40"/>
        <v/>
      </c>
      <c r="BM72" s="102" t="str">
        <f t="shared" si="41"/>
        <v/>
      </c>
      <c r="BN72" s="102" t="str">
        <f t="shared" si="42"/>
        <v/>
      </c>
      <c r="BO72" s="102" t="str">
        <f t="shared" si="43"/>
        <v/>
      </c>
      <c r="BP72" s="102" t="str">
        <f t="shared" si="44"/>
        <v/>
      </c>
      <c r="BQ72" s="102" t="str">
        <f t="shared" si="45"/>
        <v/>
      </c>
      <c r="BR72" s="102" t="str">
        <f t="shared" si="46"/>
        <v/>
      </c>
      <c r="BS72" s="102" t="str">
        <f t="shared" si="47"/>
        <v/>
      </c>
      <c r="BT72" s="102" t="str">
        <f t="shared" si="48"/>
        <v/>
      </c>
      <c r="BU72" s="101" t="str">
        <f t="shared" si="49"/>
        <v/>
      </c>
      <c r="BV72" s="296" t="str">
        <f t="shared" si="50"/>
        <v/>
      </c>
      <c r="BW72" s="102" t="s">
        <v>198</v>
      </c>
      <c r="BX72" s="102">
        <f>BH64</f>
        <v>0</v>
      </c>
    </row>
    <row r="73" spans="1:76" s="27" customFormat="1" ht="15.6" customHeight="1">
      <c r="B73" s="106">
        <v>8</v>
      </c>
      <c r="C73" s="150" t="str">
        <f t="shared" si="12"/>
        <v/>
      </c>
      <c r="D73" s="151" t="str">
        <f t="shared" si="13"/>
        <v/>
      </c>
      <c r="E73" s="259" t="str">
        <f t="shared" si="17"/>
        <v/>
      </c>
      <c r="F73" s="534"/>
      <c r="G73" s="535"/>
      <c r="H73" s="241" t="str">
        <f t="shared" si="18"/>
        <v/>
      </c>
      <c r="I73" s="227" t="str">
        <f t="shared" si="14"/>
        <v/>
      </c>
      <c r="J73" s="520" t="str">
        <f>IF(F73="","",VLOOKUP(F73,'11. Condition and Temporal'!$B$6:$F$101,5,FALSE))</f>
        <v/>
      </c>
      <c r="K73" s="521"/>
      <c r="L73" s="192" t="str">
        <f t="shared" si="19"/>
        <v/>
      </c>
      <c r="M73" s="553" t="str">
        <f t="shared" si="20"/>
        <v/>
      </c>
      <c r="N73" s="699"/>
      <c r="O73" s="79"/>
      <c r="P73" s="12"/>
      <c r="R73" s="568"/>
      <c r="U73" s="286" t="str">
        <f t="shared" si="21"/>
        <v/>
      </c>
      <c r="V73" s="145" t="str">
        <f t="shared" ref="V73:AC73" si="56">IF($D73="","",U18)</f>
        <v/>
      </c>
      <c r="W73" s="146" t="str">
        <f t="shared" si="56"/>
        <v/>
      </c>
      <c r="X73" s="145" t="str">
        <f t="shared" si="56"/>
        <v/>
      </c>
      <c r="Y73" s="146" t="str">
        <f t="shared" si="56"/>
        <v/>
      </c>
      <c r="Z73" s="145" t="str">
        <f t="shared" si="56"/>
        <v/>
      </c>
      <c r="AA73" s="147" t="str">
        <f t="shared" si="56"/>
        <v/>
      </c>
      <c r="AB73" s="146" t="str">
        <f t="shared" si="56"/>
        <v/>
      </c>
      <c r="AC73" s="145" t="str">
        <f t="shared" si="56"/>
        <v/>
      </c>
      <c r="AD73" s="147" t="str">
        <f t="shared" si="23"/>
        <v/>
      </c>
      <c r="AE73" s="146" t="str">
        <f t="shared" si="24"/>
        <v/>
      </c>
      <c r="AF73" s="288" t="str">
        <f t="shared" si="25"/>
        <v/>
      </c>
      <c r="AG73" s="144" t="str">
        <f t="shared" si="26"/>
        <v/>
      </c>
      <c r="AH73" s="145" t="str">
        <f>IF(D73="","",VLOOKUP(F73,'10. All Habitats + Multipliers'!$C$4:$K$99,5,FALSE))</f>
        <v/>
      </c>
      <c r="AI73" s="146" t="str">
        <f>IF(AH73="","",VLOOKUP(AH73,'12. Lists'!$B$47:$D$50,2,FALSE))</f>
        <v/>
      </c>
      <c r="AJ73" s="145" t="str">
        <f t="shared" si="27"/>
        <v/>
      </c>
      <c r="AK73" s="146" t="str">
        <f>IF(AJ73="","",VLOOKUP(AJ73,'12. Lists'!$F$47:$G$51,2,FALSE))</f>
        <v/>
      </c>
      <c r="AL73" s="145" t="str">
        <f>IF(D73="","",VLOOKUP(F73,'10. All Habitats + Multipliers'!$C$4:$K$99,9,FALSE))</f>
        <v/>
      </c>
      <c r="AM73" s="147" t="str">
        <f>IF(AL73="","",VLOOKUP(AL73,'12. Lists'!$B$36:$D$39,2,FALSE))</f>
        <v/>
      </c>
      <c r="AN73" s="146" t="str">
        <f>IF(AL73="","",VLOOKUP(AL73,'12. Lists'!$B$36:$D$39,3,FALSE))</f>
        <v/>
      </c>
      <c r="AO73" s="145" t="str">
        <f t="shared" si="28"/>
        <v/>
      </c>
      <c r="AP73" s="147" t="str">
        <f>IF(AO73="","",VLOOKUP(AO73,'12. Lists'!$F$36:$H$38,2,FALSE))</f>
        <v/>
      </c>
      <c r="AQ73" s="146" t="str">
        <f>IF(AO73="","",VLOOKUP(AO73,'12. Lists'!$F$36:$H$38,3,FALSE))</f>
        <v/>
      </c>
      <c r="AR73" s="145" t="str">
        <f>IF(D73="","",VLOOKUP(F73,'11. Condition and Temporal'!$B$6:$J$101,9,FALSE))</f>
        <v/>
      </c>
      <c r="AS73" s="149" t="str">
        <f>IF(AR73="","",VLOOKUP(AR73,'12. Lists'!$I$47:$K$80,3,FALSE))</f>
        <v/>
      </c>
      <c r="AT73" s="175" t="str">
        <f>IF(D73="","",VLOOKUP(F73,'11. Condition and Temporal'!$B$6:$K$104,10,FALSE))</f>
        <v/>
      </c>
      <c r="AU73" s="149" t="str">
        <f>IF(AT73="","",VLOOKUP(AT73,'12. Lists'!$I$47:$K$80,3,FALSE))</f>
        <v/>
      </c>
      <c r="AV73" s="148" t="str">
        <f>IF(D73="","",VLOOKUP(F73,'10. All Habitats + Multipliers'!$C$4:$K$99,8,FALSE))</f>
        <v/>
      </c>
      <c r="AW73" s="146" t="str">
        <f>IF(AV73="","",VLOOKUP(AV73,'12. Lists'!$J$35:$K$38,2,FALSE))</f>
        <v/>
      </c>
      <c r="AX73" s="145" t="str">
        <f>IF(D73="","",VLOOKUP(D73,'11. Condition and Temporal'!$B$6:$K$101,4,FALSE))</f>
        <v/>
      </c>
      <c r="AY73" s="146" t="str">
        <f t="shared" si="29"/>
        <v/>
      </c>
      <c r="AZ73" s="327"/>
      <c r="BA73" s="100">
        <v>8</v>
      </c>
      <c r="BB73" s="102" t="str">
        <f t="shared" si="30"/>
        <v/>
      </c>
      <c r="BC73" s="102" t="str">
        <f t="shared" si="31"/>
        <v/>
      </c>
      <c r="BD73" s="102" t="str">
        <f t="shared" si="32"/>
        <v/>
      </c>
      <c r="BE73" s="102" t="str">
        <f t="shared" si="33"/>
        <v/>
      </c>
      <c r="BF73" s="102" t="str">
        <f t="shared" si="34"/>
        <v/>
      </c>
      <c r="BG73" s="102" t="str">
        <f t="shared" si="35"/>
        <v/>
      </c>
      <c r="BH73" s="102" t="str">
        <f t="shared" si="36"/>
        <v/>
      </c>
      <c r="BI73" s="102" t="str">
        <f t="shared" si="37"/>
        <v/>
      </c>
      <c r="BJ73" s="102" t="str">
        <f t="shared" si="38"/>
        <v/>
      </c>
      <c r="BK73" s="102" t="str">
        <f t="shared" si="39"/>
        <v/>
      </c>
      <c r="BL73" s="102" t="str">
        <f t="shared" si="40"/>
        <v/>
      </c>
      <c r="BM73" s="102" t="str">
        <f t="shared" si="41"/>
        <v/>
      </c>
      <c r="BN73" s="102" t="str">
        <f t="shared" si="42"/>
        <v/>
      </c>
      <c r="BO73" s="102" t="str">
        <f t="shared" si="43"/>
        <v/>
      </c>
      <c r="BP73" s="102" t="str">
        <f t="shared" si="44"/>
        <v/>
      </c>
      <c r="BQ73" s="102" t="str">
        <f t="shared" si="45"/>
        <v/>
      </c>
      <c r="BR73" s="102" t="str">
        <f t="shared" si="46"/>
        <v/>
      </c>
      <c r="BS73" s="102" t="str">
        <f t="shared" si="47"/>
        <v/>
      </c>
      <c r="BT73" s="102" t="str">
        <f t="shared" si="48"/>
        <v/>
      </c>
      <c r="BU73" s="101" t="str">
        <f t="shared" si="49"/>
        <v/>
      </c>
      <c r="BV73" s="296" t="str">
        <f t="shared" si="50"/>
        <v/>
      </c>
      <c r="BW73" s="102" t="s">
        <v>199</v>
      </c>
      <c r="BX73" s="102">
        <f>BI64</f>
        <v>0</v>
      </c>
    </row>
    <row r="74" spans="1:76" s="27" customFormat="1" ht="15.6" customHeight="1">
      <c r="B74" s="106">
        <v>9</v>
      </c>
      <c r="C74" s="150" t="str">
        <f t="shared" si="12"/>
        <v/>
      </c>
      <c r="D74" s="151" t="str">
        <f t="shared" si="13"/>
        <v/>
      </c>
      <c r="E74" s="259" t="str">
        <f t="shared" si="17"/>
        <v/>
      </c>
      <c r="F74" s="534"/>
      <c r="G74" s="535"/>
      <c r="H74" s="241" t="str">
        <f t="shared" si="18"/>
        <v/>
      </c>
      <c r="I74" s="227" t="str">
        <f t="shared" si="14"/>
        <v/>
      </c>
      <c r="J74" s="520" t="str">
        <f>IF(F74="","",VLOOKUP(F74,'11. Condition and Temporal'!$B$6:$F$101,5,FALSE))</f>
        <v/>
      </c>
      <c r="K74" s="521"/>
      <c r="L74" s="192" t="str">
        <f t="shared" si="19"/>
        <v/>
      </c>
      <c r="M74" s="553" t="str">
        <f t="shared" si="20"/>
        <v/>
      </c>
      <c r="N74" s="699"/>
      <c r="O74" s="79"/>
      <c r="P74" s="12"/>
      <c r="R74" s="568"/>
      <c r="U74" s="286" t="str">
        <f t="shared" si="21"/>
        <v/>
      </c>
      <c r="V74" s="145" t="str">
        <f t="shared" ref="V74:AC74" si="57">IF($D74="","",U19)</f>
        <v/>
      </c>
      <c r="W74" s="146" t="str">
        <f t="shared" si="57"/>
        <v/>
      </c>
      <c r="X74" s="145" t="str">
        <f t="shared" si="57"/>
        <v/>
      </c>
      <c r="Y74" s="146" t="str">
        <f t="shared" si="57"/>
        <v/>
      </c>
      <c r="Z74" s="145" t="str">
        <f t="shared" si="57"/>
        <v/>
      </c>
      <c r="AA74" s="147" t="str">
        <f t="shared" si="57"/>
        <v/>
      </c>
      <c r="AB74" s="146" t="str">
        <f t="shared" si="57"/>
        <v/>
      </c>
      <c r="AC74" s="145" t="str">
        <f t="shared" si="57"/>
        <v/>
      </c>
      <c r="AD74" s="147" t="str">
        <f t="shared" si="23"/>
        <v/>
      </c>
      <c r="AE74" s="146" t="str">
        <f t="shared" si="24"/>
        <v/>
      </c>
      <c r="AF74" s="288" t="str">
        <f t="shared" si="25"/>
        <v/>
      </c>
      <c r="AG74" s="144" t="str">
        <f t="shared" si="26"/>
        <v/>
      </c>
      <c r="AH74" s="145" t="str">
        <f>IF(D74="","",VLOOKUP(F74,'10. All Habitats + Multipliers'!$C$4:$K$99,5,FALSE))</f>
        <v/>
      </c>
      <c r="AI74" s="146" t="str">
        <f>IF(AH74="","",VLOOKUP(AH74,'12. Lists'!$B$47:$D$50,2,FALSE))</f>
        <v/>
      </c>
      <c r="AJ74" s="145" t="str">
        <f t="shared" si="27"/>
        <v/>
      </c>
      <c r="AK74" s="146" t="str">
        <f>IF(AJ74="","",VLOOKUP(AJ74,'12. Lists'!$F$47:$G$51,2,FALSE))</f>
        <v/>
      </c>
      <c r="AL74" s="145" t="str">
        <f>IF(D74="","",VLOOKUP(F74,'10. All Habitats + Multipliers'!$C$4:$K$99,9,FALSE))</f>
        <v/>
      </c>
      <c r="AM74" s="147" t="str">
        <f>IF(AL74="","",VLOOKUP(AL74,'12. Lists'!$B$36:$D$39,2,FALSE))</f>
        <v/>
      </c>
      <c r="AN74" s="146" t="str">
        <f>IF(AL74="","",VLOOKUP(AL74,'12. Lists'!$B$36:$D$39,3,FALSE))</f>
        <v/>
      </c>
      <c r="AO74" s="145" t="str">
        <f t="shared" si="28"/>
        <v/>
      </c>
      <c r="AP74" s="147" t="str">
        <f>IF(AO74="","",VLOOKUP(AO74,'12. Lists'!$F$36:$H$38,2,FALSE))</f>
        <v/>
      </c>
      <c r="AQ74" s="146" t="str">
        <f>IF(AO74="","",VLOOKUP(AO74,'12. Lists'!$F$36:$H$38,3,FALSE))</f>
        <v/>
      </c>
      <c r="AR74" s="145" t="str">
        <f>IF(D74="","",VLOOKUP(F74,'11. Condition and Temporal'!$B$6:$J$101,9,FALSE))</f>
        <v/>
      </c>
      <c r="AS74" s="149" t="str">
        <f>IF(AR74="","",VLOOKUP(AR74,'12. Lists'!$I$47:$K$80,3,FALSE))</f>
        <v/>
      </c>
      <c r="AT74" s="175" t="str">
        <f>IF(D74="","",VLOOKUP(F74,'11. Condition and Temporal'!$B$6:$K$104,10,FALSE))</f>
        <v/>
      </c>
      <c r="AU74" s="149" t="str">
        <f>IF(AT74="","",VLOOKUP(AT74,'12. Lists'!$I$47:$K$80,3,FALSE))</f>
        <v/>
      </c>
      <c r="AV74" s="148" t="str">
        <f>IF(D74="","",VLOOKUP(F74,'10. All Habitats + Multipliers'!$C$4:$K$99,8,FALSE))</f>
        <v/>
      </c>
      <c r="AW74" s="146" t="str">
        <f>IF(AV74="","",VLOOKUP(AV74,'12. Lists'!$J$35:$K$38,2,FALSE))</f>
        <v/>
      </c>
      <c r="AX74" s="145" t="str">
        <f>IF(D74="","",VLOOKUP(D74,'11. Condition and Temporal'!$B$6:$K$101,4,FALSE))</f>
        <v/>
      </c>
      <c r="AY74" s="146" t="str">
        <f t="shared" si="29"/>
        <v/>
      </c>
      <c r="AZ74" s="327"/>
      <c r="BA74" s="100">
        <v>9</v>
      </c>
      <c r="BB74" s="102" t="str">
        <f t="shared" si="30"/>
        <v/>
      </c>
      <c r="BC74" s="102" t="str">
        <f t="shared" si="31"/>
        <v/>
      </c>
      <c r="BD74" s="102" t="str">
        <f t="shared" si="32"/>
        <v/>
      </c>
      <c r="BE74" s="102" t="str">
        <f t="shared" si="33"/>
        <v/>
      </c>
      <c r="BF74" s="102" t="str">
        <f t="shared" si="34"/>
        <v/>
      </c>
      <c r="BG74" s="102" t="str">
        <f t="shared" si="35"/>
        <v/>
      </c>
      <c r="BH74" s="102" t="str">
        <f t="shared" si="36"/>
        <v/>
      </c>
      <c r="BI74" s="102" t="str">
        <f t="shared" si="37"/>
        <v/>
      </c>
      <c r="BJ74" s="102" t="str">
        <f t="shared" si="38"/>
        <v/>
      </c>
      <c r="BK74" s="102" t="str">
        <f t="shared" si="39"/>
        <v/>
      </c>
      <c r="BL74" s="102" t="str">
        <f t="shared" si="40"/>
        <v/>
      </c>
      <c r="BM74" s="102" t="str">
        <f t="shared" si="41"/>
        <v/>
      </c>
      <c r="BN74" s="102" t="str">
        <f t="shared" si="42"/>
        <v/>
      </c>
      <c r="BO74" s="102" t="str">
        <f t="shared" si="43"/>
        <v/>
      </c>
      <c r="BP74" s="102" t="str">
        <f t="shared" si="44"/>
        <v/>
      </c>
      <c r="BQ74" s="102" t="str">
        <f t="shared" si="45"/>
        <v/>
      </c>
      <c r="BR74" s="102" t="str">
        <f t="shared" si="46"/>
        <v/>
      </c>
      <c r="BS74" s="102" t="str">
        <f t="shared" si="47"/>
        <v/>
      </c>
      <c r="BT74" s="102" t="str">
        <f t="shared" si="48"/>
        <v/>
      </c>
      <c r="BU74" s="101" t="str">
        <f t="shared" si="49"/>
        <v/>
      </c>
      <c r="BV74" s="296" t="str">
        <f t="shared" si="50"/>
        <v/>
      </c>
      <c r="BW74" s="102" t="s">
        <v>200</v>
      </c>
      <c r="BX74" s="102">
        <f>BJ64</f>
        <v>0</v>
      </c>
    </row>
    <row r="75" spans="1:76" s="27" customFormat="1" ht="15.6" customHeight="1">
      <c r="B75" s="106">
        <v>10</v>
      </c>
      <c r="C75" s="150" t="str">
        <f t="shared" si="12"/>
        <v/>
      </c>
      <c r="D75" s="151" t="str">
        <f t="shared" si="13"/>
        <v/>
      </c>
      <c r="E75" s="259" t="str">
        <f t="shared" si="17"/>
        <v/>
      </c>
      <c r="F75" s="534"/>
      <c r="G75" s="535"/>
      <c r="H75" s="241" t="str">
        <f t="shared" si="18"/>
        <v/>
      </c>
      <c r="I75" s="227" t="str">
        <f t="shared" si="14"/>
        <v/>
      </c>
      <c r="J75" s="520" t="str">
        <f>IF(F75="","",VLOOKUP(F75,'11. Condition and Temporal'!$B$6:$F$101,5,FALSE))</f>
        <v/>
      </c>
      <c r="K75" s="521"/>
      <c r="L75" s="192" t="str">
        <f t="shared" si="19"/>
        <v/>
      </c>
      <c r="M75" s="553" t="str">
        <f t="shared" si="20"/>
        <v/>
      </c>
      <c r="N75" s="699"/>
      <c r="O75" s="79"/>
      <c r="P75" s="12"/>
      <c r="R75" s="568"/>
      <c r="U75" s="286" t="str">
        <f t="shared" si="21"/>
        <v/>
      </c>
      <c r="V75" s="145" t="str">
        <f t="shared" ref="V75:AC75" si="58">IF($D75="","",U20)</f>
        <v/>
      </c>
      <c r="W75" s="146" t="str">
        <f t="shared" si="58"/>
        <v/>
      </c>
      <c r="X75" s="145" t="str">
        <f t="shared" si="58"/>
        <v/>
      </c>
      <c r="Y75" s="146" t="str">
        <f t="shared" si="58"/>
        <v/>
      </c>
      <c r="Z75" s="145" t="str">
        <f t="shared" si="58"/>
        <v/>
      </c>
      <c r="AA75" s="147" t="str">
        <f t="shared" si="58"/>
        <v/>
      </c>
      <c r="AB75" s="146" t="str">
        <f t="shared" si="58"/>
        <v/>
      </c>
      <c r="AC75" s="145" t="str">
        <f t="shared" si="58"/>
        <v/>
      </c>
      <c r="AD75" s="147" t="str">
        <f t="shared" si="23"/>
        <v/>
      </c>
      <c r="AE75" s="146" t="str">
        <f t="shared" si="24"/>
        <v/>
      </c>
      <c r="AF75" s="288" t="str">
        <f t="shared" si="25"/>
        <v/>
      </c>
      <c r="AG75" s="144" t="str">
        <f t="shared" si="26"/>
        <v/>
      </c>
      <c r="AH75" s="145" t="str">
        <f>IF(D75="","",VLOOKUP(F75,'10. All Habitats + Multipliers'!$C$4:$K$99,5,FALSE))</f>
        <v/>
      </c>
      <c r="AI75" s="146" t="str">
        <f>IF(AH75="","",VLOOKUP(AH75,'12. Lists'!$B$47:$D$50,2,FALSE))</f>
        <v/>
      </c>
      <c r="AJ75" s="145" t="str">
        <f t="shared" si="27"/>
        <v/>
      </c>
      <c r="AK75" s="146" t="str">
        <f>IF(AJ75="","",VLOOKUP(AJ75,'12. Lists'!$F$47:$G$51,2,FALSE))</f>
        <v/>
      </c>
      <c r="AL75" s="145" t="str">
        <f>IF(D75="","",VLOOKUP(F75,'10. All Habitats + Multipliers'!$C$4:$K$99,9,FALSE))</f>
        <v/>
      </c>
      <c r="AM75" s="147" t="str">
        <f>IF(AL75="","",VLOOKUP(AL75,'12. Lists'!$B$36:$D$39,2,FALSE))</f>
        <v/>
      </c>
      <c r="AN75" s="146" t="str">
        <f>IF(AL75="","",VLOOKUP(AL75,'12. Lists'!$B$36:$D$39,3,FALSE))</f>
        <v/>
      </c>
      <c r="AO75" s="145" t="str">
        <f t="shared" si="28"/>
        <v/>
      </c>
      <c r="AP75" s="147" t="str">
        <f>IF(AO75="","",VLOOKUP(AO75,'12. Lists'!$F$36:$H$38,2,FALSE))</f>
        <v/>
      </c>
      <c r="AQ75" s="146" t="str">
        <f>IF(AO75="","",VLOOKUP(AO75,'12. Lists'!$F$36:$H$38,3,FALSE))</f>
        <v/>
      </c>
      <c r="AR75" s="145" t="str">
        <f>IF(D75="","",VLOOKUP(F75,'11. Condition and Temporal'!$B$6:$J$101,9,FALSE))</f>
        <v/>
      </c>
      <c r="AS75" s="149" t="str">
        <f>IF(AR75="","",VLOOKUP(AR75,'12. Lists'!$I$47:$K$80,3,FALSE))</f>
        <v/>
      </c>
      <c r="AT75" s="175" t="str">
        <f>IF(D75="","",VLOOKUP(F75,'11. Condition and Temporal'!$B$6:$K$104,10,FALSE))</f>
        <v/>
      </c>
      <c r="AU75" s="149" t="str">
        <f>IF(AT75="","",VLOOKUP(AT75,'12. Lists'!$I$47:$K$80,3,FALSE))</f>
        <v/>
      </c>
      <c r="AV75" s="148" t="str">
        <f>IF(D75="","",VLOOKUP(F75,'10. All Habitats + Multipliers'!$C$4:$K$99,8,FALSE))</f>
        <v/>
      </c>
      <c r="AW75" s="146" t="str">
        <f>IF(AV75="","",VLOOKUP(AV75,'12. Lists'!$J$35:$K$38,2,FALSE))</f>
        <v/>
      </c>
      <c r="AX75" s="145" t="str">
        <f>IF(D75="","",VLOOKUP(D75,'11. Condition and Temporal'!$B$6:$K$101,4,FALSE))</f>
        <v/>
      </c>
      <c r="AY75" s="146" t="str">
        <f t="shared" si="29"/>
        <v/>
      </c>
      <c r="AZ75" s="327"/>
      <c r="BA75" s="100">
        <v>10</v>
      </c>
      <c r="BB75" s="102" t="str">
        <f t="shared" si="30"/>
        <v/>
      </c>
      <c r="BC75" s="102" t="str">
        <f t="shared" si="31"/>
        <v/>
      </c>
      <c r="BD75" s="102" t="str">
        <f t="shared" si="32"/>
        <v/>
      </c>
      <c r="BE75" s="102" t="str">
        <f t="shared" si="33"/>
        <v/>
      </c>
      <c r="BF75" s="102" t="str">
        <f t="shared" si="34"/>
        <v/>
      </c>
      <c r="BG75" s="102" t="str">
        <f t="shared" si="35"/>
        <v/>
      </c>
      <c r="BH75" s="102" t="str">
        <f t="shared" si="36"/>
        <v/>
      </c>
      <c r="BI75" s="102" t="str">
        <f t="shared" si="37"/>
        <v/>
      </c>
      <c r="BJ75" s="102" t="str">
        <f t="shared" si="38"/>
        <v/>
      </c>
      <c r="BK75" s="102" t="str">
        <f t="shared" si="39"/>
        <v/>
      </c>
      <c r="BL75" s="102" t="str">
        <f t="shared" si="40"/>
        <v/>
      </c>
      <c r="BM75" s="102" t="str">
        <f t="shared" si="41"/>
        <v/>
      </c>
      <c r="BN75" s="102" t="str">
        <f t="shared" si="42"/>
        <v/>
      </c>
      <c r="BO75" s="102" t="str">
        <f t="shared" si="43"/>
        <v/>
      </c>
      <c r="BP75" s="102" t="str">
        <f t="shared" si="44"/>
        <v/>
      </c>
      <c r="BQ75" s="102" t="str">
        <f t="shared" si="45"/>
        <v/>
      </c>
      <c r="BR75" s="102" t="str">
        <f t="shared" si="46"/>
        <v/>
      </c>
      <c r="BS75" s="102" t="str">
        <f t="shared" si="47"/>
        <v/>
      </c>
      <c r="BT75" s="102" t="str">
        <f t="shared" si="48"/>
        <v/>
      </c>
      <c r="BU75" s="101" t="str">
        <f t="shared" si="49"/>
        <v/>
      </c>
      <c r="BV75" s="296" t="str">
        <f t="shared" si="50"/>
        <v/>
      </c>
      <c r="BW75" s="102" t="s">
        <v>201</v>
      </c>
      <c r="BX75" s="102">
        <f>BK64</f>
        <v>0</v>
      </c>
    </row>
    <row r="76" spans="1:76" s="27" customFormat="1" ht="15.6" customHeight="1">
      <c r="B76" s="106">
        <v>11</v>
      </c>
      <c r="C76" s="150" t="str">
        <f t="shared" si="12"/>
        <v/>
      </c>
      <c r="D76" s="151" t="str">
        <f t="shared" si="13"/>
        <v/>
      </c>
      <c r="E76" s="259" t="str">
        <f t="shared" si="17"/>
        <v/>
      </c>
      <c r="F76" s="534"/>
      <c r="G76" s="535"/>
      <c r="H76" s="241" t="str">
        <f t="shared" si="18"/>
        <v/>
      </c>
      <c r="I76" s="227" t="str">
        <f t="shared" si="14"/>
        <v/>
      </c>
      <c r="J76" s="520" t="str">
        <f>IF(F76="","",VLOOKUP(F76,'11. Condition and Temporal'!$B$6:$F$101,5,FALSE))</f>
        <v/>
      </c>
      <c r="K76" s="521"/>
      <c r="L76" s="192" t="str">
        <f t="shared" si="19"/>
        <v/>
      </c>
      <c r="M76" s="553" t="str">
        <f t="shared" si="20"/>
        <v/>
      </c>
      <c r="N76" s="699"/>
      <c r="O76" s="79"/>
      <c r="P76" s="12"/>
      <c r="R76" s="568"/>
      <c r="U76" s="286" t="str">
        <f t="shared" si="21"/>
        <v/>
      </c>
      <c r="V76" s="145" t="str">
        <f t="shared" ref="V76:AC76" si="59">IF($D76="","",U21)</f>
        <v/>
      </c>
      <c r="W76" s="146" t="str">
        <f t="shared" si="59"/>
        <v/>
      </c>
      <c r="X76" s="145" t="str">
        <f t="shared" si="59"/>
        <v/>
      </c>
      <c r="Y76" s="146" t="str">
        <f t="shared" si="59"/>
        <v/>
      </c>
      <c r="Z76" s="145" t="str">
        <f t="shared" si="59"/>
        <v/>
      </c>
      <c r="AA76" s="147" t="str">
        <f t="shared" si="59"/>
        <v/>
      </c>
      <c r="AB76" s="146" t="str">
        <f t="shared" si="59"/>
        <v/>
      </c>
      <c r="AC76" s="145" t="str">
        <f t="shared" si="59"/>
        <v/>
      </c>
      <c r="AD76" s="147" t="str">
        <f t="shared" si="23"/>
        <v/>
      </c>
      <c r="AE76" s="146" t="str">
        <f t="shared" si="24"/>
        <v/>
      </c>
      <c r="AF76" s="288" t="str">
        <f t="shared" si="25"/>
        <v/>
      </c>
      <c r="AG76" s="144" t="str">
        <f t="shared" si="26"/>
        <v/>
      </c>
      <c r="AH76" s="145" t="str">
        <f>IF(D76="","",VLOOKUP(F76,'10. All Habitats + Multipliers'!$C$4:$K$99,5,FALSE))</f>
        <v/>
      </c>
      <c r="AI76" s="146" t="str">
        <f>IF(AH76="","",VLOOKUP(AH76,'12. Lists'!$B$47:$D$50,2,FALSE))</f>
        <v/>
      </c>
      <c r="AJ76" s="145" t="str">
        <f t="shared" si="27"/>
        <v/>
      </c>
      <c r="AK76" s="146" t="str">
        <f>IF(AJ76="","",VLOOKUP(AJ76,'12. Lists'!$F$47:$G$51,2,FALSE))</f>
        <v/>
      </c>
      <c r="AL76" s="145" t="str">
        <f>IF(D76="","",VLOOKUP(F76,'10. All Habitats + Multipliers'!$C$4:$K$99,9,FALSE))</f>
        <v/>
      </c>
      <c r="AM76" s="147" t="str">
        <f>IF(AL76="","",VLOOKUP(AL76,'12. Lists'!$B$36:$D$39,2,FALSE))</f>
        <v/>
      </c>
      <c r="AN76" s="146" t="str">
        <f>IF(AL76="","",VLOOKUP(AL76,'12. Lists'!$B$36:$D$39,3,FALSE))</f>
        <v/>
      </c>
      <c r="AO76" s="145" t="str">
        <f t="shared" si="28"/>
        <v/>
      </c>
      <c r="AP76" s="147" t="str">
        <f>IF(AO76="","",VLOOKUP(AO76,'12. Lists'!$F$36:$H$38,2,FALSE))</f>
        <v/>
      </c>
      <c r="AQ76" s="146" t="str">
        <f>IF(AO76="","",VLOOKUP(AO76,'12. Lists'!$F$36:$H$38,3,FALSE))</f>
        <v/>
      </c>
      <c r="AR76" s="145" t="str">
        <f>IF(D76="","",VLOOKUP(F76,'11. Condition and Temporal'!$B$6:$J$101,9,FALSE))</f>
        <v/>
      </c>
      <c r="AS76" s="149" t="str">
        <f>IF(AR76="","",VLOOKUP(AR76,'12. Lists'!$I$47:$K$80,3,FALSE))</f>
        <v/>
      </c>
      <c r="AT76" s="175" t="str">
        <f>IF(D76="","",VLOOKUP(F76,'11. Condition and Temporal'!$B$6:$K$104,10,FALSE))</f>
        <v/>
      </c>
      <c r="AU76" s="149" t="str">
        <f>IF(AT76="","",VLOOKUP(AT76,'12. Lists'!$I$47:$K$80,3,FALSE))</f>
        <v/>
      </c>
      <c r="AV76" s="148" t="str">
        <f>IF(D76="","",VLOOKUP(F76,'10. All Habitats + Multipliers'!$C$4:$K$99,8,FALSE))</f>
        <v/>
      </c>
      <c r="AW76" s="146" t="str">
        <f>IF(AV76="","",VLOOKUP(AV76,'12. Lists'!$J$35:$K$38,2,FALSE))</f>
        <v/>
      </c>
      <c r="AX76" s="145" t="str">
        <f>IF(D76="","",VLOOKUP(D76,'11. Condition and Temporal'!$B$6:$K$101,4,FALSE))</f>
        <v/>
      </c>
      <c r="AY76" s="146" t="str">
        <f t="shared" si="29"/>
        <v/>
      </c>
      <c r="AZ76" s="327"/>
      <c r="BA76" s="100">
        <v>11</v>
      </c>
      <c r="BB76" s="102" t="str">
        <f t="shared" si="30"/>
        <v/>
      </c>
      <c r="BC76" s="102" t="str">
        <f t="shared" si="31"/>
        <v/>
      </c>
      <c r="BD76" s="102" t="str">
        <f t="shared" si="32"/>
        <v/>
      </c>
      <c r="BE76" s="102" t="str">
        <f t="shared" si="33"/>
        <v/>
      </c>
      <c r="BF76" s="102" t="str">
        <f t="shared" si="34"/>
        <v/>
      </c>
      <c r="BG76" s="102" t="str">
        <f t="shared" si="35"/>
        <v/>
      </c>
      <c r="BH76" s="102" t="str">
        <f t="shared" si="36"/>
        <v/>
      </c>
      <c r="BI76" s="102" t="str">
        <f t="shared" si="37"/>
        <v/>
      </c>
      <c r="BJ76" s="102" t="str">
        <f t="shared" si="38"/>
        <v/>
      </c>
      <c r="BK76" s="102" t="str">
        <f t="shared" si="39"/>
        <v/>
      </c>
      <c r="BL76" s="102" t="str">
        <f t="shared" si="40"/>
        <v/>
      </c>
      <c r="BM76" s="102" t="str">
        <f t="shared" si="41"/>
        <v/>
      </c>
      <c r="BN76" s="102" t="str">
        <f t="shared" si="42"/>
        <v/>
      </c>
      <c r="BO76" s="102" t="str">
        <f t="shared" si="43"/>
        <v/>
      </c>
      <c r="BP76" s="102" t="str">
        <f t="shared" si="44"/>
        <v/>
      </c>
      <c r="BQ76" s="102" t="str">
        <f t="shared" si="45"/>
        <v/>
      </c>
      <c r="BR76" s="102" t="str">
        <f t="shared" si="46"/>
        <v/>
      </c>
      <c r="BS76" s="102" t="str">
        <f t="shared" si="47"/>
        <v/>
      </c>
      <c r="BT76" s="102" t="str">
        <f t="shared" si="48"/>
        <v/>
      </c>
      <c r="BU76" s="101" t="str">
        <f t="shared" si="49"/>
        <v/>
      </c>
      <c r="BV76" s="296" t="str">
        <f t="shared" si="50"/>
        <v/>
      </c>
      <c r="BW76" s="102" t="s">
        <v>202</v>
      </c>
      <c r="BX76" s="102">
        <f>BL64</f>
        <v>0</v>
      </c>
    </row>
    <row r="77" spans="1:76" s="27" customFormat="1" ht="15.6" customHeight="1">
      <c r="B77" s="106">
        <v>12</v>
      </c>
      <c r="C77" s="150" t="str">
        <f t="shared" si="12"/>
        <v/>
      </c>
      <c r="D77" s="151" t="str">
        <f t="shared" si="13"/>
        <v/>
      </c>
      <c r="E77" s="259" t="str">
        <f t="shared" si="17"/>
        <v/>
      </c>
      <c r="F77" s="534"/>
      <c r="G77" s="535"/>
      <c r="H77" s="241" t="str">
        <f t="shared" si="18"/>
        <v/>
      </c>
      <c r="I77" s="227" t="str">
        <f t="shared" si="14"/>
        <v/>
      </c>
      <c r="J77" s="520" t="str">
        <f>IF(F77="","",VLOOKUP(F77,'11. Condition and Temporal'!$B$6:$F$101,5,FALSE))</f>
        <v/>
      </c>
      <c r="K77" s="521"/>
      <c r="L77" s="192" t="str">
        <f t="shared" si="19"/>
        <v/>
      </c>
      <c r="M77" s="553" t="str">
        <f t="shared" si="20"/>
        <v/>
      </c>
      <c r="N77" s="699"/>
      <c r="O77" s="79"/>
      <c r="P77" s="12"/>
      <c r="R77" s="568"/>
      <c r="U77" s="286" t="str">
        <f t="shared" si="21"/>
        <v/>
      </c>
      <c r="V77" s="145" t="str">
        <f t="shared" ref="V77:AC77" si="60">IF($D77="","",U22)</f>
        <v/>
      </c>
      <c r="W77" s="146" t="str">
        <f t="shared" si="60"/>
        <v/>
      </c>
      <c r="X77" s="145" t="str">
        <f t="shared" si="60"/>
        <v/>
      </c>
      <c r="Y77" s="146" t="str">
        <f t="shared" si="60"/>
        <v/>
      </c>
      <c r="Z77" s="145" t="str">
        <f t="shared" si="60"/>
        <v/>
      </c>
      <c r="AA77" s="147" t="str">
        <f t="shared" si="60"/>
        <v/>
      </c>
      <c r="AB77" s="146" t="str">
        <f t="shared" si="60"/>
        <v/>
      </c>
      <c r="AC77" s="145" t="str">
        <f t="shared" si="60"/>
        <v/>
      </c>
      <c r="AD77" s="147" t="str">
        <f t="shared" si="23"/>
        <v/>
      </c>
      <c r="AE77" s="146" t="str">
        <f t="shared" si="24"/>
        <v/>
      </c>
      <c r="AF77" s="288" t="str">
        <f t="shared" si="25"/>
        <v/>
      </c>
      <c r="AG77" s="144" t="str">
        <f t="shared" si="26"/>
        <v/>
      </c>
      <c r="AH77" s="145" t="str">
        <f>IF(D77="","",VLOOKUP(F77,'10. All Habitats + Multipliers'!$C$4:$K$99,5,FALSE))</f>
        <v/>
      </c>
      <c r="AI77" s="146" t="str">
        <f>IF(AH77="","",VLOOKUP(AH77,'12. Lists'!$B$47:$D$50,2,FALSE))</f>
        <v/>
      </c>
      <c r="AJ77" s="145" t="str">
        <f t="shared" si="27"/>
        <v/>
      </c>
      <c r="AK77" s="146" t="str">
        <f>IF(AJ77="","",VLOOKUP(AJ77,'12. Lists'!$F$47:$G$51,2,FALSE))</f>
        <v/>
      </c>
      <c r="AL77" s="145" t="str">
        <f>IF(D77="","",VLOOKUP(F77,'10. All Habitats + Multipliers'!$C$4:$K$99,9,FALSE))</f>
        <v/>
      </c>
      <c r="AM77" s="147" t="str">
        <f>IF(AL77="","",VLOOKUP(AL77,'12. Lists'!$B$36:$D$39,2,FALSE))</f>
        <v/>
      </c>
      <c r="AN77" s="146" t="str">
        <f>IF(AL77="","",VLOOKUP(AL77,'12. Lists'!$B$36:$D$39,3,FALSE))</f>
        <v/>
      </c>
      <c r="AO77" s="145" t="str">
        <f t="shared" si="28"/>
        <v/>
      </c>
      <c r="AP77" s="147" t="str">
        <f>IF(AO77="","",VLOOKUP(AO77,'12. Lists'!$F$36:$H$38,2,FALSE))</f>
        <v/>
      </c>
      <c r="AQ77" s="146" t="str">
        <f>IF(AO77="","",VLOOKUP(AO77,'12. Lists'!$F$36:$H$38,3,FALSE))</f>
        <v/>
      </c>
      <c r="AR77" s="145" t="str">
        <f>IF(D77="","",VLOOKUP(F77,'11. Condition and Temporal'!$B$6:$J$101,9,FALSE))</f>
        <v/>
      </c>
      <c r="AS77" s="149" t="str">
        <f>IF(AR77="","",VLOOKUP(AR77,'12. Lists'!$I$47:$K$80,3,FALSE))</f>
        <v/>
      </c>
      <c r="AT77" s="175" t="str">
        <f>IF(D77="","",VLOOKUP(F77,'11. Condition and Temporal'!$B$6:$K$104,10,FALSE))</f>
        <v/>
      </c>
      <c r="AU77" s="149" t="str">
        <f>IF(AT77="","",VLOOKUP(AT77,'12. Lists'!$I$47:$K$80,3,FALSE))</f>
        <v/>
      </c>
      <c r="AV77" s="148" t="str">
        <f>IF(D77="","",VLOOKUP(F77,'10. All Habitats + Multipliers'!$C$4:$K$99,8,FALSE))</f>
        <v/>
      </c>
      <c r="AW77" s="146" t="str">
        <f>IF(AV77="","",VLOOKUP(AV77,'12. Lists'!$J$35:$K$38,2,FALSE))</f>
        <v/>
      </c>
      <c r="AX77" s="145" t="str">
        <f>IF(D77="","",VLOOKUP(D77,'11. Condition and Temporal'!$B$6:$K$101,4,FALSE))</f>
        <v/>
      </c>
      <c r="AY77" s="146" t="str">
        <f t="shared" si="29"/>
        <v/>
      </c>
      <c r="AZ77" s="327"/>
      <c r="BA77" s="100">
        <v>12</v>
      </c>
      <c r="BB77" s="102" t="str">
        <f t="shared" si="30"/>
        <v/>
      </c>
      <c r="BC77" s="102" t="str">
        <f t="shared" si="31"/>
        <v/>
      </c>
      <c r="BD77" s="102" t="str">
        <f t="shared" si="32"/>
        <v/>
      </c>
      <c r="BE77" s="102" t="str">
        <f t="shared" si="33"/>
        <v/>
      </c>
      <c r="BF77" s="102" t="str">
        <f t="shared" si="34"/>
        <v/>
      </c>
      <c r="BG77" s="102" t="str">
        <f t="shared" si="35"/>
        <v/>
      </c>
      <c r="BH77" s="102" t="str">
        <f t="shared" si="36"/>
        <v/>
      </c>
      <c r="BI77" s="102" t="str">
        <f t="shared" si="37"/>
        <v/>
      </c>
      <c r="BJ77" s="102" t="str">
        <f t="shared" si="38"/>
        <v/>
      </c>
      <c r="BK77" s="102" t="str">
        <f t="shared" si="39"/>
        <v/>
      </c>
      <c r="BL77" s="102" t="str">
        <f t="shared" si="40"/>
        <v/>
      </c>
      <c r="BM77" s="102" t="str">
        <f t="shared" si="41"/>
        <v/>
      </c>
      <c r="BN77" s="102" t="str">
        <f t="shared" si="42"/>
        <v/>
      </c>
      <c r="BO77" s="102" t="str">
        <f t="shared" si="43"/>
        <v/>
      </c>
      <c r="BP77" s="102" t="str">
        <f t="shared" si="44"/>
        <v/>
      </c>
      <c r="BQ77" s="102" t="str">
        <f t="shared" si="45"/>
        <v/>
      </c>
      <c r="BR77" s="102" t="str">
        <f t="shared" si="46"/>
        <v/>
      </c>
      <c r="BS77" s="102" t="str">
        <f t="shared" si="47"/>
        <v/>
      </c>
      <c r="BT77" s="102" t="str">
        <f t="shared" si="48"/>
        <v/>
      </c>
      <c r="BU77" s="101" t="str">
        <f t="shared" si="49"/>
        <v/>
      </c>
      <c r="BV77" s="296" t="str">
        <f t="shared" si="50"/>
        <v/>
      </c>
      <c r="BW77" s="102" t="s">
        <v>203</v>
      </c>
      <c r="BX77" s="102">
        <f>BM64</f>
        <v>0</v>
      </c>
    </row>
    <row r="78" spans="1:76" s="27" customFormat="1" ht="15.6" customHeight="1">
      <c r="B78" s="106">
        <v>13</v>
      </c>
      <c r="C78" s="150" t="str">
        <f t="shared" si="12"/>
        <v/>
      </c>
      <c r="D78" s="151" t="str">
        <f t="shared" si="13"/>
        <v/>
      </c>
      <c r="E78" s="259" t="str">
        <f t="shared" si="17"/>
        <v/>
      </c>
      <c r="F78" s="534"/>
      <c r="G78" s="535"/>
      <c r="H78" s="241" t="str">
        <f t="shared" si="18"/>
        <v/>
      </c>
      <c r="I78" s="227" t="str">
        <f t="shared" si="14"/>
        <v/>
      </c>
      <c r="J78" s="520" t="str">
        <f>IF(F78="","",VLOOKUP(F78,'11. Condition and Temporal'!$B$6:$F$101,5,FALSE))</f>
        <v/>
      </c>
      <c r="K78" s="521"/>
      <c r="L78" s="192" t="str">
        <f t="shared" si="19"/>
        <v/>
      </c>
      <c r="M78" s="553" t="str">
        <f t="shared" si="20"/>
        <v/>
      </c>
      <c r="N78" s="699"/>
      <c r="O78" s="79"/>
      <c r="P78" s="12"/>
      <c r="R78" s="568"/>
      <c r="U78" s="286" t="str">
        <f t="shared" si="21"/>
        <v/>
      </c>
      <c r="V78" s="145" t="str">
        <f t="shared" ref="V78:AC78" si="61">IF($D78="","",U23)</f>
        <v/>
      </c>
      <c r="W78" s="146" t="str">
        <f t="shared" si="61"/>
        <v/>
      </c>
      <c r="X78" s="145" t="str">
        <f t="shared" si="61"/>
        <v/>
      </c>
      <c r="Y78" s="146" t="str">
        <f t="shared" si="61"/>
        <v/>
      </c>
      <c r="Z78" s="145" t="str">
        <f t="shared" si="61"/>
        <v/>
      </c>
      <c r="AA78" s="147" t="str">
        <f t="shared" si="61"/>
        <v/>
      </c>
      <c r="AB78" s="146" t="str">
        <f t="shared" si="61"/>
        <v/>
      </c>
      <c r="AC78" s="145" t="str">
        <f t="shared" si="61"/>
        <v/>
      </c>
      <c r="AD78" s="147" t="str">
        <f t="shared" si="23"/>
        <v/>
      </c>
      <c r="AE78" s="146" t="str">
        <f t="shared" si="24"/>
        <v/>
      </c>
      <c r="AF78" s="288" t="str">
        <f t="shared" si="25"/>
        <v/>
      </c>
      <c r="AG78" s="144" t="str">
        <f t="shared" si="26"/>
        <v/>
      </c>
      <c r="AH78" s="145" t="str">
        <f>IF(D78="","",VLOOKUP(F78,'10. All Habitats + Multipliers'!$C$4:$K$99,5,FALSE))</f>
        <v/>
      </c>
      <c r="AI78" s="146" t="str">
        <f>IF(AH78="","",VLOOKUP(AH78,'12. Lists'!$B$47:$D$50,2,FALSE))</f>
        <v/>
      </c>
      <c r="AJ78" s="145" t="str">
        <f t="shared" si="27"/>
        <v/>
      </c>
      <c r="AK78" s="146" t="str">
        <f>IF(AJ78="","",VLOOKUP(AJ78,'12. Lists'!$F$47:$G$51,2,FALSE))</f>
        <v/>
      </c>
      <c r="AL78" s="145" t="str">
        <f>IF(D78="","",VLOOKUP(F78,'10. All Habitats + Multipliers'!$C$4:$K$99,9,FALSE))</f>
        <v/>
      </c>
      <c r="AM78" s="147" t="str">
        <f>IF(AL78="","",VLOOKUP(AL78,'12. Lists'!$B$36:$D$39,2,FALSE))</f>
        <v/>
      </c>
      <c r="AN78" s="146" t="str">
        <f>IF(AL78="","",VLOOKUP(AL78,'12. Lists'!$B$36:$D$39,3,FALSE))</f>
        <v/>
      </c>
      <c r="AO78" s="145" t="str">
        <f t="shared" si="28"/>
        <v/>
      </c>
      <c r="AP78" s="147" t="str">
        <f>IF(AO78="","",VLOOKUP(AO78,'12. Lists'!$F$36:$H$38,2,FALSE))</f>
        <v/>
      </c>
      <c r="AQ78" s="146" t="str">
        <f>IF(AO78="","",VLOOKUP(AO78,'12. Lists'!$F$36:$H$38,3,FALSE))</f>
        <v/>
      </c>
      <c r="AR78" s="145" t="str">
        <f>IF(D78="","",VLOOKUP(F78,'11. Condition and Temporal'!$B$6:$J$101,9,FALSE))</f>
        <v/>
      </c>
      <c r="AS78" s="149" t="str">
        <f>IF(AR78="","",VLOOKUP(AR78,'12. Lists'!$I$47:$K$80,3,FALSE))</f>
        <v/>
      </c>
      <c r="AT78" s="175" t="str">
        <f>IF(D78="","",VLOOKUP(F78,'11. Condition and Temporal'!$B$6:$K$104,10,FALSE))</f>
        <v/>
      </c>
      <c r="AU78" s="149" t="str">
        <f>IF(AT78="","",VLOOKUP(AT78,'12. Lists'!$I$47:$K$80,3,FALSE))</f>
        <v/>
      </c>
      <c r="AV78" s="148" t="str">
        <f>IF(D78="","",VLOOKUP(F78,'10. All Habitats + Multipliers'!$C$4:$K$99,8,FALSE))</f>
        <v/>
      </c>
      <c r="AW78" s="146" t="str">
        <f>IF(AV78="","",VLOOKUP(AV78,'12. Lists'!$J$35:$K$38,2,FALSE))</f>
        <v/>
      </c>
      <c r="AX78" s="145" t="str">
        <f>IF(D78="","",VLOOKUP(D78,'11. Condition and Temporal'!$B$6:$K$101,4,FALSE))</f>
        <v/>
      </c>
      <c r="AY78" s="146" t="str">
        <f t="shared" si="29"/>
        <v/>
      </c>
      <c r="AZ78" s="327"/>
      <c r="BA78" s="100">
        <v>13</v>
      </c>
      <c r="BB78" s="102" t="str">
        <f t="shared" si="30"/>
        <v/>
      </c>
      <c r="BC78" s="102" t="str">
        <f t="shared" si="31"/>
        <v/>
      </c>
      <c r="BD78" s="102" t="str">
        <f t="shared" si="32"/>
        <v/>
      </c>
      <c r="BE78" s="102" t="str">
        <f t="shared" si="33"/>
        <v/>
      </c>
      <c r="BF78" s="102" t="str">
        <f t="shared" si="34"/>
        <v/>
      </c>
      <c r="BG78" s="102" t="str">
        <f t="shared" si="35"/>
        <v/>
      </c>
      <c r="BH78" s="102" t="str">
        <f t="shared" si="36"/>
        <v/>
      </c>
      <c r="BI78" s="102" t="str">
        <f t="shared" si="37"/>
        <v/>
      </c>
      <c r="BJ78" s="102" t="str">
        <f t="shared" si="38"/>
        <v/>
      </c>
      <c r="BK78" s="102" t="str">
        <f t="shared" si="39"/>
        <v/>
      </c>
      <c r="BL78" s="102" t="str">
        <f t="shared" si="40"/>
        <v/>
      </c>
      <c r="BM78" s="102" t="str">
        <f t="shared" si="41"/>
        <v/>
      </c>
      <c r="BN78" s="102" t="str">
        <f t="shared" si="42"/>
        <v/>
      </c>
      <c r="BO78" s="102" t="str">
        <f t="shared" si="43"/>
        <v/>
      </c>
      <c r="BP78" s="102" t="str">
        <f t="shared" si="44"/>
        <v/>
      </c>
      <c r="BQ78" s="102" t="str">
        <f t="shared" si="45"/>
        <v/>
      </c>
      <c r="BR78" s="102" t="str">
        <f t="shared" si="46"/>
        <v/>
      </c>
      <c r="BS78" s="102" t="str">
        <f t="shared" si="47"/>
        <v/>
      </c>
      <c r="BT78" s="102" t="str">
        <f t="shared" si="48"/>
        <v/>
      </c>
      <c r="BU78" s="101" t="str">
        <f t="shared" si="49"/>
        <v/>
      </c>
      <c r="BV78" s="296" t="str">
        <f t="shared" si="50"/>
        <v/>
      </c>
      <c r="BW78" s="102" t="s">
        <v>204</v>
      </c>
      <c r="BX78" s="102">
        <f>BN64</f>
        <v>0</v>
      </c>
    </row>
    <row r="79" spans="1:76" s="27" customFormat="1" ht="15.6" customHeight="1">
      <c r="B79" s="106">
        <v>14</v>
      </c>
      <c r="C79" s="150" t="str">
        <f t="shared" si="12"/>
        <v/>
      </c>
      <c r="D79" s="151" t="str">
        <f t="shared" si="13"/>
        <v/>
      </c>
      <c r="E79" s="259" t="str">
        <f t="shared" si="17"/>
        <v/>
      </c>
      <c r="F79" s="534"/>
      <c r="G79" s="535"/>
      <c r="H79" s="241" t="str">
        <f t="shared" si="18"/>
        <v/>
      </c>
      <c r="I79" s="227" t="str">
        <f t="shared" si="14"/>
        <v/>
      </c>
      <c r="J79" s="520" t="str">
        <f>IF(F79="","",VLOOKUP(F79,'11. Condition and Temporal'!$B$6:$F$101,5,FALSE))</f>
        <v/>
      </c>
      <c r="K79" s="521"/>
      <c r="L79" s="192" t="str">
        <f t="shared" si="19"/>
        <v/>
      </c>
      <c r="M79" s="553" t="str">
        <f t="shared" si="20"/>
        <v/>
      </c>
      <c r="N79" s="699"/>
      <c r="O79" s="79"/>
      <c r="P79" s="12"/>
      <c r="R79" s="568"/>
      <c r="U79" s="286" t="str">
        <f t="shared" si="21"/>
        <v/>
      </c>
      <c r="V79" s="145" t="str">
        <f t="shared" ref="V79:AC79" si="62">IF($D79="","",U24)</f>
        <v/>
      </c>
      <c r="W79" s="146" t="str">
        <f t="shared" si="62"/>
        <v/>
      </c>
      <c r="X79" s="145" t="str">
        <f t="shared" si="62"/>
        <v/>
      </c>
      <c r="Y79" s="146" t="str">
        <f t="shared" si="62"/>
        <v/>
      </c>
      <c r="Z79" s="145" t="str">
        <f t="shared" si="62"/>
        <v/>
      </c>
      <c r="AA79" s="147" t="str">
        <f t="shared" si="62"/>
        <v/>
      </c>
      <c r="AB79" s="146" t="str">
        <f t="shared" si="62"/>
        <v/>
      </c>
      <c r="AC79" s="145" t="str">
        <f t="shared" si="62"/>
        <v/>
      </c>
      <c r="AD79" s="147" t="str">
        <f t="shared" si="23"/>
        <v/>
      </c>
      <c r="AE79" s="146" t="str">
        <f t="shared" si="24"/>
        <v/>
      </c>
      <c r="AF79" s="288" t="str">
        <f t="shared" si="25"/>
        <v/>
      </c>
      <c r="AG79" s="144" t="str">
        <f t="shared" si="26"/>
        <v/>
      </c>
      <c r="AH79" s="145" t="str">
        <f>IF(D79="","",VLOOKUP(F79,'10. All Habitats + Multipliers'!$C$4:$K$99,5,FALSE))</f>
        <v/>
      </c>
      <c r="AI79" s="146" t="str">
        <f>IF(AH79="","",VLOOKUP(AH79,'12. Lists'!$B$47:$D$50,2,FALSE))</f>
        <v/>
      </c>
      <c r="AJ79" s="145" t="str">
        <f t="shared" si="27"/>
        <v/>
      </c>
      <c r="AK79" s="146" t="str">
        <f>IF(AJ79="","",VLOOKUP(AJ79,'12. Lists'!$F$47:$G$51,2,FALSE))</f>
        <v/>
      </c>
      <c r="AL79" s="145" t="str">
        <f>IF(D79="","",VLOOKUP(F79,'10. All Habitats + Multipliers'!$C$4:$K$99,9,FALSE))</f>
        <v/>
      </c>
      <c r="AM79" s="147" t="str">
        <f>IF(AL79="","",VLOOKUP(AL79,'12. Lists'!$B$36:$D$39,2,FALSE))</f>
        <v/>
      </c>
      <c r="AN79" s="146" t="str">
        <f>IF(AL79="","",VLOOKUP(AL79,'12. Lists'!$B$36:$D$39,3,FALSE))</f>
        <v/>
      </c>
      <c r="AO79" s="145" t="str">
        <f t="shared" si="28"/>
        <v/>
      </c>
      <c r="AP79" s="147" t="str">
        <f>IF(AO79="","",VLOOKUP(AO79,'12. Lists'!$F$36:$H$38,2,FALSE))</f>
        <v/>
      </c>
      <c r="AQ79" s="146" t="str">
        <f>IF(AO79="","",VLOOKUP(AO79,'12. Lists'!$F$36:$H$38,3,FALSE))</f>
        <v/>
      </c>
      <c r="AR79" s="145" t="str">
        <f>IF(D79="","",VLOOKUP(F79,'11. Condition and Temporal'!$B$6:$J$101,9,FALSE))</f>
        <v/>
      </c>
      <c r="AS79" s="149" t="str">
        <f>IF(AR79="","",VLOOKUP(AR79,'12. Lists'!$I$47:$K$80,3,FALSE))</f>
        <v/>
      </c>
      <c r="AT79" s="175" t="str">
        <f>IF(D79="","",VLOOKUP(F79,'11. Condition and Temporal'!$B$6:$K$104,10,FALSE))</f>
        <v/>
      </c>
      <c r="AU79" s="149" t="str">
        <f>IF(AT79="","",VLOOKUP(AT79,'12. Lists'!$I$47:$K$80,3,FALSE))</f>
        <v/>
      </c>
      <c r="AV79" s="148" t="str">
        <f>IF(D79="","",VLOOKUP(F79,'10. All Habitats + Multipliers'!$C$4:$K$99,8,FALSE))</f>
        <v/>
      </c>
      <c r="AW79" s="146" t="str">
        <f>IF(AV79="","",VLOOKUP(AV79,'12. Lists'!$J$35:$K$38,2,FALSE))</f>
        <v/>
      </c>
      <c r="AX79" s="145" t="str">
        <f>IF(D79="","",VLOOKUP(D79,'11. Condition and Temporal'!$B$6:$K$101,4,FALSE))</f>
        <v/>
      </c>
      <c r="AY79" s="146" t="str">
        <f t="shared" si="29"/>
        <v/>
      </c>
      <c r="AZ79" s="327"/>
      <c r="BA79" s="100">
        <v>14</v>
      </c>
      <c r="BB79" s="102" t="str">
        <f t="shared" si="30"/>
        <v/>
      </c>
      <c r="BC79" s="102" t="str">
        <f t="shared" si="31"/>
        <v/>
      </c>
      <c r="BD79" s="102" t="str">
        <f t="shared" si="32"/>
        <v/>
      </c>
      <c r="BE79" s="102" t="str">
        <f t="shared" si="33"/>
        <v/>
      </c>
      <c r="BF79" s="102" t="str">
        <f t="shared" si="34"/>
        <v/>
      </c>
      <c r="BG79" s="102" t="str">
        <f t="shared" si="35"/>
        <v/>
      </c>
      <c r="BH79" s="102" t="str">
        <f t="shared" si="36"/>
        <v/>
      </c>
      <c r="BI79" s="102" t="str">
        <f t="shared" si="37"/>
        <v/>
      </c>
      <c r="BJ79" s="102" t="str">
        <f t="shared" si="38"/>
        <v/>
      </c>
      <c r="BK79" s="102" t="str">
        <f t="shared" si="39"/>
        <v/>
      </c>
      <c r="BL79" s="102" t="str">
        <f t="shared" si="40"/>
        <v/>
      </c>
      <c r="BM79" s="102" t="str">
        <f t="shared" si="41"/>
        <v/>
      </c>
      <c r="BN79" s="102" t="str">
        <f t="shared" si="42"/>
        <v/>
      </c>
      <c r="BO79" s="102" t="str">
        <f t="shared" si="43"/>
        <v/>
      </c>
      <c r="BP79" s="102" t="str">
        <f t="shared" si="44"/>
        <v/>
      </c>
      <c r="BQ79" s="102" t="str">
        <f t="shared" si="45"/>
        <v/>
      </c>
      <c r="BR79" s="102" t="str">
        <f t="shared" si="46"/>
        <v/>
      </c>
      <c r="BS79" s="102" t="str">
        <f t="shared" si="47"/>
        <v/>
      </c>
      <c r="BT79" s="102" t="str">
        <f t="shared" si="48"/>
        <v/>
      </c>
      <c r="BU79" s="101" t="str">
        <f t="shared" si="49"/>
        <v/>
      </c>
      <c r="BV79" s="296" t="str">
        <f t="shared" si="50"/>
        <v/>
      </c>
      <c r="BW79" s="102" t="s">
        <v>205</v>
      </c>
      <c r="BX79" s="102">
        <f>BO64</f>
        <v>0</v>
      </c>
    </row>
    <row r="80" spans="1:76" s="27" customFormat="1" ht="15.6" customHeight="1">
      <c r="B80" s="106">
        <v>15</v>
      </c>
      <c r="C80" s="150" t="str">
        <f t="shared" si="12"/>
        <v/>
      </c>
      <c r="D80" s="151" t="str">
        <f t="shared" si="13"/>
        <v/>
      </c>
      <c r="E80" s="259" t="str">
        <f t="shared" si="17"/>
        <v/>
      </c>
      <c r="F80" s="534"/>
      <c r="G80" s="535"/>
      <c r="H80" s="241" t="str">
        <f t="shared" si="18"/>
        <v/>
      </c>
      <c r="I80" s="227" t="str">
        <f t="shared" si="14"/>
        <v/>
      </c>
      <c r="J80" s="520" t="str">
        <f>IF(F80="","",VLOOKUP(F80,'11. Condition and Temporal'!$B$6:$F$101,5,FALSE))</f>
        <v/>
      </c>
      <c r="K80" s="521"/>
      <c r="L80" s="192" t="str">
        <f t="shared" si="19"/>
        <v/>
      </c>
      <c r="M80" s="553" t="str">
        <f t="shared" si="20"/>
        <v/>
      </c>
      <c r="N80" s="699"/>
      <c r="O80" s="79"/>
      <c r="P80" s="12"/>
      <c r="R80" s="568"/>
      <c r="U80" s="286" t="str">
        <f t="shared" si="21"/>
        <v/>
      </c>
      <c r="V80" s="145" t="str">
        <f t="shared" ref="V80:AC80" si="63">IF($D80="","",U25)</f>
        <v/>
      </c>
      <c r="W80" s="146" t="str">
        <f t="shared" si="63"/>
        <v/>
      </c>
      <c r="X80" s="145" t="str">
        <f t="shared" si="63"/>
        <v/>
      </c>
      <c r="Y80" s="146" t="str">
        <f t="shared" si="63"/>
        <v/>
      </c>
      <c r="Z80" s="145" t="str">
        <f t="shared" si="63"/>
        <v/>
      </c>
      <c r="AA80" s="147" t="str">
        <f t="shared" si="63"/>
        <v/>
      </c>
      <c r="AB80" s="146" t="str">
        <f t="shared" si="63"/>
        <v/>
      </c>
      <c r="AC80" s="145" t="str">
        <f t="shared" si="63"/>
        <v/>
      </c>
      <c r="AD80" s="147" t="str">
        <f t="shared" si="23"/>
        <v/>
      </c>
      <c r="AE80" s="146" t="str">
        <f t="shared" si="24"/>
        <v/>
      </c>
      <c r="AF80" s="288" t="str">
        <f t="shared" si="25"/>
        <v/>
      </c>
      <c r="AG80" s="144" t="str">
        <f t="shared" si="26"/>
        <v/>
      </c>
      <c r="AH80" s="145" t="str">
        <f>IF(D80="","",VLOOKUP(F80,'10. All Habitats + Multipliers'!$C$4:$K$99,5,FALSE))</f>
        <v/>
      </c>
      <c r="AI80" s="146" t="str">
        <f>IF(AH80="","",VLOOKUP(AH80,'12. Lists'!$B$47:$D$50,2,FALSE))</f>
        <v/>
      </c>
      <c r="AJ80" s="145" t="str">
        <f t="shared" si="27"/>
        <v/>
      </c>
      <c r="AK80" s="146" t="str">
        <f>IF(AJ80="","",VLOOKUP(AJ80,'12. Lists'!$F$47:$G$51,2,FALSE))</f>
        <v/>
      </c>
      <c r="AL80" s="145" t="str">
        <f>IF(D80="","",VLOOKUP(F80,'10. All Habitats + Multipliers'!$C$4:$K$99,9,FALSE))</f>
        <v/>
      </c>
      <c r="AM80" s="147" t="str">
        <f>IF(AL80="","",VLOOKUP(AL80,'12. Lists'!$B$36:$D$39,2,FALSE))</f>
        <v/>
      </c>
      <c r="AN80" s="146" t="str">
        <f>IF(AL80="","",VLOOKUP(AL80,'12. Lists'!$B$36:$D$39,3,FALSE))</f>
        <v/>
      </c>
      <c r="AO80" s="145" t="str">
        <f t="shared" si="28"/>
        <v/>
      </c>
      <c r="AP80" s="147" t="str">
        <f>IF(AO80="","",VLOOKUP(AO80,'12. Lists'!$F$36:$H$38,2,FALSE))</f>
        <v/>
      </c>
      <c r="AQ80" s="146" t="str">
        <f>IF(AO80="","",VLOOKUP(AO80,'12. Lists'!$F$36:$H$38,3,FALSE))</f>
        <v/>
      </c>
      <c r="AR80" s="145" t="str">
        <f>IF(D80="","",VLOOKUP(F80,'11. Condition and Temporal'!$B$6:$J$101,9,FALSE))</f>
        <v/>
      </c>
      <c r="AS80" s="149" t="str">
        <f>IF(AR80="","",VLOOKUP(AR80,'12. Lists'!$I$47:$K$80,3,FALSE))</f>
        <v/>
      </c>
      <c r="AT80" s="175" t="str">
        <f>IF(D80="","",VLOOKUP(F80,'11. Condition and Temporal'!$B$6:$K$104,10,FALSE))</f>
        <v/>
      </c>
      <c r="AU80" s="149" t="str">
        <f>IF(AT80="","",VLOOKUP(AT80,'12. Lists'!$I$47:$K$80,3,FALSE))</f>
        <v/>
      </c>
      <c r="AV80" s="148" t="str">
        <f>IF(D80="","",VLOOKUP(F80,'10. All Habitats + Multipliers'!$C$4:$K$99,8,FALSE))</f>
        <v/>
      </c>
      <c r="AW80" s="146" t="str">
        <f>IF(AV80="","",VLOOKUP(AV80,'12. Lists'!$J$35:$K$38,2,FALSE))</f>
        <v/>
      </c>
      <c r="AX80" s="145" t="str">
        <f>IF(D80="","",VLOOKUP(D80,'11. Condition and Temporal'!$B$6:$K$101,4,FALSE))</f>
        <v/>
      </c>
      <c r="AY80" s="146" t="str">
        <f t="shared" si="29"/>
        <v/>
      </c>
      <c r="AZ80" s="327"/>
      <c r="BA80" s="100">
        <v>15</v>
      </c>
      <c r="BB80" s="102" t="str">
        <f t="shared" si="30"/>
        <v/>
      </c>
      <c r="BC80" s="102" t="str">
        <f t="shared" si="31"/>
        <v/>
      </c>
      <c r="BD80" s="102" t="str">
        <f t="shared" si="32"/>
        <v/>
      </c>
      <c r="BE80" s="102" t="str">
        <f t="shared" si="33"/>
        <v/>
      </c>
      <c r="BF80" s="102" t="str">
        <f t="shared" si="34"/>
        <v/>
      </c>
      <c r="BG80" s="102" t="str">
        <f t="shared" si="35"/>
        <v/>
      </c>
      <c r="BH80" s="102" t="str">
        <f t="shared" si="36"/>
        <v/>
      </c>
      <c r="BI80" s="102" t="str">
        <f t="shared" si="37"/>
        <v/>
      </c>
      <c r="BJ80" s="102" t="str">
        <f t="shared" si="38"/>
        <v/>
      </c>
      <c r="BK80" s="102" t="str">
        <f t="shared" si="39"/>
        <v/>
      </c>
      <c r="BL80" s="102" t="str">
        <f t="shared" si="40"/>
        <v/>
      </c>
      <c r="BM80" s="102" t="str">
        <f t="shared" si="41"/>
        <v/>
      </c>
      <c r="BN80" s="102" t="str">
        <f t="shared" si="42"/>
        <v/>
      </c>
      <c r="BO80" s="102" t="str">
        <f t="shared" si="43"/>
        <v/>
      </c>
      <c r="BP80" s="102" t="str">
        <f t="shared" si="44"/>
        <v/>
      </c>
      <c r="BQ80" s="102" t="str">
        <f t="shared" si="45"/>
        <v/>
      </c>
      <c r="BR80" s="102" t="str">
        <f t="shared" si="46"/>
        <v/>
      </c>
      <c r="BS80" s="102" t="str">
        <f t="shared" si="47"/>
        <v/>
      </c>
      <c r="BT80" s="102" t="str">
        <f t="shared" si="48"/>
        <v/>
      </c>
      <c r="BU80" s="101" t="str">
        <f t="shared" si="49"/>
        <v/>
      </c>
      <c r="BV80" s="296" t="str">
        <f t="shared" si="50"/>
        <v/>
      </c>
      <c r="BW80" s="102" t="s">
        <v>206</v>
      </c>
      <c r="BX80" s="102">
        <f>BP64</f>
        <v>0</v>
      </c>
    </row>
    <row r="81" spans="1:76" s="27" customFormat="1" ht="15.6" customHeight="1">
      <c r="B81" s="106">
        <v>16</v>
      </c>
      <c r="C81" s="150" t="str">
        <f t="shared" si="12"/>
        <v/>
      </c>
      <c r="D81" s="151" t="str">
        <f t="shared" si="13"/>
        <v/>
      </c>
      <c r="E81" s="259" t="str">
        <f t="shared" si="17"/>
        <v/>
      </c>
      <c r="F81" s="534"/>
      <c r="G81" s="535"/>
      <c r="H81" s="241" t="str">
        <f t="shared" si="18"/>
        <v/>
      </c>
      <c r="I81" s="227" t="str">
        <f t="shared" si="14"/>
        <v/>
      </c>
      <c r="J81" s="520" t="str">
        <f>IF(F81="","",VLOOKUP(F81,'11. Condition and Temporal'!$B$6:$F$101,5,FALSE))</f>
        <v/>
      </c>
      <c r="K81" s="521"/>
      <c r="L81" s="192" t="str">
        <f t="shared" si="19"/>
        <v/>
      </c>
      <c r="M81" s="553" t="str">
        <f t="shared" si="20"/>
        <v/>
      </c>
      <c r="N81" s="699"/>
      <c r="O81" s="79"/>
      <c r="P81" s="12"/>
      <c r="R81" s="568"/>
      <c r="U81" s="286" t="str">
        <f t="shared" si="21"/>
        <v/>
      </c>
      <c r="V81" s="145" t="str">
        <f t="shared" ref="V81:AC81" si="64">IF($D81="","",U26)</f>
        <v/>
      </c>
      <c r="W81" s="146" t="str">
        <f t="shared" si="64"/>
        <v/>
      </c>
      <c r="X81" s="145" t="str">
        <f t="shared" si="64"/>
        <v/>
      </c>
      <c r="Y81" s="146" t="str">
        <f t="shared" si="64"/>
        <v/>
      </c>
      <c r="Z81" s="145" t="str">
        <f t="shared" si="64"/>
        <v/>
      </c>
      <c r="AA81" s="147" t="str">
        <f t="shared" si="64"/>
        <v/>
      </c>
      <c r="AB81" s="146" t="str">
        <f t="shared" si="64"/>
        <v/>
      </c>
      <c r="AC81" s="145" t="str">
        <f t="shared" si="64"/>
        <v/>
      </c>
      <c r="AD81" s="147" t="str">
        <f t="shared" si="23"/>
        <v/>
      </c>
      <c r="AE81" s="146" t="str">
        <f t="shared" si="24"/>
        <v/>
      </c>
      <c r="AF81" s="288" t="str">
        <f t="shared" si="25"/>
        <v/>
      </c>
      <c r="AG81" s="144" t="str">
        <f t="shared" si="26"/>
        <v/>
      </c>
      <c r="AH81" s="145" t="str">
        <f>IF(D81="","",VLOOKUP(F81,'10. All Habitats + Multipliers'!$C$4:$K$99,5,FALSE))</f>
        <v/>
      </c>
      <c r="AI81" s="146" t="str">
        <f>IF(AH81="","",VLOOKUP(AH81,'12. Lists'!$B$47:$D$50,2,FALSE))</f>
        <v/>
      </c>
      <c r="AJ81" s="145" t="str">
        <f t="shared" si="27"/>
        <v/>
      </c>
      <c r="AK81" s="146" t="str">
        <f>IF(AJ81="","",VLOOKUP(AJ81,'12. Lists'!$F$47:$G$51,2,FALSE))</f>
        <v/>
      </c>
      <c r="AL81" s="145" t="str">
        <f>IF(D81="","",VLOOKUP(F81,'10. All Habitats + Multipliers'!$C$4:$K$99,9,FALSE))</f>
        <v/>
      </c>
      <c r="AM81" s="147" t="str">
        <f>IF(AL81="","",VLOOKUP(AL81,'12. Lists'!$B$36:$D$39,2,FALSE))</f>
        <v/>
      </c>
      <c r="AN81" s="146" t="str">
        <f>IF(AL81="","",VLOOKUP(AL81,'12. Lists'!$B$36:$D$39,3,FALSE))</f>
        <v/>
      </c>
      <c r="AO81" s="145" t="str">
        <f t="shared" si="28"/>
        <v/>
      </c>
      <c r="AP81" s="147" t="str">
        <f>IF(AO81="","",VLOOKUP(AO81,'12. Lists'!$F$36:$H$38,2,FALSE))</f>
        <v/>
      </c>
      <c r="AQ81" s="146" t="str">
        <f>IF(AO81="","",VLOOKUP(AO81,'12. Lists'!$F$36:$H$38,3,FALSE))</f>
        <v/>
      </c>
      <c r="AR81" s="145" t="str">
        <f>IF(D81="","",VLOOKUP(F81,'11. Condition and Temporal'!$B$6:$J$101,9,FALSE))</f>
        <v/>
      </c>
      <c r="AS81" s="149" t="str">
        <f>IF(AR81="","",VLOOKUP(AR81,'12. Lists'!$I$47:$K$80,3,FALSE))</f>
        <v/>
      </c>
      <c r="AT81" s="175" t="str">
        <f>IF(D81="","",VLOOKUP(F81,'11. Condition and Temporal'!$B$6:$K$104,10,FALSE))</f>
        <v/>
      </c>
      <c r="AU81" s="149" t="str">
        <f>IF(AT81="","",VLOOKUP(AT81,'12. Lists'!$I$47:$K$80,3,FALSE))</f>
        <v/>
      </c>
      <c r="AV81" s="148" t="str">
        <f>IF(D81="","",VLOOKUP(F81,'10. All Habitats + Multipliers'!$C$4:$K$99,8,FALSE))</f>
        <v/>
      </c>
      <c r="AW81" s="146" t="str">
        <f>IF(AV81="","",VLOOKUP(AV81,'12. Lists'!$J$35:$K$38,2,FALSE))</f>
        <v/>
      </c>
      <c r="AX81" s="145" t="str">
        <f>IF(D81="","",VLOOKUP(D81,'11. Condition and Temporal'!$B$6:$K$101,4,FALSE))</f>
        <v/>
      </c>
      <c r="AY81" s="146" t="str">
        <f t="shared" si="29"/>
        <v/>
      </c>
      <c r="AZ81" s="327"/>
      <c r="BA81" s="100">
        <v>16</v>
      </c>
      <c r="BB81" s="102" t="str">
        <f t="shared" si="30"/>
        <v/>
      </c>
      <c r="BC81" s="102" t="str">
        <f t="shared" si="31"/>
        <v/>
      </c>
      <c r="BD81" s="102" t="str">
        <f t="shared" si="32"/>
        <v/>
      </c>
      <c r="BE81" s="102" t="str">
        <f t="shared" si="33"/>
        <v/>
      </c>
      <c r="BF81" s="102" t="str">
        <f t="shared" si="34"/>
        <v/>
      </c>
      <c r="BG81" s="102" t="str">
        <f t="shared" si="35"/>
        <v/>
      </c>
      <c r="BH81" s="102" t="str">
        <f t="shared" si="36"/>
        <v/>
      </c>
      <c r="BI81" s="102" t="str">
        <f t="shared" si="37"/>
        <v/>
      </c>
      <c r="BJ81" s="102" t="str">
        <f t="shared" si="38"/>
        <v/>
      </c>
      <c r="BK81" s="102" t="str">
        <f t="shared" si="39"/>
        <v/>
      </c>
      <c r="BL81" s="102" t="str">
        <f t="shared" si="40"/>
        <v/>
      </c>
      <c r="BM81" s="102" t="str">
        <f t="shared" si="41"/>
        <v/>
      </c>
      <c r="BN81" s="102" t="str">
        <f t="shared" si="42"/>
        <v/>
      </c>
      <c r="BO81" s="102" t="str">
        <f t="shared" si="43"/>
        <v/>
      </c>
      <c r="BP81" s="102" t="str">
        <f t="shared" si="44"/>
        <v/>
      </c>
      <c r="BQ81" s="102" t="str">
        <f t="shared" si="45"/>
        <v/>
      </c>
      <c r="BR81" s="102" t="str">
        <f t="shared" si="46"/>
        <v/>
      </c>
      <c r="BS81" s="102" t="str">
        <f t="shared" si="47"/>
        <v/>
      </c>
      <c r="BT81" s="102" t="str">
        <f t="shared" si="48"/>
        <v/>
      </c>
      <c r="BU81" s="101" t="str">
        <f t="shared" si="49"/>
        <v/>
      </c>
      <c r="BV81" s="296" t="str">
        <f t="shared" si="50"/>
        <v/>
      </c>
      <c r="BW81" s="102" t="s">
        <v>207</v>
      </c>
      <c r="BX81" s="102">
        <f>BQ64</f>
        <v>0</v>
      </c>
    </row>
    <row r="82" spans="1:76" s="27" customFormat="1" ht="15.6" customHeight="1">
      <c r="B82" s="106">
        <v>17</v>
      </c>
      <c r="C82" s="150" t="str">
        <f t="shared" si="12"/>
        <v/>
      </c>
      <c r="D82" s="151" t="str">
        <f t="shared" si="13"/>
        <v/>
      </c>
      <c r="E82" s="259" t="str">
        <f t="shared" si="17"/>
        <v/>
      </c>
      <c r="F82" s="534"/>
      <c r="G82" s="535"/>
      <c r="H82" s="241" t="str">
        <f t="shared" si="18"/>
        <v/>
      </c>
      <c r="I82" s="227" t="str">
        <f t="shared" si="14"/>
        <v/>
      </c>
      <c r="J82" s="520" t="str">
        <f>IF(F82="","",VLOOKUP(F82,'11. Condition and Temporal'!$B$6:$F$101,5,FALSE))</f>
        <v/>
      </c>
      <c r="K82" s="521"/>
      <c r="L82" s="192" t="str">
        <f t="shared" si="19"/>
        <v/>
      </c>
      <c r="M82" s="553" t="str">
        <f t="shared" si="20"/>
        <v/>
      </c>
      <c r="N82" s="699"/>
      <c r="O82" s="79"/>
      <c r="P82" s="12"/>
      <c r="R82" s="568"/>
      <c r="U82" s="286" t="str">
        <f t="shared" si="21"/>
        <v/>
      </c>
      <c r="V82" s="145" t="str">
        <f t="shared" ref="V82:AC82" si="65">IF($D82="","",U27)</f>
        <v/>
      </c>
      <c r="W82" s="146" t="str">
        <f t="shared" si="65"/>
        <v/>
      </c>
      <c r="X82" s="145" t="str">
        <f t="shared" si="65"/>
        <v/>
      </c>
      <c r="Y82" s="146" t="str">
        <f t="shared" si="65"/>
        <v/>
      </c>
      <c r="Z82" s="145" t="str">
        <f t="shared" si="65"/>
        <v/>
      </c>
      <c r="AA82" s="147" t="str">
        <f t="shared" si="65"/>
        <v/>
      </c>
      <c r="AB82" s="146" t="str">
        <f t="shared" si="65"/>
        <v/>
      </c>
      <c r="AC82" s="145" t="str">
        <f t="shared" si="65"/>
        <v/>
      </c>
      <c r="AD82" s="147" t="str">
        <f t="shared" si="23"/>
        <v/>
      </c>
      <c r="AE82" s="146" t="str">
        <f t="shared" si="24"/>
        <v/>
      </c>
      <c r="AF82" s="288" t="str">
        <f t="shared" si="25"/>
        <v/>
      </c>
      <c r="AG82" s="144" t="str">
        <f t="shared" si="26"/>
        <v/>
      </c>
      <c r="AH82" s="145" t="str">
        <f>IF(D82="","",VLOOKUP(F82,'10. All Habitats + Multipliers'!$C$4:$K$99,5,FALSE))</f>
        <v/>
      </c>
      <c r="AI82" s="146" t="str">
        <f>IF(AH82="","",VLOOKUP(AH82,'12. Lists'!$B$47:$D$50,2,FALSE))</f>
        <v/>
      </c>
      <c r="AJ82" s="145" t="str">
        <f t="shared" si="27"/>
        <v/>
      </c>
      <c r="AK82" s="146" t="str">
        <f>IF(AJ82="","",VLOOKUP(AJ82,'12. Lists'!$F$47:$G$51,2,FALSE))</f>
        <v/>
      </c>
      <c r="AL82" s="145" t="str">
        <f>IF(D82="","",VLOOKUP(F82,'10. All Habitats + Multipliers'!$C$4:$K$99,9,FALSE))</f>
        <v/>
      </c>
      <c r="AM82" s="147" t="str">
        <f>IF(AL82="","",VLOOKUP(AL82,'12. Lists'!$B$36:$D$39,2,FALSE))</f>
        <v/>
      </c>
      <c r="AN82" s="146" t="str">
        <f>IF(AL82="","",VLOOKUP(AL82,'12. Lists'!$B$36:$D$39,3,FALSE))</f>
        <v/>
      </c>
      <c r="AO82" s="145" t="str">
        <f t="shared" si="28"/>
        <v/>
      </c>
      <c r="AP82" s="147" t="str">
        <f>IF(AO82="","",VLOOKUP(AO82,'12. Lists'!$F$36:$H$38,2,FALSE))</f>
        <v/>
      </c>
      <c r="AQ82" s="146" t="str">
        <f>IF(AO82="","",VLOOKUP(AO82,'12. Lists'!$F$36:$H$38,3,FALSE))</f>
        <v/>
      </c>
      <c r="AR82" s="145" t="str">
        <f>IF(D82="","",VLOOKUP(F82,'11. Condition and Temporal'!$B$6:$J$101,9,FALSE))</f>
        <v/>
      </c>
      <c r="AS82" s="149" t="str">
        <f>IF(AR82="","",VLOOKUP(AR82,'12. Lists'!$I$47:$K$80,3,FALSE))</f>
        <v/>
      </c>
      <c r="AT82" s="175" t="str">
        <f>IF(D82="","",VLOOKUP(F82,'11. Condition and Temporal'!$B$6:$K$104,10,FALSE))</f>
        <v/>
      </c>
      <c r="AU82" s="149" t="str">
        <f>IF(AT82="","",VLOOKUP(AT82,'12. Lists'!$I$47:$K$80,3,FALSE))</f>
        <v/>
      </c>
      <c r="AV82" s="148" t="str">
        <f>IF(D82="","",VLOOKUP(F82,'10. All Habitats + Multipliers'!$C$4:$K$99,8,FALSE))</f>
        <v/>
      </c>
      <c r="AW82" s="146" t="str">
        <f>IF(AV82="","",VLOOKUP(AV82,'12. Lists'!$J$35:$K$38,2,FALSE))</f>
        <v/>
      </c>
      <c r="AX82" s="145" t="str">
        <f>IF(D82="","",VLOOKUP(D82,'11. Condition and Temporal'!$B$6:$K$101,4,FALSE))</f>
        <v/>
      </c>
      <c r="AY82" s="146" t="str">
        <f t="shared" si="29"/>
        <v/>
      </c>
      <c r="AZ82" s="327"/>
      <c r="BA82" s="100">
        <v>17</v>
      </c>
      <c r="BB82" s="102" t="str">
        <f t="shared" si="30"/>
        <v/>
      </c>
      <c r="BC82" s="102" t="str">
        <f t="shared" si="31"/>
        <v/>
      </c>
      <c r="BD82" s="102" t="str">
        <f t="shared" si="32"/>
        <v/>
      </c>
      <c r="BE82" s="102" t="str">
        <f t="shared" si="33"/>
        <v/>
      </c>
      <c r="BF82" s="102" t="str">
        <f t="shared" si="34"/>
        <v/>
      </c>
      <c r="BG82" s="102" t="str">
        <f t="shared" si="35"/>
        <v/>
      </c>
      <c r="BH82" s="102" t="str">
        <f t="shared" si="36"/>
        <v/>
      </c>
      <c r="BI82" s="102" t="str">
        <f t="shared" si="37"/>
        <v/>
      </c>
      <c r="BJ82" s="102" t="str">
        <f t="shared" si="38"/>
        <v/>
      </c>
      <c r="BK82" s="102" t="str">
        <f t="shared" si="39"/>
        <v/>
      </c>
      <c r="BL82" s="102" t="str">
        <f t="shared" si="40"/>
        <v/>
      </c>
      <c r="BM82" s="102" t="str">
        <f t="shared" si="41"/>
        <v/>
      </c>
      <c r="BN82" s="102" t="str">
        <f t="shared" si="42"/>
        <v/>
      </c>
      <c r="BO82" s="102" t="str">
        <f t="shared" si="43"/>
        <v/>
      </c>
      <c r="BP82" s="102" t="str">
        <f t="shared" si="44"/>
        <v/>
      </c>
      <c r="BQ82" s="102" t="str">
        <f t="shared" si="45"/>
        <v/>
      </c>
      <c r="BR82" s="102" t="str">
        <f t="shared" si="46"/>
        <v/>
      </c>
      <c r="BS82" s="102" t="str">
        <f t="shared" si="47"/>
        <v/>
      </c>
      <c r="BT82" s="102" t="str">
        <f t="shared" si="48"/>
        <v/>
      </c>
      <c r="BU82" s="101" t="str">
        <f t="shared" si="49"/>
        <v/>
      </c>
      <c r="BV82" s="296" t="str">
        <f t="shared" si="50"/>
        <v/>
      </c>
      <c r="BW82" s="102" t="s">
        <v>208</v>
      </c>
      <c r="BX82" s="102">
        <f>BR64</f>
        <v>0</v>
      </c>
    </row>
    <row r="83" spans="1:76" s="27" customFormat="1" ht="15.6" customHeight="1">
      <c r="B83" s="106">
        <v>18</v>
      </c>
      <c r="C83" s="150" t="str">
        <f t="shared" si="12"/>
        <v/>
      </c>
      <c r="D83" s="151" t="str">
        <f t="shared" si="13"/>
        <v/>
      </c>
      <c r="E83" s="259" t="str">
        <f t="shared" si="17"/>
        <v/>
      </c>
      <c r="F83" s="534"/>
      <c r="G83" s="535"/>
      <c r="H83" s="241" t="str">
        <f t="shared" si="18"/>
        <v/>
      </c>
      <c r="I83" s="227" t="str">
        <f t="shared" si="14"/>
        <v/>
      </c>
      <c r="J83" s="520" t="str">
        <f>IF(F83="","",VLOOKUP(F83,'11. Condition and Temporal'!$B$6:$F$101,5,FALSE))</f>
        <v/>
      </c>
      <c r="K83" s="521"/>
      <c r="L83" s="192" t="str">
        <f t="shared" si="19"/>
        <v/>
      </c>
      <c r="M83" s="553" t="str">
        <f t="shared" si="20"/>
        <v/>
      </c>
      <c r="N83" s="699"/>
      <c r="O83" s="79"/>
      <c r="P83" s="12"/>
      <c r="R83" s="568"/>
      <c r="U83" s="286" t="str">
        <f t="shared" si="21"/>
        <v/>
      </c>
      <c r="V83" s="145" t="str">
        <f t="shared" ref="V83:AC83" si="66">IF($D83="","",U28)</f>
        <v/>
      </c>
      <c r="W83" s="146" t="str">
        <f t="shared" si="66"/>
        <v/>
      </c>
      <c r="X83" s="145" t="str">
        <f t="shared" si="66"/>
        <v/>
      </c>
      <c r="Y83" s="146" t="str">
        <f t="shared" si="66"/>
        <v/>
      </c>
      <c r="Z83" s="145" t="str">
        <f t="shared" si="66"/>
        <v/>
      </c>
      <c r="AA83" s="147" t="str">
        <f t="shared" si="66"/>
        <v/>
      </c>
      <c r="AB83" s="146" t="str">
        <f t="shared" si="66"/>
        <v/>
      </c>
      <c r="AC83" s="145" t="str">
        <f t="shared" si="66"/>
        <v/>
      </c>
      <c r="AD83" s="147" t="str">
        <f t="shared" si="23"/>
        <v/>
      </c>
      <c r="AE83" s="146" t="str">
        <f t="shared" si="24"/>
        <v/>
      </c>
      <c r="AF83" s="288" t="str">
        <f t="shared" si="25"/>
        <v/>
      </c>
      <c r="AG83" s="144" t="str">
        <f t="shared" si="26"/>
        <v/>
      </c>
      <c r="AH83" s="145" t="str">
        <f>IF(D83="","",VLOOKUP(F83,'10. All Habitats + Multipliers'!$C$4:$K$99,5,FALSE))</f>
        <v/>
      </c>
      <c r="AI83" s="146" t="str">
        <f>IF(AH83="","",VLOOKUP(AH83,'12. Lists'!$B$47:$D$50,2,FALSE))</f>
        <v/>
      </c>
      <c r="AJ83" s="145" t="str">
        <f t="shared" si="27"/>
        <v/>
      </c>
      <c r="AK83" s="146" t="str">
        <f>IF(AJ83="","",VLOOKUP(AJ83,'12. Lists'!$F$47:$G$51,2,FALSE))</f>
        <v/>
      </c>
      <c r="AL83" s="145" t="str">
        <f>IF(D83="","",VLOOKUP(F83,'10. All Habitats + Multipliers'!$C$4:$K$99,9,FALSE))</f>
        <v/>
      </c>
      <c r="AM83" s="147" t="str">
        <f>IF(AL83="","",VLOOKUP(AL83,'12. Lists'!$B$36:$D$39,2,FALSE))</f>
        <v/>
      </c>
      <c r="AN83" s="146" t="str">
        <f>IF(AL83="","",VLOOKUP(AL83,'12. Lists'!$B$36:$D$39,3,FALSE))</f>
        <v/>
      </c>
      <c r="AO83" s="145" t="str">
        <f t="shared" si="28"/>
        <v/>
      </c>
      <c r="AP83" s="147" t="str">
        <f>IF(AO83="","",VLOOKUP(AO83,'12. Lists'!$F$36:$H$38,2,FALSE))</f>
        <v/>
      </c>
      <c r="AQ83" s="146" t="str">
        <f>IF(AO83="","",VLOOKUP(AO83,'12. Lists'!$F$36:$H$38,3,FALSE))</f>
        <v/>
      </c>
      <c r="AR83" s="145" t="str">
        <f>IF(D83="","",VLOOKUP(F83,'11. Condition and Temporal'!$B$6:$J$101,9,FALSE))</f>
        <v/>
      </c>
      <c r="AS83" s="149" t="str">
        <f>IF(AR83="","",VLOOKUP(AR83,'12. Lists'!$I$47:$K$80,3,FALSE))</f>
        <v/>
      </c>
      <c r="AT83" s="175" t="str">
        <f>IF(D83="","",VLOOKUP(F83,'11. Condition and Temporal'!$B$6:$K$104,10,FALSE))</f>
        <v/>
      </c>
      <c r="AU83" s="149" t="str">
        <f>IF(AT83="","",VLOOKUP(AT83,'12. Lists'!$I$47:$K$80,3,FALSE))</f>
        <v/>
      </c>
      <c r="AV83" s="148" t="str">
        <f>IF(D83="","",VLOOKUP(F83,'10. All Habitats + Multipliers'!$C$4:$K$99,8,FALSE))</f>
        <v/>
      </c>
      <c r="AW83" s="146" t="str">
        <f>IF(AV83="","",VLOOKUP(AV83,'12. Lists'!$J$35:$K$38,2,FALSE))</f>
        <v/>
      </c>
      <c r="AX83" s="145" t="str">
        <f>IF(D83="","",VLOOKUP(D83,'11. Condition and Temporal'!$B$6:$K$101,4,FALSE))</f>
        <v/>
      </c>
      <c r="AY83" s="146" t="str">
        <f t="shared" si="29"/>
        <v/>
      </c>
      <c r="AZ83" s="327"/>
      <c r="BA83" s="100">
        <v>18</v>
      </c>
      <c r="BB83" s="102" t="str">
        <f t="shared" si="30"/>
        <v/>
      </c>
      <c r="BC83" s="102" t="str">
        <f t="shared" si="31"/>
        <v/>
      </c>
      <c r="BD83" s="102" t="str">
        <f t="shared" si="32"/>
        <v/>
      </c>
      <c r="BE83" s="102" t="str">
        <f t="shared" si="33"/>
        <v/>
      </c>
      <c r="BF83" s="102" t="str">
        <f t="shared" si="34"/>
        <v/>
      </c>
      <c r="BG83" s="102" t="str">
        <f t="shared" si="35"/>
        <v/>
      </c>
      <c r="BH83" s="102" t="str">
        <f t="shared" si="36"/>
        <v/>
      </c>
      <c r="BI83" s="102" t="str">
        <f t="shared" si="37"/>
        <v/>
      </c>
      <c r="BJ83" s="102" t="str">
        <f t="shared" si="38"/>
        <v/>
      </c>
      <c r="BK83" s="102" t="str">
        <f t="shared" si="39"/>
        <v/>
      </c>
      <c r="BL83" s="102" t="str">
        <f t="shared" si="40"/>
        <v/>
      </c>
      <c r="BM83" s="102" t="str">
        <f t="shared" si="41"/>
        <v/>
      </c>
      <c r="BN83" s="102" t="str">
        <f t="shared" si="42"/>
        <v/>
      </c>
      <c r="BO83" s="102" t="str">
        <f t="shared" si="43"/>
        <v/>
      </c>
      <c r="BP83" s="102" t="str">
        <f t="shared" si="44"/>
        <v/>
      </c>
      <c r="BQ83" s="102" t="str">
        <f t="shared" si="45"/>
        <v/>
      </c>
      <c r="BR83" s="102" t="str">
        <f t="shared" si="46"/>
        <v/>
      </c>
      <c r="BS83" s="102" t="str">
        <f t="shared" si="47"/>
        <v/>
      </c>
      <c r="BT83" s="102" t="str">
        <f t="shared" si="48"/>
        <v/>
      </c>
      <c r="BU83" s="101" t="str">
        <f t="shared" si="49"/>
        <v/>
      </c>
      <c r="BV83" s="296" t="str">
        <f t="shared" si="50"/>
        <v/>
      </c>
      <c r="BW83" s="102" t="s">
        <v>209</v>
      </c>
      <c r="BX83" s="102">
        <f>BS64</f>
        <v>0</v>
      </c>
    </row>
    <row r="84" spans="1:76" s="27" customFormat="1" ht="15.6" customHeight="1">
      <c r="B84" s="106">
        <v>19</v>
      </c>
      <c r="C84" s="150" t="str">
        <f t="shared" si="12"/>
        <v/>
      </c>
      <c r="D84" s="151" t="str">
        <f t="shared" si="13"/>
        <v/>
      </c>
      <c r="E84" s="259" t="str">
        <f t="shared" si="17"/>
        <v/>
      </c>
      <c r="F84" s="534"/>
      <c r="G84" s="535"/>
      <c r="H84" s="241" t="str">
        <f t="shared" si="18"/>
        <v/>
      </c>
      <c r="I84" s="227" t="str">
        <f t="shared" si="14"/>
        <v/>
      </c>
      <c r="J84" s="520" t="str">
        <f>IF(F84="","",VLOOKUP(F84,'11. Condition and Temporal'!$B$6:$F$101,5,FALSE))</f>
        <v/>
      </c>
      <c r="K84" s="521"/>
      <c r="L84" s="192" t="str">
        <f t="shared" si="19"/>
        <v/>
      </c>
      <c r="M84" s="553" t="str">
        <f t="shared" si="20"/>
        <v/>
      </c>
      <c r="N84" s="699"/>
      <c r="O84" s="79"/>
      <c r="P84" s="12"/>
      <c r="R84" s="568"/>
      <c r="U84" s="286" t="str">
        <f t="shared" si="21"/>
        <v/>
      </c>
      <c r="V84" s="145" t="str">
        <f t="shared" ref="V84:AC84" si="67">IF($D84="","",U29)</f>
        <v/>
      </c>
      <c r="W84" s="146" t="str">
        <f t="shared" si="67"/>
        <v/>
      </c>
      <c r="X84" s="145" t="str">
        <f t="shared" si="67"/>
        <v/>
      </c>
      <c r="Y84" s="146" t="str">
        <f t="shared" si="67"/>
        <v/>
      </c>
      <c r="Z84" s="145" t="str">
        <f t="shared" si="67"/>
        <v/>
      </c>
      <c r="AA84" s="147" t="str">
        <f t="shared" si="67"/>
        <v/>
      </c>
      <c r="AB84" s="146" t="str">
        <f t="shared" si="67"/>
        <v/>
      </c>
      <c r="AC84" s="145" t="str">
        <f t="shared" si="67"/>
        <v/>
      </c>
      <c r="AD84" s="147" t="str">
        <f t="shared" si="23"/>
        <v/>
      </c>
      <c r="AE84" s="146" t="str">
        <f t="shared" si="24"/>
        <v/>
      </c>
      <c r="AF84" s="288" t="str">
        <f t="shared" si="25"/>
        <v/>
      </c>
      <c r="AG84" s="144" t="str">
        <f t="shared" si="26"/>
        <v/>
      </c>
      <c r="AH84" s="145" t="str">
        <f>IF(D84="","",VLOOKUP(F84,'10. All Habitats + Multipliers'!$C$4:$K$99,5,FALSE))</f>
        <v/>
      </c>
      <c r="AI84" s="146" t="str">
        <f>IF(AH84="","",VLOOKUP(AH84,'12. Lists'!$B$47:$D$50,2,FALSE))</f>
        <v/>
      </c>
      <c r="AJ84" s="145" t="str">
        <f t="shared" si="27"/>
        <v/>
      </c>
      <c r="AK84" s="146" t="str">
        <f>IF(AJ84="","",VLOOKUP(AJ84,'12. Lists'!$F$47:$G$51,2,FALSE))</f>
        <v/>
      </c>
      <c r="AL84" s="145" t="str">
        <f>IF(D84="","",VLOOKUP(F84,'10. All Habitats + Multipliers'!$C$4:$K$99,9,FALSE))</f>
        <v/>
      </c>
      <c r="AM84" s="147" t="str">
        <f>IF(AL84="","",VLOOKUP(AL84,'12. Lists'!$B$36:$D$39,2,FALSE))</f>
        <v/>
      </c>
      <c r="AN84" s="146" t="str">
        <f>IF(AL84="","",VLOOKUP(AL84,'12. Lists'!$B$36:$D$39,3,FALSE))</f>
        <v/>
      </c>
      <c r="AO84" s="145" t="str">
        <f t="shared" si="28"/>
        <v/>
      </c>
      <c r="AP84" s="147" t="str">
        <f>IF(AO84="","",VLOOKUP(AO84,'12. Lists'!$F$36:$H$38,2,FALSE))</f>
        <v/>
      </c>
      <c r="AQ84" s="146" t="str">
        <f>IF(AO84="","",VLOOKUP(AO84,'12. Lists'!$F$36:$H$38,3,FALSE))</f>
        <v/>
      </c>
      <c r="AR84" s="145" t="str">
        <f>IF(D84="","",VLOOKUP(F84,'11. Condition and Temporal'!$B$6:$J$101,9,FALSE))</f>
        <v/>
      </c>
      <c r="AS84" s="149" t="str">
        <f>IF(AR84="","",VLOOKUP(AR84,'12. Lists'!$I$47:$K$80,3,FALSE))</f>
        <v/>
      </c>
      <c r="AT84" s="175" t="str">
        <f>IF(D84="","",VLOOKUP(F84,'11. Condition and Temporal'!$B$6:$K$104,10,FALSE))</f>
        <v/>
      </c>
      <c r="AU84" s="149" t="str">
        <f>IF(AT84="","",VLOOKUP(AT84,'12. Lists'!$I$47:$K$80,3,FALSE))</f>
        <v/>
      </c>
      <c r="AV84" s="148" t="str">
        <f>IF(D84="","",VLOOKUP(F84,'10. All Habitats + Multipliers'!$C$4:$K$99,8,FALSE))</f>
        <v/>
      </c>
      <c r="AW84" s="146" t="str">
        <f>IF(AV84="","",VLOOKUP(AV84,'12. Lists'!$J$35:$K$38,2,FALSE))</f>
        <v/>
      </c>
      <c r="AX84" s="145" t="str">
        <f>IF(D84="","",VLOOKUP(D84,'11. Condition and Temporal'!$B$6:$K$101,4,FALSE))</f>
        <v/>
      </c>
      <c r="AY84" s="146" t="str">
        <f t="shared" si="29"/>
        <v/>
      </c>
      <c r="AZ84" s="327"/>
      <c r="BA84" s="100">
        <v>19</v>
      </c>
      <c r="BB84" s="102" t="str">
        <f t="shared" si="30"/>
        <v/>
      </c>
      <c r="BC84" s="102" t="str">
        <f t="shared" si="31"/>
        <v/>
      </c>
      <c r="BD84" s="102" t="str">
        <f t="shared" si="32"/>
        <v/>
      </c>
      <c r="BE84" s="102" t="str">
        <f t="shared" si="33"/>
        <v/>
      </c>
      <c r="BF84" s="102" t="str">
        <f t="shared" si="34"/>
        <v/>
      </c>
      <c r="BG84" s="102" t="str">
        <f t="shared" si="35"/>
        <v/>
      </c>
      <c r="BH84" s="102" t="str">
        <f t="shared" si="36"/>
        <v/>
      </c>
      <c r="BI84" s="102" t="str">
        <f t="shared" si="37"/>
        <v/>
      </c>
      <c r="BJ84" s="102" t="str">
        <f t="shared" si="38"/>
        <v/>
      </c>
      <c r="BK84" s="102" t="str">
        <f t="shared" si="39"/>
        <v/>
      </c>
      <c r="BL84" s="102" t="str">
        <f t="shared" si="40"/>
        <v/>
      </c>
      <c r="BM84" s="102" t="str">
        <f t="shared" si="41"/>
        <v/>
      </c>
      <c r="BN84" s="102" t="str">
        <f t="shared" si="42"/>
        <v/>
      </c>
      <c r="BO84" s="102" t="str">
        <f t="shared" si="43"/>
        <v/>
      </c>
      <c r="BP84" s="102" t="str">
        <f t="shared" si="44"/>
        <v/>
      </c>
      <c r="BQ84" s="102" t="str">
        <f t="shared" si="45"/>
        <v/>
      </c>
      <c r="BR84" s="102" t="str">
        <f t="shared" si="46"/>
        <v/>
      </c>
      <c r="BS84" s="102" t="str">
        <f t="shared" si="47"/>
        <v/>
      </c>
      <c r="BT84" s="102" t="str">
        <f t="shared" si="48"/>
        <v/>
      </c>
      <c r="BU84" s="101" t="str">
        <f t="shared" si="49"/>
        <v/>
      </c>
      <c r="BV84" s="296" t="str">
        <f t="shared" si="50"/>
        <v/>
      </c>
      <c r="BW84" s="102" t="s">
        <v>210</v>
      </c>
      <c r="BX84" s="102">
        <f>BT64</f>
        <v>0</v>
      </c>
    </row>
    <row r="85" spans="1:76" s="27" customFormat="1" ht="16.149999999999999" customHeight="1" thickBot="1">
      <c r="B85" s="130">
        <v>20</v>
      </c>
      <c r="C85" s="180" t="str">
        <f t="shared" si="12"/>
        <v/>
      </c>
      <c r="D85" s="181" t="str">
        <f t="shared" si="13"/>
        <v/>
      </c>
      <c r="E85" s="261" t="str">
        <f t="shared" si="17"/>
        <v/>
      </c>
      <c r="F85" s="538"/>
      <c r="G85" s="539"/>
      <c r="H85" s="242" t="str">
        <f t="shared" si="18"/>
        <v/>
      </c>
      <c r="I85" s="364" t="str">
        <f t="shared" si="14"/>
        <v/>
      </c>
      <c r="J85" s="701" t="str">
        <f>IF(F85="","",VLOOKUP(F85,'11. Condition and Temporal'!$B$6:$F$101,5,FALSE))</f>
        <v/>
      </c>
      <c r="K85" s="702"/>
      <c r="L85" s="192" t="str">
        <f t="shared" si="19"/>
        <v/>
      </c>
      <c r="M85" s="553" t="str">
        <f t="shared" si="20"/>
        <v/>
      </c>
      <c r="N85" s="699"/>
      <c r="O85" s="80"/>
      <c r="P85" s="14"/>
      <c r="R85" s="568"/>
      <c r="U85" s="286" t="str">
        <f t="shared" si="21"/>
        <v/>
      </c>
      <c r="V85" s="145" t="str">
        <f t="shared" ref="V85:AC85" si="68">IF($D85="","",U30)</f>
        <v/>
      </c>
      <c r="W85" s="146" t="str">
        <f t="shared" si="68"/>
        <v/>
      </c>
      <c r="X85" s="145" t="str">
        <f t="shared" si="68"/>
        <v/>
      </c>
      <c r="Y85" s="146" t="str">
        <f t="shared" si="68"/>
        <v/>
      </c>
      <c r="Z85" s="145" t="str">
        <f t="shared" si="68"/>
        <v/>
      </c>
      <c r="AA85" s="147" t="str">
        <f t="shared" si="68"/>
        <v/>
      </c>
      <c r="AB85" s="146" t="str">
        <f t="shared" si="68"/>
        <v/>
      </c>
      <c r="AC85" s="145" t="str">
        <f t="shared" si="68"/>
        <v/>
      </c>
      <c r="AD85" s="147" t="str">
        <f t="shared" si="23"/>
        <v/>
      </c>
      <c r="AE85" s="146" t="str">
        <f t="shared" si="24"/>
        <v/>
      </c>
      <c r="AF85" s="288" t="str">
        <f t="shared" si="25"/>
        <v/>
      </c>
      <c r="AG85" s="144" t="str">
        <f t="shared" si="26"/>
        <v/>
      </c>
      <c r="AH85" s="145" t="str">
        <f>IF(D85="","",VLOOKUP(F85,'10. All Habitats + Multipliers'!$C$4:$K$99,5,FALSE))</f>
        <v/>
      </c>
      <c r="AI85" s="146" t="str">
        <f>IF(AH85="","",VLOOKUP(AH85,'12. Lists'!$B$47:$D$50,2,FALSE))</f>
        <v/>
      </c>
      <c r="AJ85" s="145" t="str">
        <f t="shared" si="27"/>
        <v/>
      </c>
      <c r="AK85" s="146" t="str">
        <f>IF(AJ85="","",VLOOKUP(AJ85,'12. Lists'!$F$47:$G$51,2,FALSE))</f>
        <v/>
      </c>
      <c r="AL85" s="145" t="str">
        <f>IF(D85="","",VLOOKUP(F85,'10. All Habitats + Multipliers'!$C$4:$K$99,9,FALSE))</f>
        <v/>
      </c>
      <c r="AM85" s="147" t="str">
        <f>IF(AL85="","",VLOOKUP(AL85,'12. Lists'!$B$36:$D$39,2,FALSE))</f>
        <v/>
      </c>
      <c r="AN85" s="146" t="str">
        <f>IF(AL85="","",VLOOKUP(AL85,'12. Lists'!$B$36:$D$39,3,FALSE))</f>
        <v/>
      </c>
      <c r="AO85" s="145" t="str">
        <f t="shared" si="28"/>
        <v/>
      </c>
      <c r="AP85" s="147" t="str">
        <f>IF(AO85="","",VLOOKUP(AO85,'12. Lists'!$F$36:$H$38,2,FALSE))</f>
        <v/>
      </c>
      <c r="AQ85" s="146" t="str">
        <f>IF(AO85="","",VLOOKUP(AO85,'12. Lists'!$F$36:$H$38,3,FALSE))</f>
        <v/>
      </c>
      <c r="AR85" s="145" t="str">
        <f>IF(D85="","",VLOOKUP(F85,'11. Condition and Temporal'!$B$6:$J$101,9,FALSE))</f>
        <v/>
      </c>
      <c r="AS85" s="149" t="str">
        <f>IF(AR85="","",VLOOKUP(AR85,'12. Lists'!$I$47:$K$80,3,FALSE))</f>
        <v/>
      </c>
      <c r="AT85" s="175" t="str">
        <f>IF(D85="","",VLOOKUP(F85,'11. Condition and Temporal'!$B$6:$K$104,10,FALSE))</f>
        <v/>
      </c>
      <c r="AU85" s="149" t="str">
        <f>IF(AT85="","",VLOOKUP(AT85,'12. Lists'!$I$47:$K$80,3,FALSE))</f>
        <v/>
      </c>
      <c r="AV85" s="148" t="str">
        <f>IF(D85="","",VLOOKUP(F85,'10. All Habitats + Multipliers'!$C$4:$K$99,8,FALSE))</f>
        <v/>
      </c>
      <c r="AW85" s="146" t="str">
        <f>IF(AV85="","",VLOOKUP(AV85,'12. Lists'!$J$35:$K$38,2,FALSE))</f>
        <v/>
      </c>
      <c r="AX85" s="145" t="str">
        <f>IF(D85="","",VLOOKUP(D85,'11. Condition and Temporal'!$B$6:$K$101,4,FALSE))</f>
        <v/>
      </c>
      <c r="AY85" s="146" t="str">
        <f t="shared" si="29"/>
        <v/>
      </c>
      <c r="AZ85" s="327"/>
      <c r="BA85" s="116">
        <v>20</v>
      </c>
      <c r="BB85" s="102" t="str">
        <f t="shared" si="30"/>
        <v/>
      </c>
      <c r="BC85" s="102" t="str">
        <f t="shared" si="31"/>
        <v/>
      </c>
      <c r="BD85" s="102" t="str">
        <f t="shared" si="32"/>
        <v/>
      </c>
      <c r="BE85" s="102" t="str">
        <f t="shared" si="33"/>
        <v/>
      </c>
      <c r="BF85" s="102" t="str">
        <f t="shared" si="34"/>
        <v/>
      </c>
      <c r="BG85" s="102" t="str">
        <f t="shared" si="35"/>
        <v/>
      </c>
      <c r="BH85" s="102" t="str">
        <f t="shared" si="36"/>
        <v/>
      </c>
      <c r="BI85" s="102" t="str">
        <f t="shared" si="37"/>
        <v/>
      </c>
      <c r="BJ85" s="102" t="str">
        <f t="shared" si="38"/>
        <v/>
      </c>
      <c r="BK85" s="102" t="str">
        <f t="shared" si="39"/>
        <v/>
      </c>
      <c r="BL85" s="102" t="str">
        <f t="shared" si="40"/>
        <v/>
      </c>
      <c r="BM85" s="102" t="str">
        <f t="shared" si="41"/>
        <v/>
      </c>
      <c r="BN85" s="102" t="str">
        <f t="shared" si="42"/>
        <v/>
      </c>
      <c r="BO85" s="102" t="str">
        <f t="shared" si="43"/>
        <v/>
      </c>
      <c r="BP85" s="102" t="str">
        <f t="shared" si="44"/>
        <v/>
      </c>
      <c r="BQ85" s="102" t="str">
        <f t="shared" si="45"/>
        <v/>
      </c>
      <c r="BR85" s="102" t="str">
        <f t="shared" si="46"/>
        <v/>
      </c>
      <c r="BS85" s="102" t="str">
        <f t="shared" si="47"/>
        <v/>
      </c>
      <c r="BT85" s="102" t="str">
        <f t="shared" si="48"/>
        <v/>
      </c>
      <c r="BU85" s="101" t="str">
        <f t="shared" si="49"/>
        <v/>
      </c>
      <c r="BV85" s="296" t="str">
        <f t="shared" si="50"/>
        <v/>
      </c>
      <c r="BW85" s="102" t="s">
        <v>211</v>
      </c>
      <c r="BX85" s="102">
        <f>BU64</f>
        <v>0</v>
      </c>
    </row>
    <row r="86" spans="1:76" s="27" customFormat="1" ht="15" thickBot="1">
      <c r="H86" s="137" t="s">
        <v>262</v>
      </c>
      <c r="I86" s="228">
        <f>SUM(I66:I85)</f>
        <v>0</v>
      </c>
      <c r="J86" s="152"/>
      <c r="K86" s="153"/>
      <c r="L86" s="207">
        <f>SUM(L66:L85)</f>
        <v>0</v>
      </c>
      <c r="M86" s="526">
        <f>SUM(M66:N85)</f>
        <v>0</v>
      </c>
      <c r="N86" s="527"/>
      <c r="R86" s="568"/>
    </row>
    <row r="87" spans="1:76" s="27" customFormat="1">
      <c r="C87" s="28"/>
      <c r="R87" s="568"/>
    </row>
    <row r="88" spans="1:76" s="27" customFormat="1">
      <c r="R88" s="568"/>
    </row>
    <row r="89" spans="1:76" s="27" customFormat="1" ht="19.149999999999999" customHeight="1">
      <c r="R89" s="568"/>
    </row>
    <row r="90" spans="1:76" s="27" customFormat="1">
      <c r="R90" s="568"/>
    </row>
    <row r="91" spans="1:76" s="27" customFormat="1">
      <c r="A91" s="572" t="s">
        <v>228</v>
      </c>
      <c r="B91" s="572"/>
      <c r="C91" s="572"/>
      <c r="D91" s="572"/>
      <c r="E91" s="572"/>
      <c r="F91" s="572"/>
      <c r="G91" s="572"/>
      <c r="H91" s="572"/>
      <c r="I91" s="572"/>
      <c r="J91" s="572"/>
      <c r="K91" s="572"/>
      <c r="L91" s="572"/>
      <c r="M91" s="572"/>
      <c r="N91" s="572"/>
      <c r="O91" s="572"/>
      <c r="P91" s="572"/>
      <c r="Q91" s="572"/>
      <c r="R91" s="568"/>
    </row>
    <row r="92" spans="1:76" s="27" customFormat="1">
      <c r="A92" s="572"/>
      <c r="B92" s="572"/>
      <c r="C92" s="572"/>
      <c r="D92" s="572"/>
      <c r="E92" s="572"/>
      <c r="F92" s="572"/>
      <c r="G92" s="572"/>
      <c r="H92" s="572"/>
      <c r="I92" s="572"/>
      <c r="J92" s="572"/>
      <c r="K92" s="572"/>
      <c r="L92" s="572"/>
      <c r="M92" s="572"/>
      <c r="N92" s="572"/>
      <c r="O92" s="572"/>
      <c r="P92" s="572"/>
      <c r="Q92" s="572"/>
      <c r="R92" s="568"/>
    </row>
    <row r="93" spans="1:76" s="27" customFormat="1">
      <c r="A93" s="572"/>
      <c r="B93" s="572"/>
      <c r="C93" s="572"/>
      <c r="D93" s="572"/>
      <c r="E93" s="572"/>
      <c r="F93" s="572"/>
      <c r="G93" s="572"/>
      <c r="H93" s="572"/>
      <c r="I93" s="572"/>
      <c r="J93" s="572"/>
      <c r="K93" s="572"/>
      <c r="L93" s="572"/>
      <c r="M93" s="572"/>
      <c r="N93" s="572"/>
      <c r="O93" s="572"/>
      <c r="P93" s="572"/>
      <c r="Q93" s="572"/>
      <c r="R93" s="568"/>
    </row>
    <row r="94" spans="1:76" s="27" customFormat="1">
      <c r="R94" s="568"/>
    </row>
    <row r="95" spans="1:76" s="27" customFormat="1" ht="21">
      <c r="B95" s="62" t="s">
        <v>229</v>
      </c>
      <c r="D95" s="28"/>
      <c r="E95" s="28"/>
      <c r="F95" s="28"/>
      <c r="G95" s="28"/>
      <c r="R95" s="568"/>
    </row>
    <row r="96" spans="1:76" s="27" customFormat="1" ht="15" thickBot="1">
      <c r="R96" s="568"/>
    </row>
    <row r="97" spans="2:18" s="27" customFormat="1" ht="36.6" customHeight="1">
      <c r="B97" s="585" t="s">
        <v>230</v>
      </c>
      <c r="C97" s="586"/>
      <c r="D97" s="587"/>
      <c r="E97" s="566" t="str">
        <f>IF(SUM(J103:J106)&gt;0,"Error - Trading Rules Not Satisfied - Insufficent Medium Distinctivness Units Created","Trading Rules Satisfied")</f>
        <v>Trading Rules Satisfied</v>
      </c>
      <c r="F97" s="566"/>
      <c r="G97" s="566"/>
      <c r="H97" s="566"/>
      <c r="I97" s="567"/>
      <c r="J97" s="230">
        <f>IFERROR(FIND("Error",E97),0)</f>
        <v>0</v>
      </c>
      <c r="R97" s="568"/>
    </row>
    <row r="98" spans="2:18" s="27" customFormat="1" ht="36" customHeight="1" thickBot="1">
      <c r="B98" s="573" t="s">
        <v>231</v>
      </c>
      <c r="C98" s="574"/>
      <c r="D98" s="575"/>
      <c r="E98" s="564" t="str">
        <f>IF(SUM(J109:J111)&gt;0,"Error - Trading Rules Not Satisfied - Insufficent Units Created Within Habitat Groups","Trading Rules Satisfied")</f>
        <v>Trading Rules Satisfied</v>
      </c>
      <c r="F98" s="564"/>
      <c r="G98" s="564"/>
      <c r="H98" s="564"/>
      <c r="I98" s="565"/>
      <c r="J98" s="230">
        <f>IFERROR(FIND("Error",E98),0)</f>
        <v>0</v>
      </c>
      <c r="R98" s="568"/>
    </row>
    <row r="99" spans="2:18" s="27" customFormat="1">
      <c r="R99" s="568"/>
    </row>
    <row r="100" spans="2:18" s="27" customFormat="1" ht="21">
      <c r="B100" s="62" t="s">
        <v>232</v>
      </c>
      <c r="R100" s="568"/>
    </row>
    <row r="101" spans="2:18" s="27" customFormat="1" ht="15" thickBot="1">
      <c r="R101" s="568"/>
    </row>
    <row r="102" spans="2:18" s="27" customFormat="1" ht="36.6" customHeight="1">
      <c r="B102" s="625" t="s">
        <v>233</v>
      </c>
      <c r="C102" s="626"/>
      <c r="D102" s="626"/>
      <c r="E102" s="350" t="s">
        <v>234</v>
      </c>
      <c r="F102" s="350" t="s">
        <v>235</v>
      </c>
      <c r="G102" s="350" t="s">
        <v>236</v>
      </c>
      <c r="H102" s="350" t="s">
        <v>237</v>
      </c>
      <c r="I102" s="154" t="s">
        <v>238</v>
      </c>
      <c r="J102" s="230" t="s">
        <v>267</v>
      </c>
      <c r="R102" s="568"/>
    </row>
    <row r="103" spans="2:18" s="27" customFormat="1" ht="15.6" customHeight="1">
      <c r="B103" s="627" t="s">
        <v>260</v>
      </c>
      <c r="C103" s="628"/>
      <c r="D103" s="629"/>
      <c r="E103" s="155" t="s">
        <v>240</v>
      </c>
      <c r="F103" s="156">
        <f>SUMIFS($L$11:$L$30,$C$11:$C$30,$B103,$U$11:$U$30,$E103)</f>
        <v>0</v>
      </c>
      <c r="G103" s="156">
        <f>SUMIFS($L$39:$L$58,$C$39:$C$58,$B103,$U$39:$U$58,$E103)+SUMIFS($L$66:$L$85,$C$66:$C$85,B103,$AH$66:$AH$85,E103)+SUMIFS($AE$11:$AE$30,$C$11:$C$30,B103,$U$11:$U$30,E103)</f>
        <v>0</v>
      </c>
      <c r="H103" s="156">
        <f>G103-F103</f>
        <v>0</v>
      </c>
      <c r="I103" s="157" t="s">
        <v>241</v>
      </c>
      <c r="J103" s="230">
        <f>IF(I103="No",1,0)</f>
        <v>0</v>
      </c>
      <c r="R103" s="568"/>
    </row>
    <row r="104" spans="2:18" s="27" customFormat="1" ht="15.6" customHeight="1">
      <c r="B104" s="630"/>
      <c r="C104" s="631"/>
      <c r="D104" s="632"/>
      <c r="E104" s="158" t="s">
        <v>242</v>
      </c>
      <c r="F104" s="156">
        <f>SUMIFS($L$11:$L$30,$C$11:$C$30,$B103,$U$11:$U$30,$E104)</f>
        <v>0</v>
      </c>
      <c r="G104" s="156">
        <f>SUMIFS($L$39:$L$58,$C$39:$C$58,$B103,$U$39:$U$58,$E104)+SUMIFS($L$66:$L$85,$C$66:$C$85,B103,$AH$66:$AH$85,E104)+SUMIFS($AE$11:$AE$30,$C$11:$C$30,B103,$U$11:$U$30,E104)</f>
        <v>0.31565178586632003</v>
      </c>
      <c r="H104" s="156">
        <f>G104-F104</f>
        <v>0.31565178586632003</v>
      </c>
      <c r="I104" s="159" t="str">
        <f>IF(F104=0,"N/A",IF(H104&lt;0,"No","Yes"))</f>
        <v>N/A</v>
      </c>
      <c r="J104" s="230">
        <f t="shared" ref="J104:J106" si="69">IF(I104="No",1,0)</f>
        <v>0</v>
      </c>
      <c r="R104" s="568"/>
    </row>
    <row r="105" spans="2:18" s="27" customFormat="1" ht="15.6" customHeight="1">
      <c r="B105" s="627" t="s">
        <v>268</v>
      </c>
      <c r="C105" s="628"/>
      <c r="D105" s="629"/>
      <c r="E105" s="155" t="s">
        <v>240</v>
      </c>
      <c r="F105" s="156">
        <f>SUMIFS($L$11:$L$30,$C$11:$C$30,$B105,$U$11:$U$30,$E105)</f>
        <v>0</v>
      </c>
      <c r="G105" s="156">
        <f>SUMIFS($L$39:$L$58,$C$39:$C$58,$B105,$U$39:$U$58,$E105)+SUMIFS($L$66:$L$85,$C$66:$C$85,B105,$AH$66:$AH$85,E105)+SUMIFS($AE$11:$AE$30,$C$11:$C$30,B105,$U$11:$U$30,E105)</f>
        <v>0</v>
      </c>
      <c r="H105" s="156">
        <f>G105-F105</f>
        <v>0</v>
      </c>
      <c r="I105" s="157" t="s">
        <v>241</v>
      </c>
      <c r="J105" s="230">
        <f t="shared" si="69"/>
        <v>0</v>
      </c>
      <c r="R105" s="568"/>
    </row>
    <row r="106" spans="2:18" s="27" customFormat="1" ht="15.6" customHeight="1" thickBot="1">
      <c r="B106" s="642"/>
      <c r="C106" s="643"/>
      <c r="D106" s="700"/>
      <c r="E106" s="361" t="s">
        <v>242</v>
      </c>
      <c r="F106" s="362">
        <f>SUMIFS($L$11:$L$30,$C$11:$C$30,$B105,$U$11:$U$30,$E106)</f>
        <v>0</v>
      </c>
      <c r="G106" s="362">
        <f>SUMIFS($L$39:$L$58,$C$39:$C$58,$B105,$U$39:$U$58,$E106)+SUMIFS($L$66:$L$85,$C$66:$C$85,B105,$AH$66:$AH$85,E106)+SUMIFS($AE$11:$AE$30,$C$11:$C$30,B105,$U$11:$U$30,E106)</f>
        <v>0</v>
      </c>
      <c r="H106" s="362">
        <f>G106-F106</f>
        <v>0</v>
      </c>
      <c r="I106" s="363" t="str">
        <f t="shared" ref="I106" si="70">IF(F106=0,"N/A",IF(H106&lt;0,"No","Yes"))</f>
        <v>N/A</v>
      </c>
      <c r="J106" s="230">
        <f t="shared" si="69"/>
        <v>0</v>
      </c>
      <c r="R106" s="568"/>
    </row>
    <row r="107" spans="2:18" s="27" customFormat="1" ht="15.6" customHeight="1" thickBot="1">
      <c r="J107" s="230"/>
      <c r="M107" s="28"/>
      <c r="R107" s="568"/>
    </row>
    <row r="108" spans="2:18" s="27" customFormat="1" ht="36">
      <c r="B108" s="585" t="s">
        <v>234</v>
      </c>
      <c r="C108" s="586"/>
      <c r="D108" s="586"/>
      <c r="E108" s="587"/>
      <c r="F108" s="160" t="s">
        <v>235</v>
      </c>
      <c r="G108" s="160" t="s">
        <v>236</v>
      </c>
      <c r="H108" s="160" t="s">
        <v>237</v>
      </c>
      <c r="I108" s="161" t="s">
        <v>238</v>
      </c>
      <c r="J108" s="230"/>
      <c r="M108" s="28"/>
      <c r="R108" s="568"/>
    </row>
    <row r="109" spans="2:18" s="27" customFormat="1" ht="30.6" customHeight="1">
      <c r="B109" s="636" t="s">
        <v>249</v>
      </c>
      <c r="C109" s="637"/>
      <c r="D109" s="637"/>
      <c r="E109" s="638"/>
      <c r="F109" s="156">
        <f>SUMIFS($L$11:$L$30,$U$11:$U$30,"Medium")</f>
        <v>0</v>
      </c>
      <c r="G109" s="229">
        <f>IF(I59+I86+P1=0,0,SUMIFS($L$39:$L$58,$U$39:$U$58,"Medium")+SUMIFS($L$66:$L$85,$AH$66:$AH$85,"Medium")+SUMIFS($AE$11:$AE$30,$U$11:$U$30,"Medium"))</f>
        <v>0.31565178586632003</v>
      </c>
      <c r="H109" s="156">
        <f>IFERROR(G109-F109,"")</f>
        <v>0.31565178586632003</v>
      </c>
      <c r="I109" s="157" t="str">
        <f>IF(H109&gt;=0,"Yes","No")</f>
        <v>Yes</v>
      </c>
      <c r="J109" s="230">
        <f>IF(I109="No",1,0)</f>
        <v>0</v>
      </c>
      <c r="R109" s="568" t="s">
        <v>73</v>
      </c>
    </row>
    <row r="110" spans="2:18" s="27" customFormat="1" ht="30.6" customHeight="1">
      <c r="B110" s="636" t="s">
        <v>250</v>
      </c>
      <c r="C110" s="637"/>
      <c r="D110" s="637"/>
      <c r="E110" s="638"/>
      <c r="F110" s="156">
        <f>SUMIFS($L$11:$L$30,$U$11:$U$30,"Low")</f>
        <v>0</v>
      </c>
      <c r="G110" s="229">
        <f>IF(I59+I86+P1=0,0,SUMIFS($L$39:$L$58,$U$39:$U$58,"Low")+SUMIFS($M$66:$M$85,$AH$66:$AH$85,"Low")+SUMIFS($AE$11:$AE$30,$U$11:$U$30,"Low"))</f>
        <v>0</v>
      </c>
      <c r="H110" s="156">
        <f>IFERROR(G110-F110,"")</f>
        <v>0</v>
      </c>
      <c r="I110" s="157" t="str">
        <f>IF(H110+H109&gt;=0,"Yes","No")</f>
        <v>Yes</v>
      </c>
      <c r="J110" s="230">
        <f>IF(I110="No",1,0)</f>
        <v>0</v>
      </c>
      <c r="R110" s="568"/>
    </row>
    <row r="111" spans="2:18" s="27" customFormat="1" ht="29.45" customHeight="1" thickBot="1">
      <c r="B111" s="639" t="s">
        <v>251</v>
      </c>
      <c r="C111" s="640"/>
      <c r="D111" s="640"/>
      <c r="E111" s="641"/>
      <c r="F111" s="633">
        <f>IFERROR(H109+H110,"")</f>
        <v>0.31565178586632003</v>
      </c>
      <c r="G111" s="634"/>
      <c r="H111" s="635"/>
      <c r="I111" s="162" t="str">
        <f>IF(F111&gt;=0,"Yes","No")</f>
        <v>Yes</v>
      </c>
      <c r="J111" s="230">
        <f>IF(I111="No",1,0)</f>
        <v>0</v>
      </c>
      <c r="R111" s="568"/>
    </row>
    <row r="112" spans="2:18" s="27" customFormat="1">
      <c r="R112" s="568"/>
    </row>
    <row r="113" spans="18:18" s="27" customFormat="1">
      <c r="R113" s="568"/>
    </row>
    <row r="114" spans="18:18" s="27" customFormat="1">
      <c r="R114" s="568"/>
    </row>
    <row r="115" spans="18:18" s="27" customFormat="1">
      <c r="R115" s="568"/>
    </row>
    <row r="116" spans="18:18" s="27" customFormat="1">
      <c r="R116" s="568"/>
    </row>
    <row r="117" spans="18:18" s="27" customFormat="1">
      <c r="R117" s="568"/>
    </row>
    <row r="118" spans="18:18" s="27" customFormat="1">
      <c r="R118" s="568"/>
    </row>
    <row r="119" spans="18:18" s="27" customFormat="1">
      <c r="R119" s="568"/>
    </row>
    <row r="120" spans="18:18" s="27" customFormat="1">
      <c r="R120" s="568"/>
    </row>
    <row r="121" spans="18:18" s="27" customFormat="1">
      <c r="R121" s="568"/>
    </row>
    <row r="122" spans="18:18" s="27" customFormat="1">
      <c r="R122" s="568"/>
    </row>
    <row r="123" spans="18:18" s="27" customFormat="1">
      <c r="R123" s="568"/>
    </row>
    <row r="124" spans="18:18" s="27" customFormat="1">
      <c r="R124" s="568"/>
    </row>
    <row r="125" spans="18:18" s="27" customFormat="1">
      <c r="R125" s="568"/>
    </row>
    <row r="126" spans="18:18" s="27" customFormat="1">
      <c r="R126" s="568"/>
    </row>
    <row r="127" spans="18:18" s="27" customFormat="1">
      <c r="R127" s="568"/>
    </row>
    <row r="128" spans="18:18" s="27" customFormat="1">
      <c r="R128" s="568"/>
    </row>
    <row r="129" spans="18:18" s="27" customFormat="1">
      <c r="R129" s="568"/>
    </row>
    <row r="130" spans="18:18" s="27" customFormat="1">
      <c r="R130" s="568"/>
    </row>
    <row r="131" spans="18:18" s="27" customFormat="1">
      <c r="R131" s="568"/>
    </row>
    <row r="132" spans="18:18" s="27" customFormat="1">
      <c r="R132" s="568"/>
    </row>
    <row r="133" spans="18:18" s="27" customFormat="1">
      <c r="R133" s="568"/>
    </row>
    <row r="134" spans="18:18" s="27" customFormat="1">
      <c r="R134" s="568"/>
    </row>
    <row r="135" spans="18:18" s="27" customFormat="1">
      <c r="R135" s="568"/>
    </row>
    <row r="136" spans="18:18" s="27" customFormat="1">
      <c r="R136" s="568"/>
    </row>
    <row r="137" spans="18:18" s="27" customFormat="1">
      <c r="R137" s="568"/>
    </row>
    <row r="138" spans="18:18" s="27" customFormat="1">
      <c r="R138" s="568"/>
    </row>
    <row r="139" spans="18:18" s="27" customFormat="1">
      <c r="R139" s="568"/>
    </row>
    <row r="140" spans="18:18" s="27" customFormat="1">
      <c r="R140" s="568"/>
    </row>
  </sheetData>
  <sheetProtection algorithmName="SHA-512" hashValue="jgMgQOKMuax5z4RR0fCixPFjt/1jB53syO15pnfzyKYWgJ1vCB+ElrN/MYUtOB5JoYzDiGIyZfUMJPiNOPO7sw==" saltValue="WUPtUj1FUzSQXzEuNLY9rg==" spinCount="100000" sheet="1" formatRows="0"/>
  <mergeCells count="229">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U9:V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I32:N32"/>
    <mergeCell ref="R34:R62"/>
    <mergeCell ref="O37:P37"/>
    <mergeCell ref="F39:G39"/>
    <mergeCell ref="I39:K39"/>
    <mergeCell ref="L39:N39"/>
    <mergeCell ref="D28:E28"/>
    <mergeCell ref="F28:H28"/>
    <mergeCell ref="D29:E29"/>
    <mergeCell ref="F29:H29"/>
    <mergeCell ref="D30:E30"/>
    <mergeCell ref="F30:H30"/>
    <mergeCell ref="F42:G42"/>
    <mergeCell ref="I42:K42"/>
    <mergeCell ref="L42:N42"/>
    <mergeCell ref="F43:G43"/>
    <mergeCell ref="I43:K43"/>
    <mergeCell ref="L43:N43"/>
    <mergeCell ref="F40:G40"/>
    <mergeCell ref="I40:K40"/>
    <mergeCell ref="L40:N40"/>
    <mergeCell ref="F41:G41"/>
    <mergeCell ref="I41:K41"/>
    <mergeCell ref="L41:N41"/>
    <mergeCell ref="U37:V37"/>
    <mergeCell ref="W37:X37"/>
    <mergeCell ref="Y37:AA37"/>
    <mergeCell ref="AB37:AD37"/>
    <mergeCell ref="AE37:AF37"/>
    <mergeCell ref="AG37:AH37"/>
    <mergeCell ref="B37:B38"/>
    <mergeCell ref="C37:D37"/>
    <mergeCell ref="E37:G37"/>
    <mergeCell ref="H37:H38"/>
    <mergeCell ref="I37:K38"/>
    <mergeCell ref="L37:N38"/>
    <mergeCell ref="F38:G38"/>
    <mergeCell ref="F46:G46"/>
    <mergeCell ref="I46:K46"/>
    <mergeCell ref="L46:N46"/>
    <mergeCell ref="F47:G47"/>
    <mergeCell ref="I47:K47"/>
    <mergeCell ref="L47:N47"/>
    <mergeCell ref="F44:G44"/>
    <mergeCell ref="I44:K44"/>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F54:G54"/>
    <mergeCell ref="I54:K54"/>
    <mergeCell ref="L54:N54"/>
    <mergeCell ref="F55:G55"/>
    <mergeCell ref="I55:K55"/>
    <mergeCell ref="L55:N55"/>
    <mergeCell ref="F52:G52"/>
    <mergeCell ref="I52:K52"/>
    <mergeCell ref="L52:N52"/>
    <mergeCell ref="F53:G53"/>
    <mergeCell ref="I53:K53"/>
    <mergeCell ref="L53:N53"/>
    <mergeCell ref="F58:G58"/>
    <mergeCell ref="I58:K58"/>
    <mergeCell ref="L58:N58"/>
    <mergeCell ref="F56:G56"/>
    <mergeCell ref="I56:K56"/>
    <mergeCell ref="L56:N56"/>
    <mergeCell ref="F57:G57"/>
    <mergeCell ref="I57:K57"/>
    <mergeCell ref="L57:N57"/>
    <mergeCell ref="AG64:AW64"/>
    <mergeCell ref="I59:K59"/>
    <mergeCell ref="L59:N59"/>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71:N71"/>
    <mergeCell ref="U64:AE64"/>
    <mergeCell ref="AF64:AF65"/>
    <mergeCell ref="J76:K76"/>
    <mergeCell ref="J77:K77"/>
    <mergeCell ref="M76:N76"/>
    <mergeCell ref="M77:N77"/>
    <mergeCell ref="J74:K74"/>
    <mergeCell ref="J75:K75"/>
    <mergeCell ref="M74:N74"/>
    <mergeCell ref="M75:N75"/>
    <mergeCell ref="F74:G74"/>
    <mergeCell ref="F75:G75"/>
    <mergeCell ref="F76:G76"/>
    <mergeCell ref="F77:G77"/>
    <mergeCell ref="J80:K80"/>
    <mergeCell ref="J81:K81"/>
    <mergeCell ref="M80:N80"/>
    <mergeCell ref="M81:N81"/>
    <mergeCell ref="J78:K78"/>
    <mergeCell ref="J79:K79"/>
    <mergeCell ref="M78:N78"/>
    <mergeCell ref="M79:N79"/>
    <mergeCell ref="F78:G78"/>
    <mergeCell ref="F79:G79"/>
    <mergeCell ref="F80:G80"/>
    <mergeCell ref="F81:G81"/>
    <mergeCell ref="J84:K84"/>
    <mergeCell ref="J85:K85"/>
    <mergeCell ref="M84:N84"/>
    <mergeCell ref="M85:N85"/>
    <mergeCell ref="J82:K82"/>
    <mergeCell ref="J83:K83"/>
    <mergeCell ref="M82:N82"/>
    <mergeCell ref="M83:N83"/>
    <mergeCell ref="F82:G82"/>
    <mergeCell ref="F83:G83"/>
    <mergeCell ref="F84:G84"/>
    <mergeCell ref="F85:G85"/>
    <mergeCell ref="F73:G73"/>
    <mergeCell ref="M86:N86"/>
    <mergeCell ref="R109:R140"/>
    <mergeCell ref="B110:E110"/>
    <mergeCell ref="B111:E111"/>
    <mergeCell ref="F111:H111"/>
    <mergeCell ref="L64:L65"/>
    <mergeCell ref="M64:N65"/>
    <mergeCell ref="M66:N66"/>
    <mergeCell ref="M67:N67"/>
    <mergeCell ref="M68:N68"/>
    <mergeCell ref="M69:N69"/>
    <mergeCell ref="B108:E108"/>
    <mergeCell ref="B109:E109"/>
    <mergeCell ref="B98:D98"/>
    <mergeCell ref="E98:I98"/>
    <mergeCell ref="R99:R108"/>
    <mergeCell ref="B102:D102"/>
    <mergeCell ref="B103:D104"/>
    <mergeCell ref="B105:D106"/>
    <mergeCell ref="A91:Q93"/>
    <mergeCell ref="B97:D97"/>
    <mergeCell ref="E97:I97"/>
    <mergeCell ref="R89:R98"/>
    <mergeCell ref="B64:B65"/>
    <mergeCell ref="F65:G65"/>
    <mergeCell ref="F66:G66"/>
    <mergeCell ref="F67:G67"/>
    <mergeCell ref="F68:G68"/>
    <mergeCell ref="F69:G69"/>
    <mergeCell ref="F70:G70"/>
    <mergeCell ref="F71:G71"/>
    <mergeCell ref="F72:G72"/>
  </mergeCells>
  <conditionalFormatting sqref="AG11:AG30">
    <cfRule type="cellIs" dxfId="264" priority="156" operator="equal">
      <formula>"Unacceptable Loss"</formula>
    </cfRule>
  </conditionalFormatting>
  <conditionalFormatting sqref="X11:X30">
    <cfRule type="cellIs" dxfId="263" priority="157" operator="equal">
      <formula>"Not Possible"</formula>
    </cfRule>
  </conditionalFormatting>
  <conditionalFormatting sqref="AG11:AG30">
    <cfRule type="cellIs" dxfId="262" priority="155" operator="equal">
      <formula>"Unacceptable Loss"</formula>
    </cfRule>
  </conditionalFormatting>
  <conditionalFormatting sqref="AG11:AG30">
    <cfRule type="cellIs" dxfId="261" priority="154" operator="equal">
      <formula>"Unacceptable Loss"</formula>
    </cfRule>
  </conditionalFormatting>
  <conditionalFormatting sqref="I31">
    <cfRule type="cellIs" dxfId="260" priority="132" operator="greaterThan">
      <formula>5000</formula>
    </cfRule>
  </conditionalFormatting>
  <conditionalFormatting sqref="I103:I106">
    <cfRule type="containsText" dxfId="259" priority="130" operator="containsText" text="Yes">
      <formula>NOT(ISERROR(SEARCH("Yes",I103)))</formula>
    </cfRule>
    <cfRule type="containsText" dxfId="258" priority="131" operator="containsText" text="No">
      <formula>NOT(ISERROR(SEARCH("No",I103)))</formula>
    </cfRule>
  </conditionalFormatting>
  <conditionalFormatting sqref="I109:I110">
    <cfRule type="containsText" dxfId="257" priority="128" operator="containsText" text="Yes">
      <formula>NOT(ISERROR(SEARCH("Yes",I109)))</formula>
    </cfRule>
    <cfRule type="containsText" dxfId="256" priority="129" operator="containsText" text="No">
      <formula>NOT(ISERROR(SEARCH("No",I109)))</formula>
    </cfRule>
  </conditionalFormatting>
  <conditionalFormatting sqref="E97:E98">
    <cfRule type="containsText" dxfId="255" priority="126" operator="containsText" text="Trading Rules Satisfied">
      <formula>NOT(ISERROR(SEARCH("Trading Rules Satisfied",E97)))</formula>
    </cfRule>
    <cfRule type="containsText" dxfId="254" priority="127" operator="containsText" text="Error - Trading Rules Not Satisfied">
      <formula>NOT(ISERROR(SEARCH("Error - Trading Rules Not Satisfied",E97)))</formula>
    </cfRule>
  </conditionalFormatting>
  <conditionalFormatting sqref="I111">
    <cfRule type="containsText" dxfId="253" priority="124" operator="containsText" text="Yes">
      <formula>NOT(ISERROR(SEARCH("Yes",I111)))</formula>
    </cfRule>
    <cfRule type="containsText" dxfId="252" priority="125" operator="containsText" text="No">
      <formula>NOT(ISERROR(SEARCH("No",I111)))</formula>
    </cfRule>
  </conditionalFormatting>
  <conditionalFormatting sqref="O6:P6 J2">
    <cfRule type="containsText" dxfId="251" priority="105" operator="containsText" text="Errors Present On Sheet">
      <formula>NOT(ISERROR(SEARCH("Errors Present On Sheet",J2)))</formula>
    </cfRule>
  </conditionalFormatting>
  <conditionalFormatting sqref="X39:X58">
    <cfRule type="cellIs" dxfId="250" priority="104" operator="equal">
      <formula>"Not Possible"</formula>
    </cfRule>
  </conditionalFormatting>
  <conditionalFormatting sqref="I86">
    <cfRule type="expression" dxfId="249" priority="103">
      <formula>"p18=""Avoid"""</formula>
    </cfRule>
  </conditionalFormatting>
  <conditionalFormatting sqref="I86">
    <cfRule type="cellIs" dxfId="248" priority="102" operator="equal">
      <formula>"Any loss Unacceptable"</formula>
    </cfRule>
  </conditionalFormatting>
  <conditionalFormatting sqref="I86">
    <cfRule type="cellIs" dxfId="247" priority="101" operator="equal">
      <formula>"Any loss Unacceptable"</formula>
    </cfRule>
  </conditionalFormatting>
  <conditionalFormatting sqref="L86:M86">
    <cfRule type="expression" dxfId="246" priority="100">
      <formula>"p18=""Avoid"""</formula>
    </cfRule>
  </conditionalFormatting>
  <conditionalFormatting sqref="L86:M86">
    <cfRule type="cellIs" dxfId="245" priority="99" operator="equal">
      <formula>"Any loss Unacceptable"</formula>
    </cfRule>
  </conditionalFormatting>
  <conditionalFormatting sqref="L86:M86">
    <cfRule type="cellIs" dxfId="244" priority="98" operator="equal">
      <formula>"Any loss Unacceptable"</formula>
    </cfRule>
  </conditionalFormatting>
  <conditionalFormatting sqref="F39">
    <cfRule type="containsBlanks" dxfId="243" priority="158" stopIfTrue="1">
      <formula>LEN(TRIM(F39))=0</formula>
    </cfRule>
    <cfRule type="expression" dxfId="242" priority="159">
      <formula>ISNUMBER(SEARCH(F39,E39,1))</formula>
    </cfRule>
  </conditionalFormatting>
  <conditionalFormatting sqref="K11:K30">
    <cfRule type="expression" dxfId="241" priority="87">
      <formula>$AI11="Enhancement not possible"</formula>
    </cfRule>
  </conditionalFormatting>
  <conditionalFormatting sqref="I32:N32">
    <cfRule type="containsText" dxfId="240" priority="85" operator="containsText" text="error">
      <formula>NOT(ISERROR(SEARCH("error",I32)))</formula>
    </cfRule>
    <cfRule type="containsText" dxfId="239" priority="86" operator="containsText" text="acceptable">
      <formula>NOT(ISERROR(SEARCH("acceptable",I32)))</formula>
    </cfRule>
  </conditionalFormatting>
  <conditionalFormatting sqref="J2">
    <cfRule type="containsText" dxfId="238" priority="82" operator="containsText" text="Technical">
      <formula>NOT(ISERROR(SEARCH("Technical",J2)))</formula>
    </cfRule>
  </conditionalFormatting>
  <conditionalFormatting sqref="F40:F42">
    <cfRule type="containsBlanks" dxfId="237" priority="160" stopIfTrue="1">
      <formula>LEN(TRIM(F40))=0</formula>
    </cfRule>
    <cfRule type="expression" dxfId="236" priority="161">
      <formula>ISNUMBER(SEARCH(F40,E40,1))</formula>
    </cfRule>
  </conditionalFormatting>
  <conditionalFormatting sqref="F43:F58">
    <cfRule type="containsBlanks" dxfId="235" priority="79" stopIfTrue="1">
      <formula>LEN(TRIM(F43))=0</formula>
    </cfRule>
    <cfRule type="expression" dxfId="234" priority="80">
      <formula>ISNUMBER(SEARCH(F43,E43,1))</formula>
    </cfRule>
  </conditionalFormatting>
  <conditionalFormatting sqref="M66:M85">
    <cfRule type="cellIs" dxfId="233" priority="67" operator="equal">
      <formula>"Unacceptable Loss"</formula>
    </cfRule>
  </conditionalFormatting>
  <conditionalFormatting sqref="M66:M85">
    <cfRule type="cellIs" dxfId="232" priority="65" operator="equal">
      <formula>"Compensation Agreed"</formula>
    </cfRule>
    <cfRule type="cellIs" dxfId="231" priority="66" operator="equal">
      <formula>"Unacceptable Loss"</formula>
    </cfRule>
  </conditionalFormatting>
  <conditionalFormatting sqref="M66:M85">
    <cfRule type="cellIs" dxfId="230" priority="64" operator="equal">
      <formula>"Unacceptable Loss"</formula>
    </cfRule>
  </conditionalFormatting>
  <conditionalFormatting sqref="M66:M85">
    <cfRule type="cellIs" dxfId="229" priority="63" operator="equal">
      <formula>"Unacceptable Loss"</formula>
    </cfRule>
  </conditionalFormatting>
  <conditionalFormatting sqref="M66:M85">
    <cfRule type="cellIs" dxfId="228" priority="61" operator="equal">
      <formula>"Compensation Agreed"</formula>
    </cfRule>
    <cfRule type="cellIs" dxfId="227" priority="62" operator="equal">
      <formula>"Unacceptable Loss"</formula>
    </cfRule>
  </conditionalFormatting>
  <conditionalFormatting sqref="M66:M85">
    <cfRule type="cellIs" dxfId="226" priority="60" operator="equal">
      <formula>"Unacceptable Loss"</formula>
    </cfRule>
  </conditionalFormatting>
  <conditionalFormatting sqref="M66:M85">
    <cfRule type="cellIs" dxfId="225" priority="59" operator="equal">
      <formula>"Alternative Compensation"</formula>
    </cfRule>
  </conditionalFormatting>
  <conditionalFormatting sqref="F66:G85">
    <cfRule type="expression" dxfId="224" priority="56">
      <formula>$D66=""</formula>
    </cfRule>
  </conditionalFormatting>
  <conditionalFormatting sqref="E66:E85">
    <cfRule type="cellIs" dxfId="223" priority="57" operator="equal">
      <formula>"Enhancement not possible"</formula>
    </cfRule>
  </conditionalFormatting>
  <conditionalFormatting sqref="AK66:AK85">
    <cfRule type="cellIs" dxfId="222" priority="55" operator="equal">
      <formula>"Not Possible"</formula>
    </cfRule>
  </conditionalFormatting>
  <conditionalFormatting sqref="L11:M30">
    <cfRule type="expression" dxfId="221" priority="38">
      <formula>"p18=""Avoid"""</formula>
    </cfRule>
  </conditionalFormatting>
  <conditionalFormatting sqref="L11:M30">
    <cfRule type="cellIs" dxfId="220" priority="37" operator="equal">
      <formula>"Any loss Unacceptable"</formula>
    </cfRule>
  </conditionalFormatting>
  <conditionalFormatting sqref="L11:M30">
    <cfRule type="cellIs" dxfId="219" priority="36" operator="equal">
      <formula>"Any loss Unacceptable"</formula>
    </cfRule>
  </conditionalFormatting>
  <conditionalFormatting sqref="N11:N30">
    <cfRule type="containsText" dxfId="218" priority="22" operator="containsText" text="value">
      <formula>NOT(ISERROR(SEARCH("value",N11)))</formula>
    </cfRule>
    <cfRule type="cellIs" dxfId="217" priority="32" operator="equal">
      <formula>"Unacceptable Loss"</formula>
    </cfRule>
  </conditionalFormatting>
  <conditionalFormatting sqref="N11:N30">
    <cfRule type="cellIs" dxfId="216" priority="35" operator="equal">
      <formula>"Unacceptable Loss"</formula>
    </cfRule>
  </conditionalFormatting>
  <conditionalFormatting sqref="N11:N30">
    <cfRule type="cellIs" dxfId="215" priority="33" operator="equal">
      <formula>"Compensation Agreed"</formula>
    </cfRule>
    <cfRule type="cellIs" dxfId="214" priority="34" operator="equal">
      <formula>"Unacceptable Loss"</formula>
    </cfRule>
  </conditionalFormatting>
  <conditionalFormatting sqref="N11:N30">
    <cfRule type="cellIs" dxfId="213" priority="31" operator="equal">
      <formula>"Unacceptable Loss"</formula>
    </cfRule>
  </conditionalFormatting>
  <conditionalFormatting sqref="N11:N30">
    <cfRule type="cellIs" dxfId="212" priority="29" operator="equal">
      <formula>"Compensation Agreed"</formula>
    </cfRule>
    <cfRule type="cellIs" dxfId="211" priority="30" operator="equal">
      <formula>"Unacceptable Loss"</formula>
    </cfRule>
  </conditionalFormatting>
  <conditionalFormatting sqref="N11:N30">
    <cfRule type="cellIs" dxfId="210" priority="28" operator="equal">
      <formula>"Unacceptable Loss"</formula>
    </cfRule>
  </conditionalFormatting>
  <conditionalFormatting sqref="N11:N30">
    <cfRule type="cellIs" dxfId="209" priority="27" operator="equal">
      <formula>"Alternative Compensation"</formula>
    </cfRule>
  </conditionalFormatting>
  <conditionalFormatting sqref="M11:M30">
    <cfRule type="containsText" dxfId="208" priority="26" operator="containsText" text="error">
      <formula>NOT(ISERROR(SEARCH("error",M11)))</formula>
    </cfRule>
  </conditionalFormatting>
  <conditionalFormatting sqref="N11:N30">
    <cfRule type="containsText" dxfId="207" priority="25" operator="containsText" text="error">
      <formula>NOT(ISERROR(SEARCH("error",N11)))</formula>
    </cfRule>
  </conditionalFormatting>
  <conditionalFormatting sqref="L11:L30">
    <cfRule type="containsText" dxfId="206" priority="24" operator="containsText" text="value">
      <formula>NOT(ISERROR(SEARCH("value",L11)))</formula>
    </cfRule>
  </conditionalFormatting>
  <conditionalFormatting sqref="L11:L30">
    <cfRule type="containsText" dxfId="205" priority="23" operator="containsText" text="error">
      <formula>NOT(ISERROR(SEARCH("error",L11)))</formula>
    </cfRule>
  </conditionalFormatting>
  <conditionalFormatting sqref="L39:M58">
    <cfRule type="cellIs" dxfId="204" priority="21" operator="equal">
      <formula>"Unacceptable Loss"</formula>
    </cfRule>
  </conditionalFormatting>
  <conditionalFormatting sqref="L39:M58">
    <cfRule type="cellIs" dxfId="203" priority="19" operator="equal">
      <formula>"Compensation Agreed"</formula>
    </cfRule>
    <cfRule type="cellIs" dxfId="202" priority="20" operator="equal">
      <formula>"Unacceptable Loss"</formula>
    </cfRule>
  </conditionalFormatting>
  <conditionalFormatting sqref="L39:M58">
    <cfRule type="cellIs" dxfId="201" priority="18" operator="equal">
      <formula>"Unacceptable Loss"</formula>
    </cfRule>
  </conditionalFormatting>
  <conditionalFormatting sqref="L39:M58">
    <cfRule type="cellIs" dxfId="200" priority="17" operator="equal">
      <formula>"Unacceptable Loss"</formula>
    </cfRule>
  </conditionalFormatting>
  <conditionalFormatting sqref="L39:M58">
    <cfRule type="cellIs" dxfId="199" priority="15" operator="equal">
      <formula>"Compensation Agreed"</formula>
    </cfRule>
    <cfRule type="cellIs" dxfId="198" priority="16" operator="equal">
      <formula>"Unacceptable Loss"</formula>
    </cfRule>
  </conditionalFormatting>
  <conditionalFormatting sqref="L39:M58">
    <cfRule type="cellIs" dxfId="197" priority="14" operator="equal">
      <formula>"Unacceptable Loss"</formula>
    </cfRule>
  </conditionalFormatting>
  <conditionalFormatting sqref="L39:M58">
    <cfRule type="cellIs" dxfId="196" priority="13" operator="equal">
      <formula>"Alternative Compensation"</formula>
    </cfRule>
  </conditionalFormatting>
  <conditionalFormatting sqref="L39:N58">
    <cfRule type="containsText" dxfId="195" priority="11" operator="containsText" text="error">
      <formula>NOT(ISERROR(SEARCH("error",L39)))</formula>
    </cfRule>
    <cfRule type="containsText" dxfId="194" priority="12" operator="containsText" text="value">
      <formula>NOT(ISERROR(SEARCH("value",L39)))</formula>
    </cfRule>
  </conditionalFormatting>
  <conditionalFormatting sqref="L66:L85">
    <cfRule type="cellIs" dxfId="193" priority="10" operator="equal">
      <formula>"Unacceptable Loss"</formula>
    </cfRule>
  </conditionalFormatting>
  <conditionalFormatting sqref="L66:L85">
    <cfRule type="cellIs" dxfId="192" priority="8" operator="equal">
      <formula>"Compensation Agreed"</formula>
    </cfRule>
    <cfRule type="cellIs" dxfId="191" priority="9" operator="equal">
      <formula>"Unacceptable Loss"</formula>
    </cfRule>
  </conditionalFormatting>
  <conditionalFormatting sqref="L66:L85">
    <cfRule type="cellIs" dxfId="190" priority="7" operator="equal">
      <formula>"Unacceptable Loss"</formula>
    </cfRule>
  </conditionalFormatting>
  <conditionalFormatting sqref="L66:L85">
    <cfRule type="cellIs" dxfId="189" priority="6" operator="equal">
      <formula>"Unacceptable Loss"</formula>
    </cfRule>
  </conditionalFormatting>
  <conditionalFormatting sqref="L66:L85">
    <cfRule type="cellIs" dxfId="188" priority="4" operator="equal">
      <formula>"Compensation Agreed"</formula>
    </cfRule>
    <cfRule type="cellIs" dxfId="187" priority="5" operator="equal">
      <formula>"Unacceptable Loss"</formula>
    </cfRule>
  </conditionalFormatting>
  <conditionalFormatting sqref="L66:L85">
    <cfRule type="cellIs" dxfId="186" priority="3" operator="equal">
      <formula>"Unacceptable Loss"</formula>
    </cfRule>
  </conditionalFormatting>
  <conditionalFormatting sqref="L66:L85">
    <cfRule type="cellIs" dxfId="185" priority="2" operator="equal">
      <formula>"Alternative Compensation"</formula>
    </cfRule>
  </conditionalFormatting>
  <conditionalFormatting sqref="L66:L85">
    <cfRule type="containsText" dxfId="184" priority="1" operator="containsText" text="value">
      <formula>NOT(ISERROR(SEARCH("value",L66)))</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A2C0E9C2-CEE1-4CB8-AE5E-A0B49E7D9DD3}">
          <x14:formula1>
            <xm:f>'12. Lists'!$F$36:$F$37</xm:f>
          </x14:formula1>
          <xm:sqref>H39:H58 H66:H85 F11:H30</xm:sqref>
        </x14:dataValidation>
        <x14:dataValidation type="list" allowBlank="1" showInputMessage="1" showErrorMessage="1" xr:uid="{3675A298-2DFD-47BB-8AD3-F19466E7358F}">
          <x14:formula1>
            <xm:f>'12. Lists'!$F$47:$F$51</xm:f>
          </x14:formula1>
          <xm:sqref>F39:F58</xm:sqref>
        </x14:dataValidation>
        <x14:dataValidation type="list" allowBlank="1" showInputMessage="1" showErrorMessage="1" xr:uid="{96C045D8-4862-4EFE-B4A7-DE2177DD1250}">
          <x14:formula1>
            <xm:f>'12. Lists'!$C$29:$C$30</xm:f>
          </x14:formula1>
          <xm:sqref>C11:C30 C39:C58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B0F0"/>
    <pageSetUpPr fitToPage="1"/>
  </sheetPr>
  <dimension ref="A1:CC138"/>
  <sheetViews>
    <sheetView zoomScale="80" zoomScaleNormal="80" workbookViewId="0">
      <selection activeCell="D5" sqref="D5"/>
    </sheetView>
  </sheetViews>
  <sheetFormatPr defaultColWidth="0" defaultRowHeight="14.45" zeroHeight="1"/>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35.140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6" customWidth="1"/>
    <col min="21" max="21" width="14.85546875" customWidth="1"/>
    <col min="22" max="22" width="20.7109375" bestFit="1" customWidth="1"/>
    <col min="23" max="23" width="23.7109375" customWidth="1"/>
    <col min="24" max="24" width="16.85546875" bestFit="1" customWidth="1"/>
    <col min="25" max="25" width="14" customWidth="1"/>
    <col min="26" max="26" width="21.28515625" customWidth="1"/>
    <col min="27" max="27" width="14"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7" width="23.5703125" customWidth="1"/>
    <col min="38" max="38" width="16.7109375" bestFit="1" customWidth="1"/>
    <col min="39" max="39" width="13.28515625"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24.42578125" customWidth="1"/>
    <col min="53" max="81" width="8.85546875" customWidth="1"/>
    <col min="82" max="16384" width="8.85546875" hidden="1"/>
  </cols>
  <sheetData>
    <row r="1" spans="1:35" s="27" customFormat="1" ht="15.75" customHeight="1" thickBot="1">
      <c r="I1" s="55"/>
      <c r="J1" s="55"/>
      <c r="K1" s="55"/>
      <c r="L1" s="55"/>
      <c r="M1" s="55"/>
      <c r="N1" s="55"/>
      <c r="O1" s="204" t="s">
        <v>72</v>
      </c>
      <c r="P1" s="232">
        <f>SUM(AE11:AE30)</f>
        <v>0</v>
      </c>
      <c r="R1" s="568" t="s">
        <v>73</v>
      </c>
      <c r="T1" s="28"/>
    </row>
    <row r="2" spans="1:35" s="27" customFormat="1" ht="19.899999999999999" customHeight="1">
      <c r="B2" s="85" t="s">
        <v>45</v>
      </c>
      <c r="C2" s="662" t="str">
        <f>IF('2. Site Details'!D5="","Enter site name on 2. Site Details",'2. Site Details'!D5)</f>
        <v>Land off Barnsley Rd, Darton</v>
      </c>
      <c r="D2" s="663"/>
      <c r="F2" s="611" t="s">
        <v>252</v>
      </c>
      <c r="G2" s="612"/>
      <c r="H2" s="613"/>
      <c r="I2" s="86"/>
      <c r="J2" s="624" t="str">
        <f>IFERROR(IF(SUM(O32:O34,O60,O87,J103:J104,J107:J111)&gt;0,"Rule Based Errors Present On Sheet - Red Cells Highlight Errors","All Key Rules Satisfied"),"Technical Errors On Sheet")</f>
        <v>All Key Rules Satisfied</v>
      </c>
      <c r="K2" s="624"/>
      <c r="L2" s="624"/>
      <c r="M2" s="624"/>
      <c r="N2" s="86"/>
      <c r="O2" s="88" t="s">
        <v>75</v>
      </c>
      <c r="P2" s="232">
        <f>N31</f>
        <v>0</v>
      </c>
      <c r="R2" s="568"/>
      <c r="T2" s="28"/>
    </row>
    <row r="3" spans="1:35" s="27" customFormat="1" ht="19.899999999999999" customHeight="1" thickBot="1">
      <c r="B3" s="87" t="s">
        <v>16</v>
      </c>
      <c r="C3" s="664" t="s">
        <v>269</v>
      </c>
      <c r="D3" s="665"/>
      <c r="F3" s="614"/>
      <c r="G3" s="615"/>
      <c r="H3" s="616"/>
      <c r="I3" s="86"/>
      <c r="J3" s="624"/>
      <c r="K3" s="624"/>
      <c r="L3" s="624"/>
      <c r="M3" s="624"/>
      <c r="N3" s="86"/>
      <c r="O3" s="88" t="s">
        <v>77</v>
      </c>
      <c r="P3" s="232">
        <f>L59</f>
        <v>0</v>
      </c>
      <c r="R3" s="568"/>
      <c r="T3" s="28"/>
    </row>
    <row r="4" spans="1:35" s="27" customFormat="1" ht="19.899999999999999" customHeight="1">
      <c r="B4" s="89"/>
      <c r="C4" s="89"/>
      <c r="D4" s="89"/>
      <c r="F4" s="614"/>
      <c r="G4" s="615"/>
      <c r="H4" s="616"/>
      <c r="I4" s="86"/>
      <c r="J4" s="624"/>
      <c r="K4" s="624"/>
      <c r="L4" s="624"/>
      <c r="M4" s="624"/>
      <c r="N4" s="86"/>
      <c r="O4" s="88" t="s">
        <v>78</v>
      </c>
      <c r="P4" s="232">
        <f>L86</f>
        <v>0</v>
      </c>
      <c r="R4" s="568"/>
      <c r="T4" s="28"/>
    </row>
    <row r="5" spans="1:35" s="27" customFormat="1" ht="19.899999999999999" customHeight="1" thickBot="1">
      <c r="A5" s="90"/>
      <c r="F5" s="614"/>
      <c r="G5" s="615"/>
      <c r="H5" s="616"/>
      <c r="I5" s="86"/>
      <c r="J5" s="624"/>
      <c r="K5" s="624"/>
      <c r="L5" s="624"/>
      <c r="M5" s="624"/>
      <c r="N5" s="86"/>
      <c r="O5" s="91" t="s">
        <v>79</v>
      </c>
      <c r="P5" s="233">
        <f>P4+P3-P2</f>
        <v>0</v>
      </c>
      <c r="R5" s="568"/>
      <c r="T5" s="28"/>
    </row>
    <row r="6" spans="1:35" s="27" customFormat="1" ht="13.15" customHeight="1" thickBot="1">
      <c r="A6" s="90"/>
      <c r="F6" s="617"/>
      <c r="G6" s="618"/>
      <c r="H6" s="619"/>
      <c r="I6" s="55"/>
      <c r="J6" s="55"/>
      <c r="K6" s="28"/>
      <c r="L6" s="55"/>
      <c r="M6" s="55"/>
      <c r="N6" s="55"/>
      <c r="O6" s="92"/>
      <c r="P6" s="28"/>
      <c r="R6" s="568"/>
      <c r="T6" s="28"/>
    </row>
    <row r="7" spans="1:35" s="27" customFormat="1" ht="19.149999999999999" customHeight="1">
      <c r="B7" s="62" t="s">
        <v>80</v>
      </c>
      <c r="D7" s="93"/>
      <c r="H7" s="28"/>
      <c r="K7" s="28"/>
      <c r="L7" s="32"/>
      <c r="M7" s="32"/>
      <c r="N7" s="32"/>
      <c r="R7" s="568"/>
      <c r="T7" s="28"/>
    </row>
    <row r="8" spans="1:35" s="27" customFormat="1" ht="10.9" customHeight="1" thickBot="1">
      <c r="A8" s="94"/>
      <c r="R8" s="568"/>
    </row>
    <row r="9" spans="1:35" s="27" customFormat="1" ht="29.45" customHeight="1">
      <c r="A9" s="94"/>
      <c r="B9" s="644" t="s">
        <v>67</v>
      </c>
      <c r="C9" s="578" t="s">
        <v>81</v>
      </c>
      <c r="D9" s="583"/>
      <c r="E9" s="593"/>
      <c r="F9" s="598" t="s">
        <v>82</v>
      </c>
      <c r="G9" s="599"/>
      <c r="H9" s="600"/>
      <c r="I9" s="578" t="s">
        <v>254</v>
      </c>
      <c r="J9" s="583"/>
      <c r="K9" s="593"/>
      <c r="L9" s="597" t="s">
        <v>84</v>
      </c>
      <c r="M9" s="570"/>
      <c r="N9" s="571"/>
      <c r="O9" s="597" t="s">
        <v>85</v>
      </c>
      <c r="P9" s="571"/>
      <c r="R9" s="568"/>
      <c r="U9" s="591" t="s">
        <v>86</v>
      </c>
      <c r="V9" s="592"/>
      <c r="W9" s="591" t="s">
        <v>87</v>
      </c>
      <c r="X9" s="592"/>
      <c r="Y9" s="591" t="s">
        <v>88</v>
      </c>
      <c r="Z9" s="604"/>
      <c r="AA9" s="592"/>
      <c r="AB9" s="591" t="s">
        <v>89</v>
      </c>
      <c r="AC9" s="604"/>
      <c r="AD9" s="592"/>
      <c r="AE9" s="591" t="s">
        <v>90</v>
      </c>
      <c r="AF9" s="604"/>
      <c r="AG9" s="592"/>
      <c r="AH9" s="591" t="s">
        <v>91</v>
      </c>
      <c r="AI9" s="592" t="s">
        <v>92</v>
      </c>
    </row>
    <row r="10" spans="1:35" s="27" customFormat="1" ht="31.9" thickBot="1">
      <c r="A10" s="94"/>
      <c r="B10" s="645"/>
      <c r="C10" s="329" t="s">
        <v>93</v>
      </c>
      <c r="D10" s="669" t="s">
        <v>94</v>
      </c>
      <c r="E10" s="670"/>
      <c r="F10" s="601"/>
      <c r="G10" s="602"/>
      <c r="H10" s="603"/>
      <c r="I10" s="91" t="s">
        <v>255</v>
      </c>
      <c r="J10" s="315" t="s">
        <v>256</v>
      </c>
      <c r="K10" s="95" t="s">
        <v>257</v>
      </c>
      <c r="L10" s="370" t="s">
        <v>258</v>
      </c>
      <c r="M10" s="371" t="s">
        <v>259</v>
      </c>
      <c r="N10" s="372" t="s">
        <v>100</v>
      </c>
      <c r="O10" s="91" t="s">
        <v>101</v>
      </c>
      <c r="P10" s="95" t="s">
        <v>102</v>
      </c>
      <c r="R10" s="568"/>
      <c r="U10" s="96" t="s">
        <v>103</v>
      </c>
      <c r="V10" s="97" t="s">
        <v>104</v>
      </c>
      <c r="W10" s="96" t="s">
        <v>105</v>
      </c>
      <c r="X10" s="97" t="s">
        <v>104</v>
      </c>
      <c r="Y10" s="96" t="s">
        <v>88</v>
      </c>
      <c r="Z10" s="52" t="s">
        <v>106</v>
      </c>
      <c r="AA10" s="97" t="s">
        <v>107</v>
      </c>
      <c r="AB10" s="96" t="s">
        <v>89</v>
      </c>
      <c r="AC10" s="52" t="s">
        <v>89</v>
      </c>
      <c r="AD10" s="97" t="s">
        <v>108</v>
      </c>
      <c r="AE10" s="96" t="s">
        <v>109</v>
      </c>
      <c r="AF10" s="52" t="s">
        <v>110</v>
      </c>
      <c r="AG10" s="97" t="s">
        <v>111</v>
      </c>
      <c r="AH10" s="688"/>
      <c r="AI10" s="687"/>
    </row>
    <row r="11" spans="1:35" s="27" customFormat="1" ht="15.6">
      <c r="A11" s="94"/>
      <c r="B11" s="143">
        <v>1</v>
      </c>
      <c r="C11" s="183" t="s">
        <v>270</v>
      </c>
      <c r="D11" s="727"/>
      <c r="E11" s="728"/>
      <c r="F11" s="729"/>
      <c r="G11" s="730"/>
      <c r="H11" s="731"/>
      <c r="I11" s="216"/>
      <c r="J11" s="217"/>
      <c r="K11" s="218"/>
      <c r="L11" s="167" t="str">
        <f>IF(D11="","",IFERROR(IF(I11="","Length Error",((I11/1000)*V11*X11)*(AA11*AD11)),"Value Missing"))</f>
        <v/>
      </c>
      <c r="M11" s="99" t="str">
        <f>IF(I11="","",IF(J11+K11&gt;I11,"Length Error",I11-J11-K11))</f>
        <v/>
      </c>
      <c r="N11" s="168" t="str">
        <f>IFERROR(IF(I11="","",IF(M11="Length Error","Length Error",((M11/1000)*V11*X11)*(AA11*AD11))),"Value Missing")</f>
        <v/>
      </c>
      <c r="O11" s="190"/>
      <c r="P11" s="191"/>
      <c r="R11" s="568"/>
      <c r="U11" s="100" t="str">
        <f>IF(D11="","",VLOOKUP(D11,'10. All Habitats + Multipliers'!$C$4:$K$99,5,FALSE))</f>
        <v/>
      </c>
      <c r="V11" s="105" t="str">
        <f>IF(U11="","",VLOOKUP(U11,'12. Lists'!$B$47:$D$49,2,FALSE))</f>
        <v/>
      </c>
      <c r="W11" s="100" t="str">
        <f>IF(D11="","",VLOOKUP(D11,'11. Condition and Temporal'!$B$6:$C$101,2,FALSE))</f>
        <v/>
      </c>
      <c r="X11" s="105" t="str">
        <f>IF(W11="","",VLOOKUP(W11,'12. Lists'!$F$47:$G$51,2,FALSE))</f>
        <v/>
      </c>
      <c r="Y11" s="100" t="str">
        <f>IF(D11="","",VLOOKUP(D11,'10. All Habitats + Multipliers'!$C$4:$K$99,9,FALSE))</f>
        <v/>
      </c>
      <c r="Z11" s="102" t="str">
        <f>IF(Y11="","",VLOOKUP(Y11,'12. Lists'!$B$36:$D$39,2,FALSE))</f>
        <v/>
      </c>
      <c r="AA11" s="105" t="str">
        <f>IF(Y11="","",VLOOKUP(Y11,'12. Lists'!$B$36:$D$39,3,FALSE))</f>
        <v/>
      </c>
      <c r="AB11" s="100" t="str">
        <f>IF(F11="","",F11)</f>
        <v/>
      </c>
      <c r="AC11" s="102" t="str">
        <f>IF(AB11="","",VLOOKUP(AB11,'12. Lists'!$F$36:$H$38,2,FALSE))</f>
        <v/>
      </c>
      <c r="AD11" s="101" t="str">
        <f>IF(AB11="","",VLOOKUP(AB11,'12. Lists'!$F$36:$H$38,3,FALSE))</f>
        <v/>
      </c>
      <c r="AE11" s="103" t="str">
        <f>IF(D11="","",((J11/1000)*V11*X11)*(AA11*AD11))</f>
        <v/>
      </c>
      <c r="AF11" s="104" t="str">
        <f t="shared" ref="AF11:AF18" si="0">IF(D11="","",((K11/1000)*V11*X11)*(AA11*AD11))</f>
        <v/>
      </c>
      <c r="AG11" s="105" t="str">
        <f>IF(D11="","",M11)</f>
        <v/>
      </c>
      <c r="AH11" s="100" t="str">
        <f>IF(U11="","",VLOOKUP(U11,'12. Lists'!$B$47:$D$49,3,FALSE))</f>
        <v/>
      </c>
      <c r="AI11" s="101" t="str">
        <f>IF(D11="","",VLOOKUP(D11,'11. Condition and Temporal'!$B$6:$J$101,4,FALSE))</f>
        <v/>
      </c>
    </row>
    <row r="12" spans="1:35" s="27" customFormat="1" ht="15.6">
      <c r="B12" s="106">
        <v>2</v>
      </c>
      <c r="C12" s="182" t="s">
        <v>270</v>
      </c>
      <c r="D12" s="534"/>
      <c r="E12" s="535"/>
      <c r="F12" s="732"/>
      <c r="G12" s="733"/>
      <c r="H12" s="734"/>
      <c r="I12" s="219"/>
      <c r="J12" s="213"/>
      <c r="K12" s="220"/>
      <c r="L12" s="166" t="str">
        <f>IF(D12="","",IFERROR(IF(I12="","Length Error",((I12/1000)*V12*X12)*(AA12*AD12)),"Value Missing"))</f>
        <v/>
      </c>
      <c r="M12" s="107" t="str">
        <f t="shared" ref="M12:M30" si="1">IF(I12="","",IF(J12+K12&gt;I12,"Length Error",I12-J12-K12))</f>
        <v/>
      </c>
      <c r="N12" s="351" t="str">
        <f>IFERROR(IF(I12="","",IF(M12="Length Error","Length Error",((M12/1000)*V12*X12)*(AA12*AD12))),"Value Missing")</f>
        <v/>
      </c>
      <c r="O12" s="73"/>
      <c r="P12" s="3"/>
      <c r="R12" s="568"/>
      <c r="U12" s="100" t="str">
        <f>IF(D12="","",VLOOKUP(D12,'10. All Habitats + Multipliers'!$C$4:$K$99,5,FALSE))</f>
        <v/>
      </c>
      <c r="V12" s="105" t="str">
        <f>IF(U12="","",VLOOKUP(U12,'12. Lists'!$B$47:$D$49,2,FALSE))</f>
        <v/>
      </c>
      <c r="W12" s="100" t="str">
        <f>IF(D12="","",VLOOKUP(D12,'11. Condition and Temporal'!$B$6:$C$101,2,FALSE))</f>
        <v/>
      </c>
      <c r="X12" s="105" t="str">
        <f>IF(W12="","",VLOOKUP(W12,'12. Lists'!$F$47:$G$51,2,FALSE))</f>
        <v/>
      </c>
      <c r="Y12" s="100" t="str">
        <f>IF(D12="","",VLOOKUP(D12,'10. All Habitats + Multipliers'!$C$4:$K$99,9,FALSE))</f>
        <v/>
      </c>
      <c r="Z12" s="102" t="str">
        <f>IF(Y12="","",VLOOKUP(Y12,'12. Lists'!$B$36:$D$39,2,FALSE))</f>
        <v/>
      </c>
      <c r="AA12" s="105" t="str">
        <f>IF(Y12="","",VLOOKUP(Y12,'12. Lists'!$B$36:$D$39,3,FALSE))</f>
        <v/>
      </c>
      <c r="AB12" s="100" t="str">
        <f>IF(F12="","",F12)</f>
        <v/>
      </c>
      <c r="AC12" s="102" t="str">
        <f>IF(AB12="","",VLOOKUP(AB12,'12. Lists'!$F$36:$H$38,2,FALSE))</f>
        <v/>
      </c>
      <c r="AD12" s="101" t="str">
        <f>IF(AB12="","",VLOOKUP(AB12,'12. Lists'!$F$36:$H$38,3,FALSE))</f>
        <v/>
      </c>
      <c r="AE12" s="103" t="str">
        <f>IF(D12="","",((J12/1000)*V12*X12)*(AA12*AD12))</f>
        <v/>
      </c>
      <c r="AF12" s="104" t="str">
        <f t="shared" si="0"/>
        <v/>
      </c>
      <c r="AG12" s="105" t="str">
        <f t="shared" ref="AG12:AG30" si="2">IF(D12="","",M12)</f>
        <v/>
      </c>
      <c r="AH12" s="100" t="str">
        <f>IF(U12="","",VLOOKUP(U12,'12. Lists'!$B$47:$D$49,3,FALSE))</f>
        <v/>
      </c>
      <c r="AI12" s="101" t="str">
        <f>IF(D12="","",VLOOKUP(D12,'11. Condition and Temporal'!$B$6:$J$101,4,FALSE))</f>
        <v/>
      </c>
    </row>
    <row r="13" spans="1:35" s="27" customFormat="1" ht="15.6">
      <c r="B13" s="106">
        <v>3</v>
      </c>
      <c r="C13" s="182" t="s">
        <v>270</v>
      </c>
      <c r="D13" s="534"/>
      <c r="E13" s="535"/>
      <c r="F13" s="732"/>
      <c r="G13" s="733"/>
      <c r="H13" s="734"/>
      <c r="I13" s="219"/>
      <c r="J13" s="213"/>
      <c r="K13" s="220"/>
      <c r="L13" s="166" t="str">
        <f>IF(D13="","",IFERROR(IF(I13="","Length Error",((I13/1000)*V13*X13)*(AA13*AD13)),"Value Missing"))</f>
        <v/>
      </c>
      <c r="M13" s="107" t="str">
        <f t="shared" si="1"/>
        <v/>
      </c>
      <c r="N13" s="351" t="str">
        <f>IFERROR(IF(I13="","",IF(M13="Length Error","Length Error",((M13/1000)*V13*X13)*(AA13*AD13))),"Value Missing")</f>
        <v/>
      </c>
      <c r="O13" s="73"/>
      <c r="P13" s="3"/>
      <c r="R13" s="568"/>
      <c r="U13" s="100" t="str">
        <f>IF(D13="","",VLOOKUP(D13,'10. All Habitats + Multipliers'!$C$4:$K$99,5,FALSE))</f>
        <v/>
      </c>
      <c r="V13" s="105" t="str">
        <f>IF(U13="","",VLOOKUP(U13,'12. Lists'!$B$47:$D$49,2,FALSE))</f>
        <v/>
      </c>
      <c r="W13" s="100" t="str">
        <f>IF(D13="","",VLOOKUP(D13,'11. Condition and Temporal'!$B$6:$C$101,2,FALSE))</f>
        <v/>
      </c>
      <c r="X13" s="105" t="str">
        <f>IF(W13="","",VLOOKUP(W13,'12. Lists'!$F$47:$G$51,2,FALSE))</f>
        <v/>
      </c>
      <c r="Y13" s="100" t="str">
        <f>IF(D13="","",VLOOKUP(D13,'10. All Habitats + Multipliers'!$C$4:$K$99,9,FALSE))</f>
        <v/>
      </c>
      <c r="Z13" s="102" t="str">
        <f>IF(Y13="","",VLOOKUP(Y13,'12. Lists'!$B$36:$D$39,2,FALSE))</f>
        <v/>
      </c>
      <c r="AA13" s="105" t="str">
        <f>IF(Y13="","",VLOOKUP(Y13,'12. Lists'!$B$36:$D$39,3,FALSE))</f>
        <v/>
      </c>
      <c r="AB13" s="100" t="str">
        <f t="shared" ref="AB13:AB30" si="3">IF(F13="","",F13)</f>
        <v/>
      </c>
      <c r="AC13" s="102" t="str">
        <f>IF(AB13="","",VLOOKUP(AB13,'12. Lists'!$F$36:$H$38,2,FALSE))</f>
        <v/>
      </c>
      <c r="AD13" s="101" t="str">
        <f>IF(AB13="","",VLOOKUP(AB13,'12. Lists'!$F$36:$H$38,3,FALSE))</f>
        <v/>
      </c>
      <c r="AE13" s="103" t="str">
        <f>IF(D13="","",((J13/1000)*V13*X13)*(AA13*AD13))</f>
        <v/>
      </c>
      <c r="AF13" s="104" t="str">
        <f t="shared" si="0"/>
        <v/>
      </c>
      <c r="AG13" s="105" t="str">
        <f t="shared" si="2"/>
        <v/>
      </c>
      <c r="AH13" s="100" t="str">
        <f>IF(U13="","",VLOOKUP(U13,'12. Lists'!$B$47:$D$49,3,FALSE))</f>
        <v/>
      </c>
      <c r="AI13" s="101" t="str">
        <f>IF(D13="","",VLOOKUP(D13,'11. Condition and Temporal'!$B$6:$J$101,4,FALSE))</f>
        <v/>
      </c>
    </row>
    <row r="14" spans="1:35" s="27" customFormat="1" ht="15.6">
      <c r="B14" s="106">
        <v>4</v>
      </c>
      <c r="C14" s="182" t="s">
        <v>270</v>
      </c>
      <c r="D14" s="534"/>
      <c r="E14" s="535"/>
      <c r="F14" s="732"/>
      <c r="G14" s="733"/>
      <c r="H14" s="734"/>
      <c r="I14" s="219"/>
      <c r="J14" s="213"/>
      <c r="K14" s="220"/>
      <c r="L14" s="166" t="str">
        <f>IF(D14="","",IFERROR(IF(I14="","Length Error",((I14/1000)*V14*X14)*(AA14*AD14)),"Value Missing"))</f>
        <v/>
      </c>
      <c r="M14" s="107" t="str">
        <f t="shared" si="1"/>
        <v/>
      </c>
      <c r="N14" s="351" t="str">
        <f t="shared" ref="N14:N30" si="4">IFERROR(IF(I14="","",IF(M14="Length Error","Length Error",((M14/1000)*V14*X14)*(AA14*AD14))),"Value Missing")</f>
        <v/>
      </c>
      <c r="O14" s="73"/>
      <c r="P14" s="3"/>
      <c r="R14" s="568"/>
      <c r="U14" s="100" t="str">
        <f>IF(D14="","",VLOOKUP(D14,'10. All Habitats + Multipliers'!$C$4:$K$99,5,FALSE))</f>
        <v/>
      </c>
      <c r="V14" s="105" t="str">
        <f>IF(U14="","",VLOOKUP(U14,'12. Lists'!$B$47:$D$49,2,FALSE))</f>
        <v/>
      </c>
      <c r="W14" s="100" t="str">
        <f>IF(D14="","",VLOOKUP(D14,'11. Condition and Temporal'!$B$6:$C$101,2,FALSE))</f>
        <v/>
      </c>
      <c r="X14" s="105" t="str">
        <f>IF(W14="","",VLOOKUP(W14,'12. Lists'!$F$47:$G$51,2,FALSE))</f>
        <v/>
      </c>
      <c r="Y14" s="100" t="str">
        <f>IF(D14="","",VLOOKUP(D14,'10. All Habitats + Multipliers'!$C$4:$K$99,9,FALSE))</f>
        <v/>
      </c>
      <c r="Z14" s="102" t="str">
        <f>IF(Y14="","",VLOOKUP(Y14,'12. Lists'!$B$36:$D$39,2,FALSE))</f>
        <v/>
      </c>
      <c r="AA14" s="105" t="str">
        <f>IF(Y14="","",VLOOKUP(Y14,'12. Lists'!$B$36:$D$39,3,FALSE))</f>
        <v/>
      </c>
      <c r="AB14" s="100" t="str">
        <f t="shared" si="3"/>
        <v/>
      </c>
      <c r="AC14" s="102" t="str">
        <f>IF(AB14="","",VLOOKUP(AB14,'12. Lists'!$F$36:$H$38,2,FALSE))</f>
        <v/>
      </c>
      <c r="AD14" s="101" t="str">
        <f>IF(AB14="","",VLOOKUP(AB14,'12. Lists'!$F$36:$H$38,3,FALSE))</f>
        <v/>
      </c>
      <c r="AE14" s="103" t="str">
        <f>IF(D14="","",((J14/1000)*V14*X14)*(AA14*AD14))</f>
        <v/>
      </c>
      <c r="AF14" s="104" t="str">
        <f t="shared" si="0"/>
        <v/>
      </c>
      <c r="AG14" s="105" t="str">
        <f t="shared" si="2"/>
        <v/>
      </c>
      <c r="AH14" s="100" t="str">
        <f>IF(U14="","",VLOOKUP(U14,'12. Lists'!$B$47:$D$49,3,FALSE))</f>
        <v/>
      </c>
      <c r="AI14" s="101" t="str">
        <f>IF(D14="","",VLOOKUP(D14,'11. Condition and Temporal'!$B$6:$J$101,4,FALSE))</f>
        <v/>
      </c>
    </row>
    <row r="15" spans="1:35" s="27" customFormat="1" ht="15.6">
      <c r="B15" s="106">
        <v>5</v>
      </c>
      <c r="C15" s="182" t="s">
        <v>270</v>
      </c>
      <c r="D15" s="534"/>
      <c r="E15" s="535"/>
      <c r="F15" s="732"/>
      <c r="G15" s="733"/>
      <c r="H15" s="734"/>
      <c r="I15" s="219"/>
      <c r="J15" s="213"/>
      <c r="K15" s="220"/>
      <c r="L15" s="166" t="str">
        <f>IF(D15="","",IFERROR(IF(I15="","Length Error",((I15/1000)*V15*X15)*(AA15*AD15)),"Value Missing"))</f>
        <v/>
      </c>
      <c r="M15" s="107" t="str">
        <f t="shared" si="1"/>
        <v/>
      </c>
      <c r="N15" s="351" t="str">
        <f t="shared" si="4"/>
        <v/>
      </c>
      <c r="O15" s="73"/>
      <c r="P15" s="3"/>
      <c r="R15" s="568"/>
      <c r="U15" s="100" t="str">
        <f>IF(D15="","",VLOOKUP(D15,'10. All Habitats + Multipliers'!$C$4:$K$99,5,FALSE))</f>
        <v/>
      </c>
      <c r="V15" s="105" t="str">
        <f>IF(U15="","",VLOOKUP(U15,'12. Lists'!$B$47:$D$49,2,FALSE))</f>
        <v/>
      </c>
      <c r="W15" s="100" t="str">
        <f>IF(D15="","",VLOOKUP(D15,'11. Condition and Temporal'!$B$6:$C$101,2,FALSE))</f>
        <v/>
      </c>
      <c r="X15" s="105" t="str">
        <f>IF(W15="","",VLOOKUP(W15,'12. Lists'!$F$47:$G$51,2,FALSE))</f>
        <v/>
      </c>
      <c r="Y15" s="100" t="str">
        <f>IF(D15="","",VLOOKUP(D15,'10. All Habitats + Multipliers'!$C$4:$K$99,9,FALSE))</f>
        <v/>
      </c>
      <c r="Z15" s="102" t="str">
        <f>IF(Y15="","",VLOOKUP(Y15,'12. Lists'!$B$36:$D$39,2,FALSE))</f>
        <v/>
      </c>
      <c r="AA15" s="105" t="str">
        <f>IF(Y15="","",VLOOKUP(Y15,'12. Lists'!$B$36:$D$39,3,FALSE))</f>
        <v/>
      </c>
      <c r="AB15" s="100" t="str">
        <f t="shared" si="3"/>
        <v/>
      </c>
      <c r="AC15" s="102" t="str">
        <f>IF(AB15="","",VLOOKUP(AB15,'12. Lists'!$F$36:$H$38,2,FALSE))</f>
        <v/>
      </c>
      <c r="AD15" s="101" t="str">
        <f>IF(AB15="","",VLOOKUP(AB15,'12. Lists'!$F$36:$H$38,3,FALSE))</f>
        <v/>
      </c>
      <c r="AE15" s="103" t="str">
        <f>IF(D15="","",((J15/1000)*V15*X15)*(AA15*AD15))</f>
        <v/>
      </c>
      <c r="AF15" s="104" t="str">
        <f t="shared" si="0"/>
        <v/>
      </c>
      <c r="AG15" s="105" t="str">
        <f t="shared" si="2"/>
        <v/>
      </c>
      <c r="AH15" s="100" t="str">
        <f>IF(U15="","",VLOOKUP(U15,'12. Lists'!$B$47:$D$49,3,FALSE))</f>
        <v/>
      </c>
      <c r="AI15" s="101" t="str">
        <f>IF(D15="","",VLOOKUP(D15,'11. Condition and Temporal'!$B$6:$J$101,4,FALSE))</f>
        <v/>
      </c>
    </row>
    <row r="16" spans="1:35" s="27" customFormat="1" ht="15.6">
      <c r="B16" s="106">
        <v>6</v>
      </c>
      <c r="C16" s="182" t="s">
        <v>270</v>
      </c>
      <c r="D16" s="534"/>
      <c r="E16" s="535"/>
      <c r="F16" s="732"/>
      <c r="G16" s="733"/>
      <c r="H16" s="734"/>
      <c r="I16" s="219"/>
      <c r="J16" s="213"/>
      <c r="K16" s="220"/>
      <c r="L16" s="166" t="str">
        <f t="shared" ref="L16:L18" si="5">IF(D16="","",IFERROR(IF(I16="","Length Error",((I16/1000)*V16*X16)*(AA16*AD16)),"Value Missing"))</f>
        <v/>
      </c>
      <c r="M16" s="107" t="str">
        <f t="shared" si="1"/>
        <v/>
      </c>
      <c r="N16" s="351" t="str">
        <f t="shared" si="4"/>
        <v/>
      </c>
      <c r="O16" s="73"/>
      <c r="P16" s="3"/>
      <c r="R16" s="568"/>
      <c r="U16" s="100" t="str">
        <f>IF(D16="","",VLOOKUP(D16,'10. All Habitats + Multipliers'!$C$4:$K$99,5,FALSE))</f>
        <v/>
      </c>
      <c r="V16" s="105" t="str">
        <f>IF(U16="","",VLOOKUP(U16,'12. Lists'!$B$47:$D$49,2,FALSE))</f>
        <v/>
      </c>
      <c r="W16" s="100" t="str">
        <f>IF(D16="","",VLOOKUP(D16,'11. Condition and Temporal'!$B$6:$C$101,2,FALSE))</f>
        <v/>
      </c>
      <c r="X16" s="105" t="str">
        <f>IF(W16="","",VLOOKUP(W16,'12. Lists'!$F$47:$G$51,2,FALSE))</f>
        <v/>
      </c>
      <c r="Y16" s="100" t="str">
        <f>IF(D16="","",VLOOKUP(D16,'10. All Habitats + Multipliers'!$C$4:$K$99,9,FALSE))</f>
        <v/>
      </c>
      <c r="Z16" s="102" t="str">
        <f>IF(Y16="","",VLOOKUP(Y16,'12. Lists'!$B$36:$D$39,2,FALSE))</f>
        <v/>
      </c>
      <c r="AA16" s="105" t="str">
        <f>IF(Y16="","",VLOOKUP(Y16,'12. Lists'!$B$36:$D$39,3,FALSE))</f>
        <v/>
      </c>
      <c r="AB16" s="100" t="str">
        <f t="shared" si="3"/>
        <v/>
      </c>
      <c r="AC16" s="102" t="str">
        <f>IF(AB16="","",VLOOKUP(AB16,'12. Lists'!$F$36:$H$38,2,FALSE))</f>
        <v/>
      </c>
      <c r="AD16" s="101" t="str">
        <f>IF(AB16="","",VLOOKUP(AB16,'12. Lists'!$F$36:$H$38,3,FALSE))</f>
        <v/>
      </c>
      <c r="AE16" s="103" t="str">
        <f t="shared" ref="AE16:AE30" si="6">IF(D16="","",((J16/1000)*V16*X16)*(AA16*AD16))</f>
        <v/>
      </c>
      <c r="AF16" s="104" t="str">
        <f t="shared" si="0"/>
        <v/>
      </c>
      <c r="AG16" s="105" t="str">
        <f t="shared" si="2"/>
        <v/>
      </c>
      <c r="AH16" s="100" t="str">
        <f>IF(U16="","",VLOOKUP(U16,'12. Lists'!$B$47:$D$49,3,FALSE))</f>
        <v/>
      </c>
      <c r="AI16" s="101" t="str">
        <f>IF(D16="","",VLOOKUP(D16,'11. Condition and Temporal'!$B$6:$J$101,4,FALSE))</f>
        <v/>
      </c>
    </row>
    <row r="17" spans="2:35" s="27" customFormat="1" ht="15.6">
      <c r="B17" s="106">
        <v>7</v>
      </c>
      <c r="C17" s="182" t="s">
        <v>270</v>
      </c>
      <c r="D17" s="534"/>
      <c r="E17" s="535"/>
      <c r="F17" s="732"/>
      <c r="G17" s="733"/>
      <c r="H17" s="734"/>
      <c r="I17" s="219"/>
      <c r="J17" s="213"/>
      <c r="K17" s="220"/>
      <c r="L17" s="166" t="str">
        <f t="shared" si="5"/>
        <v/>
      </c>
      <c r="M17" s="107" t="str">
        <f t="shared" si="1"/>
        <v/>
      </c>
      <c r="N17" s="351" t="str">
        <f t="shared" si="4"/>
        <v/>
      </c>
      <c r="O17" s="73"/>
      <c r="P17" s="3"/>
      <c r="R17" s="568"/>
      <c r="U17" s="100" t="str">
        <f>IF(D17="","",VLOOKUP(D17,'10. All Habitats + Multipliers'!$C$4:$K$99,5,FALSE))</f>
        <v/>
      </c>
      <c r="V17" s="105" t="str">
        <f>IF(U17="","",VLOOKUP(U17,'12. Lists'!$B$47:$D$49,2,FALSE))</f>
        <v/>
      </c>
      <c r="W17" s="100" t="str">
        <f>IF(D17="","",VLOOKUP(D17,'11. Condition and Temporal'!$B$6:$C$101,2,FALSE))</f>
        <v/>
      </c>
      <c r="X17" s="105" t="str">
        <f>IF(W17="","",VLOOKUP(W17,'12. Lists'!$F$47:$G$51,2,FALSE))</f>
        <v/>
      </c>
      <c r="Y17" s="100" t="str">
        <f>IF(D17="","",VLOOKUP(D17,'10. All Habitats + Multipliers'!$C$4:$K$99,9,FALSE))</f>
        <v/>
      </c>
      <c r="Z17" s="102" t="str">
        <f>IF(Y17="","",VLOOKUP(Y17,'12. Lists'!$B$36:$D$39,2,FALSE))</f>
        <v/>
      </c>
      <c r="AA17" s="105" t="str">
        <f>IF(Y17="","",VLOOKUP(Y17,'12. Lists'!$B$36:$D$39,3,FALSE))</f>
        <v/>
      </c>
      <c r="AB17" s="100" t="str">
        <f t="shared" si="3"/>
        <v/>
      </c>
      <c r="AC17" s="102" t="str">
        <f>IF(AB17="","",VLOOKUP(AB17,'12. Lists'!$F$36:$H$38,2,FALSE))</f>
        <v/>
      </c>
      <c r="AD17" s="101" t="str">
        <f>IF(AB17="","",VLOOKUP(AB17,'12. Lists'!$F$36:$H$38,3,FALSE))</f>
        <v/>
      </c>
      <c r="AE17" s="103" t="str">
        <f t="shared" si="6"/>
        <v/>
      </c>
      <c r="AF17" s="104" t="str">
        <f t="shared" si="0"/>
        <v/>
      </c>
      <c r="AG17" s="105" t="str">
        <f t="shared" si="2"/>
        <v/>
      </c>
      <c r="AH17" s="100" t="str">
        <f>IF(U17="","",VLOOKUP(U17,'12. Lists'!$B$47:$D$49,3,FALSE))</f>
        <v/>
      </c>
      <c r="AI17" s="101" t="str">
        <f>IF(D17="","",VLOOKUP(D17,'11. Condition and Temporal'!$B$6:$J$101,4,FALSE))</f>
        <v/>
      </c>
    </row>
    <row r="18" spans="2:35" s="27" customFormat="1" ht="15.6">
      <c r="B18" s="106">
        <v>8</v>
      </c>
      <c r="C18" s="182" t="s">
        <v>270</v>
      </c>
      <c r="D18" s="534"/>
      <c r="E18" s="535"/>
      <c r="F18" s="732"/>
      <c r="G18" s="733"/>
      <c r="H18" s="734"/>
      <c r="I18" s="219"/>
      <c r="J18" s="213"/>
      <c r="K18" s="220"/>
      <c r="L18" s="166" t="str">
        <f t="shared" si="5"/>
        <v/>
      </c>
      <c r="M18" s="107" t="str">
        <f t="shared" si="1"/>
        <v/>
      </c>
      <c r="N18" s="351" t="str">
        <f t="shared" si="4"/>
        <v/>
      </c>
      <c r="O18" s="73"/>
      <c r="P18" s="3"/>
      <c r="R18" s="568"/>
      <c r="U18" s="100" t="str">
        <f>IF(D18="","",VLOOKUP(D18,'10. All Habitats + Multipliers'!$C$4:$K$99,5,FALSE))</f>
        <v/>
      </c>
      <c r="V18" s="105" t="str">
        <f>IF(U18="","",VLOOKUP(U18,'12. Lists'!$B$47:$D$49,2,FALSE))</f>
        <v/>
      </c>
      <c r="W18" s="100" t="str">
        <f>IF(D18="","",VLOOKUP(D18,'11. Condition and Temporal'!$B$6:$C$101,2,FALSE))</f>
        <v/>
      </c>
      <c r="X18" s="105" t="str">
        <f>IF(W18="","",VLOOKUP(W18,'12. Lists'!$F$47:$G$51,2,FALSE))</f>
        <v/>
      </c>
      <c r="Y18" s="100" t="str">
        <f>IF(D18="","",VLOOKUP(D18,'10. All Habitats + Multipliers'!$C$4:$K$99,9,FALSE))</f>
        <v/>
      </c>
      <c r="Z18" s="102" t="str">
        <f>IF(Y18="","",VLOOKUP(Y18,'12. Lists'!$B$36:$D$39,2,FALSE))</f>
        <v/>
      </c>
      <c r="AA18" s="105" t="str">
        <f>IF(Y18="","",VLOOKUP(Y18,'12. Lists'!$B$36:$D$39,3,FALSE))</f>
        <v/>
      </c>
      <c r="AB18" s="100" t="str">
        <f t="shared" si="3"/>
        <v/>
      </c>
      <c r="AC18" s="102" t="str">
        <f>IF(AB18="","",VLOOKUP(AB18,'12. Lists'!$F$36:$H$38,2,FALSE))</f>
        <v/>
      </c>
      <c r="AD18" s="101" t="str">
        <f>IF(AB18="","",VLOOKUP(AB18,'12. Lists'!$F$36:$H$38,3,FALSE))</f>
        <v/>
      </c>
      <c r="AE18" s="103" t="str">
        <f t="shared" si="6"/>
        <v/>
      </c>
      <c r="AF18" s="104" t="str">
        <f t="shared" si="0"/>
        <v/>
      </c>
      <c r="AG18" s="105" t="str">
        <f t="shared" si="2"/>
        <v/>
      </c>
      <c r="AH18" s="100" t="str">
        <f>IF(U18="","",VLOOKUP(U18,'12. Lists'!$B$47:$D$49,3,FALSE))</f>
        <v/>
      </c>
      <c r="AI18" s="101" t="str">
        <f>IF(D18="","",VLOOKUP(D18,'11. Condition and Temporal'!$B$6:$J$101,4,FALSE))</f>
        <v/>
      </c>
    </row>
    <row r="19" spans="2:35" s="27" customFormat="1" ht="15.6">
      <c r="B19" s="106">
        <v>9</v>
      </c>
      <c r="C19" s="182" t="s">
        <v>270</v>
      </c>
      <c r="D19" s="534"/>
      <c r="E19" s="535"/>
      <c r="F19" s="732"/>
      <c r="G19" s="733"/>
      <c r="H19" s="734"/>
      <c r="I19" s="219"/>
      <c r="J19" s="213"/>
      <c r="K19" s="220"/>
      <c r="L19" s="166" t="str">
        <f>IF(D19="","",IFERROR(IF(I19="","Length Error",((I19/1000)*V19*X19)*(AA19*AD19)),"Value Missing"))</f>
        <v/>
      </c>
      <c r="M19" s="107" t="str">
        <f t="shared" si="1"/>
        <v/>
      </c>
      <c r="N19" s="351" t="str">
        <f t="shared" si="4"/>
        <v/>
      </c>
      <c r="O19" s="73"/>
      <c r="P19" s="3"/>
      <c r="R19" s="568"/>
      <c r="U19" s="100" t="str">
        <f>IF(D19="","",VLOOKUP(D19,'10. All Habitats + Multipliers'!$C$4:$K$99,5,FALSE))</f>
        <v/>
      </c>
      <c r="V19" s="105" t="str">
        <f>IF(U19="","",VLOOKUP(U19,'12. Lists'!$B$47:$D$49,2,FALSE))</f>
        <v/>
      </c>
      <c r="W19" s="100" t="str">
        <f>IF(D19="","",VLOOKUP(D19,'11. Condition and Temporal'!$B$6:$C$101,2,FALSE))</f>
        <v/>
      </c>
      <c r="X19" s="105" t="str">
        <f>IF(W19="","",VLOOKUP(W19,'12. Lists'!$F$47:$G$51,2,FALSE))</f>
        <v/>
      </c>
      <c r="Y19" s="100" t="str">
        <f>IF(D19="","",VLOOKUP(D19,'10. All Habitats + Multipliers'!$C$4:$K$99,9,FALSE))</f>
        <v/>
      </c>
      <c r="Z19" s="102" t="str">
        <f>IF(Y19="","",VLOOKUP(Y19,'12. Lists'!$B$36:$D$39,2,FALSE))</f>
        <v/>
      </c>
      <c r="AA19" s="105" t="str">
        <f>IF(Y19="","",VLOOKUP(Y19,'12. Lists'!$B$36:$D$39,3,FALSE))</f>
        <v/>
      </c>
      <c r="AB19" s="100" t="str">
        <f t="shared" si="3"/>
        <v/>
      </c>
      <c r="AC19" s="102" t="str">
        <f>IF(AB19="","",VLOOKUP(AB19,'12. Lists'!$F$36:$H$38,2,FALSE))</f>
        <v/>
      </c>
      <c r="AD19" s="101" t="str">
        <f>IF(AB19="","",VLOOKUP(AB19,'12. Lists'!$F$36:$H$38,3,FALSE))</f>
        <v/>
      </c>
      <c r="AE19" s="103" t="str">
        <f t="shared" si="6"/>
        <v/>
      </c>
      <c r="AF19" s="104" t="str">
        <f t="shared" ref="AF19:AF24" si="7">IF(D19="","",((K19/1000)*V19*X19)*(AA19*AD19))</f>
        <v/>
      </c>
      <c r="AG19" s="105" t="str">
        <f t="shared" si="2"/>
        <v/>
      </c>
      <c r="AH19" s="100" t="str">
        <f>IF(U19="","",VLOOKUP(U19,'12. Lists'!$B$47:$D$49,3,FALSE))</f>
        <v/>
      </c>
      <c r="AI19" s="101" t="str">
        <f>IF(D19="","",VLOOKUP(D19,'11. Condition and Temporal'!$B$6:$J$101,4,FALSE))</f>
        <v/>
      </c>
    </row>
    <row r="20" spans="2:35" s="27" customFormat="1" ht="15.6">
      <c r="B20" s="106">
        <v>10</v>
      </c>
      <c r="C20" s="182" t="s">
        <v>270</v>
      </c>
      <c r="D20" s="534"/>
      <c r="E20" s="535"/>
      <c r="F20" s="732"/>
      <c r="G20" s="733"/>
      <c r="H20" s="734"/>
      <c r="I20" s="219"/>
      <c r="J20" s="213"/>
      <c r="K20" s="220"/>
      <c r="L20" s="166" t="str">
        <f t="shared" ref="L20:L22" si="8">IF(D20="","",IFERROR(IF(I20="","Length Error",((I20/1000)*V20*X20)*(AA20*AD20)),"Value Missing"))</f>
        <v/>
      </c>
      <c r="M20" s="107" t="str">
        <f t="shared" si="1"/>
        <v/>
      </c>
      <c r="N20" s="351" t="str">
        <f t="shared" si="4"/>
        <v/>
      </c>
      <c r="O20" s="74"/>
      <c r="P20" s="8"/>
      <c r="R20" s="568"/>
      <c r="U20" s="100" t="str">
        <f>IF(D20="","",VLOOKUP(D20,'10. All Habitats + Multipliers'!$C$4:$K$99,5,FALSE))</f>
        <v/>
      </c>
      <c r="V20" s="105" t="str">
        <f>IF(U20="","",VLOOKUP(U20,'12. Lists'!$B$47:$D$49,2,FALSE))</f>
        <v/>
      </c>
      <c r="W20" s="100" t="str">
        <f>IF(D20="","",VLOOKUP(D20,'11. Condition and Temporal'!$B$6:$C$101,2,FALSE))</f>
        <v/>
      </c>
      <c r="X20" s="105" t="str">
        <f>IF(W20="","",VLOOKUP(W20,'12. Lists'!$F$47:$G$51,2,FALSE))</f>
        <v/>
      </c>
      <c r="Y20" s="100" t="str">
        <f>IF(D20="","",VLOOKUP(D20,'10. All Habitats + Multipliers'!$C$4:$K$99,9,FALSE))</f>
        <v/>
      </c>
      <c r="Z20" s="102" t="str">
        <f>IF(Y20="","",VLOOKUP(Y20,'12. Lists'!$B$36:$D$39,2,FALSE))</f>
        <v/>
      </c>
      <c r="AA20" s="105" t="str">
        <f>IF(Y20="","",VLOOKUP(Y20,'12. Lists'!$B$36:$D$39,3,FALSE))</f>
        <v/>
      </c>
      <c r="AB20" s="100" t="str">
        <f t="shared" si="3"/>
        <v/>
      </c>
      <c r="AC20" s="102" t="str">
        <f>IF(AB20="","",VLOOKUP(AB20,'12. Lists'!$F$36:$H$38,2,FALSE))</f>
        <v/>
      </c>
      <c r="AD20" s="101" t="str">
        <f>IF(AB20="","",VLOOKUP(AB20,'12. Lists'!$F$36:$H$38,3,FALSE))</f>
        <v/>
      </c>
      <c r="AE20" s="103" t="str">
        <f t="shared" si="6"/>
        <v/>
      </c>
      <c r="AF20" s="104" t="str">
        <f t="shared" si="7"/>
        <v/>
      </c>
      <c r="AG20" s="105" t="str">
        <f t="shared" si="2"/>
        <v/>
      </c>
      <c r="AH20" s="100" t="str">
        <f>IF(U20="","",VLOOKUP(U20,'12. Lists'!$B$47:$D$49,3,FALSE))</f>
        <v/>
      </c>
      <c r="AI20" s="101" t="str">
        <f>IF(D20="","",VLOOKUP(D20,'11. Condition and Temporal'!$B$6:$J$101,4,FALSE))</f>
        <v/>
      </c>
    </row>
    <row r="21" spans="2:35" s="27" customFormat="1" ht="15.6">
      <c r="B21" s="106">
        <v>11</v>
      </c>
      <c r="C21" s="182" t="s">
        <v>270</v>
      </c>
      <c r="D21" s="534"/>
      <c r="E21" s="535"/>
      <c r="F21" s="732"/>
      <c r="G21" s="733"/>
      <c r="H21" s="734"/>
      <c r="I21" s="219"/>
      <c r="J21" s="213"/>
      <c r="K21" s="220"/>
      <c r="L21" s="166" t="str">
        <f t="shared" si="8"/>
        <v/>
      </c>
      <c r="M21" s="107" t="str">
        <f t="shared" si="1"/>
        <v/>
      </c>
      <c r="N21" s="351" t="str">
        <f t="shared" si="4"/>
        <v/>
      </c>
      <c r="O21" s="74"/>
      <c r="P21" s="8"/>
      <c r="R21" s="568"/>
      <c r="U21" s="100" t="str">
        <f>IF(D21="","",VLOOKUP(D21,'10. All Habitats + Multipliers'!$C$4:$K$99,5,FALSE))</f>
        <v/>
      </c>
      <c r="V21" s="105" t="str">
        <f>IF(U21="","",VLOOKUP(U21,'12. Lists'!$B$47:$D$49,2,FALSE))</f>
        <v/>
      </c>
      <c r="W21" s="100" t="str">
        <f>IF(D21="","",VLOOKUP(D21,'11. Condition and Temporal'!$B$6:$C$101,2,FALSE))</f>
        <v/>
      </c>
      <c r="X21" s="105" t="str">
        <f>IF(W21="","",VLOOKUP(W21,'12. Lists'!$F$47:$G$51,2,FALSE))</f>
        <v/>
      </c>
      <c r="Y21" s="100" t="str">
        <f>IF(D21="","",VLOOKUP(D21,'10. All Habitats + Multipliers'!$C$4:$K$99,9,FALSE))</f>
        <v/>
      </c>
      <c r="Z21" s="102" t="str">
        <f>IF(Y21="","",VLOOKUP(Y21,'12. Lists'!$B$36:$D$39,2,FALSE))</f>
        <v/>
      </c>
      <c r="AA21" s="105" t="str">
        <f>IF(Y21="","",VLOOKUP(Y21,'12. Lists'!$B$36:$D$39,3,FALSE))</f>
        <v/>
      </c>
      <c r="AB21" s="100" t="str">
        <f t="shared" si="3"/>
        <v/>
      </c>
      <c r="AC21" s="102" t="str">
        <f>IF(AB21="","",VLOOKUP(AB21,'12. Lists'!$F$36:$H$38,2,FALSE))</f>
        <v/>
      </c>
      <c r="AD21" s="101" t="str">
        <f>IF(AB21="","",VLOOKUP(AB21,'12. Lists'!$F$36:$H$38,3,FALSE))</f>
        <v/>
      </c>
      <c r="AE21" s="103" t="str">
        <f t="shared" si="6"/>
        <v/>
      </c>
      <c r="AF21" s="104" t="str">
        <f t="shared" si="7"/>
        <v/>
      </c>
      <c r="AG21" s="105" t="str">
        <f t="shared" si="2"/>
        <v/>
      </c>
      <c r="AH21" s="100" t="str">
        <f>IF(U21="","",VLOOKUP(U21,'12. Lists'!$B$47:$D$49,3,FALSE))</f>
        <v/>
      </c>
      <c r="AI21" s="101" t="str">
        <f>IF(D21="","",VLOOKUP(D21,'11. Condition and Temporal'!$B$6:$J$101,4,FALSE))</f>
        <v/>
      </c>
    </row>
    <row r="22" spans="2:35" s="27" customFormat="1" ht="15.6">
      <c r="B22" s="106">
        <v>12</v>
      </c>
      <c r="C22" s="182" t="s">
        <v>270</v>
      </c>
      <c r="D22" s="534"/>
      <c r="E22" s="535"/>
      <c r="F22" s="732"/>
      <c r="G22" s="733"/>
      <c r="H22" s="734"/>
      <c r="I22" s="219"/>
      <c r="J22" s="213"/>
      <c r="K22" s="220"/>
      <c r="L22" s="166" t="str">
        <f t="shared" si="8"/>
        <v/>
      </c>
      <c r="M22" s="107" t="str">
        <f t="shared" si="1"/>
        <v/>
      </c>
      <c r="N22" s="351" t="str">
        <f t="shared" si="4"/>
        <v/>
      </c>
      <c r="O22" s="74"/>
      <c r="P22" s="8"/>
      <c r="R22" s="568"/>
      <c r="U22" s="100" t="str">
        <f>IF(D22="","",VLOOKUP(D22,'10. All Habitats + Multipliers'!$C$4:$K$99,5,FALSE))</f>
        <v/>
      </c>
      <c r="V22" s="105" t="str">
        <f>IF(U22="","",VLOOKUP(U22,'12. Lists'!$B$47:$D$49,2,FALSE))</f>
        <v/>
      </c>
      <c r="W22" s="100" t="str">
        <f>IF(D22="","",VLOOKUP(D22,'11. Condition and Temporal'!$B$6:$C$101,2,FALSE))</f>
        <v/>
      </c>
      <c r="X22" s="105" t="str">
        <f>IF(W22="","",VLOOKUP(W22,'12. Lists'!$F$47:$G$51,2,FALSE))</f>
        <v/>
      </c>
      <c r="Y22" s="100" t="str">
        <f>IF(D22="","",VLOOKUP(D22,'10. All Habitats + Multipliers'!$C$4:$K$99,9,FALSE))</f>
        <v/>
      </c>
      <c r="Z22" s="102" t="str">
        <f>IF(Y22="","",VLOOKUP(Y22,'12. Lists'!$B$36:$D$39,2,FALSE))</f>
        <v/>
      </c>
      <c r="AA22" s="105" t="str">
        <f>IF(Y22="","",VLOOKUP(Y22,'12. Lists'!$B$36:$D$39,3,FALSE))</f>
        <v/>
      </c>
      <c r="AB22" s="100" t="str">
        <f t="shared" si="3"/>
        <v/>
      </c>
      <c r="AC22" s="102" t="str">
        <f>IF(AB22="","",VLOOKUP(AB22,'12. Lists'!$F$36:$H$38,2,FALSE))</f>
        <v/>
      </c>
      <c r="AD22" s="101" t="str">
        <f>IF(AB22="","",VLOOKUP(AB22,'12. Lists'!$F$36:$H$38,3,FALSE))</f>
        <v/>
      </c>
      <c r="AE22" s="103" t="str">
        <f t="shared" si="6"/>
        <v/>
      </c>
      <c r="AF22" s="104" t="str">
        <f t="shared" si="7"/>
        <v/>
      </c>
      <c r="AG22" s="105" t="str">
        <f t="shared" si="2"/>
        <v/>
      </c>
      <c r="AH22" s="100" t="str">
        <f>IF(U22="","",VLOOKUP(U22,'12. Lists'!$B$47:$D$49,3,FALSE))</f>
        <v/>
      </c>
      <c r="AI22" s="101" t="str">
        <f>IF(D22="","",VLOOKUP(D22,'11. Condition and Temporal'!$B$6:$J$101,4,FALSE))</f>
        <v/>
      </c>
    </row>
    <row r="23" spans="2:35" s="27" customFormat="1" ht="15.6">
      <c r="B23" s="106">
        <v>13</v>
      </c>
      <c r="C23" s="182" t="s">
        <v>270</v>
      </c>
      <c r="D23" s="534"/>
      <c r="E23" s="535"/>
      <c r="F23" s="732"/>
      <c r="G23" s="733"/>
      <c r="H23" s="734"/>
      <c r="I23" s="219"/>
      <c r="J23" s="213"/>
      <c r="K23" s="220"/>
      <c r="L23" s="166" t="str">
        <f>IF(D23="","",IFERROR(IF(I23="","Length Error",((I23/1000)*V23*X23)*(AA23*AD23)),"Value Missing"))</f>
        <v/>
      </c>
      <c r="M23" s="107" t="str">
        <f t="shared" si="1"/>
        <v/>
      </c>
      <c r="N23" s="351" t="str">
        <f t="shared" si="4"/>
        <v/>
      </c>
      <c r="O23" s="74"/>
      <c r="P23" s="8"/>
      <c r="R23" s="568"/>
      <c r="U23" s="100" t="str">
        <f>IF(D23="","",VLOOKUP(D23,'10. All Habitats + Multipliers'!$C$4:$K$99,5,FALSE))</f>
        <v/>
      </c>
      <c r="V23" s="105" t="str">
        <f>IF(U23="","",VLOOKUP(U23,'12. Lists'!$B$47:$D$49,2,FALSE))</f>
        <v/>
      </c>
      <c r="W23" s="100" t="str">
        <f>IF(D23="","",VLOOKUP(D23,'11. Condition and Temporal'!$B$6:$C$101,2,FALSE))</f>
        <v/>
      </c>
      <c r="X23" s="105" t="str">
        <f>IF(W23="","",VLOOKUP(W23,'12. Lists'!$F$47:$G$51,2,FALSE))</f>
        <v/>
      </c>
      <c r="Y23" s="100" t="str">
        <f>IF(D23="","",VLOOKUP(D23,'10. All Habitats + Multipliers'!$C$4:$K$99,9,FALSE))</f>
        <v/>
      </c>
      <c r="Z23" s="102" t="str">
        <f>IF(Y23="","",VLOOKUP(Y23,'12. Lists'!$B$36:$D$39,2,FALSE))</f>
        <v/>
      </c>
      <c r="AA23" s="105" t="str">
        <f>IF(Y23="","",VLOOKUP(Y23,'12. Lists'!$B$36:$D$39,3,FALSE))</f>
        <v/>
      </c>
      <c r="AB23" s="100" t="str">
        <f t="shared" si="3"/>
        <v/>
      </c>
      <c r="AC23" s="102" t="str">
        <f>IF(AB23="","",VLOOKUP(AB23,'12. Lists'!$F$36:$H$38,2,FALSE))</f>
        <v/>
      </c>
      <c r="AD23" s="101" t="str">
        <f>IF(AB23="","",VLOOKUP(AB23,'12. Lists'!$F$36:$H$38,3,FALSE))</f>
        <v/>
      </c>
      <c r="AE23" s="103" t="str">
        <f t="shared" si="6"/>
        <v/>
      </c>
      <c r="AF23" s="104" t="str">
        <f t="shared" si="7"/>
        <v/>
      </c>
      <c r="AG23" s="105" t="str">
        <f t="shared" si="2"/>
        <v/>
      </c>
      <c r="AH23" s="100" t="str">
        <f>IF(U23="","",VLOOKUP(U23,'12. Lists'!$B$47:$D$49,3,FALSE))</f>
        <v/>
      </c>
      <c r="AI23" s="101" t="str">
        <f>IF(D23="","",VLOOKUP(D23,'11. Condition and Temporal'!$B$6:$J$101,4,FALSE))</f>
        <v/>
      </c>
    </row>
    <row r="24" spans="2:35" s="27" customFormat="1" ht="15.6">
      <c r="B24" s="106">
        <v>14</v>
      </c>
      <c r="C24" s="182" t="s">
        <v>270</v>
      </c>
      <c r="D24" s="534"/>
      <c r="E24" s="535"/>
      <c r="F24" s="732"/>
      <c r="G24" s="733"/>
      <c r="H24" s="734"/>
      <c r="I24" s="219"/>
      <c r="J24" s="213"/>
      <c r="K24" s="220"/>
      <c r="L24" s="166" t="str">
        <f t="shared" ref="L24:L26" si="9">IF(D24="","",IFERROR(IF(I24="","Length Error",((I24/1000)*V24*X24)*(AA24*AD24)),"Value Missing"))</f>
        <v/>
      </c>
      <c r="M24" s="107" t="str">
        <f t="shared" si="1"/>
        <v/>
      </c>
      <c r="N24" s="351" t="str">
        <f t="shared" si="4"/>
        <v/>
      </c>
      <c r="O24" s="74"/>
      <c r="P24" s="8"/>
      <c r="R24" s="568"/>
      <c r="U24" s="100" t="str">
        <f>IF(D24="","",VLOOKUP(D24,'10. All Habitats + Multipliers'!$C$4:$K$99,5,FALSE))</f>
        <v/>
      </c>
      <c r="V24" s="105" t="str">
        <f>IF(U24="","",VLOOKUP(U24,'12. Lists'!$B$47:$D$49,2,FALSE))</f>
        <v/>
      </c>
      <c r="W24" s="100" t="str">
        <f>IF(D24="","",VLOOKUP(D24,'11. Condition and Temporal'!$B$6:$C$101,2,FALSE))</f>
        <v/>
      </c>
      <c r="X24" s="105" t="str">
        <f>IF(W24="","",VLOOKUP(W24,'12. Lists'!$F$47:$G$51,2,FALSE))</f>
        <v/>
      </c>
      <c r="Y24" s="100" t="str">
        <f>IF(D24="","",VLOOKUP(D24,'10. All Habitats + Multipliers'!$C$4:$K$99,9,FALSE))</f>
        <v/>
      </c>
      <c r="Z24" s="102" t="str">
        <f>IF(Y24="","",VLOOKUP(Y24,'12. Lists'!$B$36:$D$39,2,FALSE))</f>
        <v/>
      </c>
      <c r="AA24" s="105" t="str">
        <f>IF(Y24="","",VLOOKUP(Y24,'12. Lists'!$B$36:$D$39,3,FALSE))</f>
        <v/>
      </c>
      <c r="AB24" s="100" t="str">
        <f t="shared" si="3"/>
        <v/>
      </c>
      <c r="AC24" s="102" t="str">
        <f>IF(AB24="","",VLOOKUP(AB24,'12. Lists'!$F$36:$H$38,2,FALSE))</f>
        <v/>
      </c>
      <c r="AD24" s="101" t="str">
        <f>IF(AB24="","",VLOOKUP(AB24,'12. Lists'!$F$36:$H$38,3,FALSE))</f>
        <v/>
      </c>
      <c r="AE24" s="103" t="str">
        <f t="shared" si="6"/>
        <v/>
      </c>
      <c r="AF24" s="104" t="str">
        <f t="shared" si="7"/>
        <v/>
      </c>
      <c r="AG24" s="105" t="str">
        <f t="shared" si="2"/>
        <v/>
      </c>
      <c r="AH24" s="100" t="str">
        <f>IF(U24="","",VLOOKUP(U24,'12. Lists'!$B$47:$D$49,3,FALSE))</f>
        <v/>
      </c>
      <c r="AI24" s="101" t="str">
        <f>IF(D24="","",VLOOKUP(D24,'11. Condition and Temporal'!$B$6:$J$101,4,FALSE))</f>
        <v/>
      </c>
    </row>
    <row r="25" spans="2:35" s="27" customFormat="1" ht="15.6">
      <c r="B25" s="106">
        <v>15</v>
      </c>
      <c r="C25" s="182" t="s">
        <v>270</v>
      </c>
      <c r="D25" s="534"/>
      <c r="E25" s="535"/>
      <c r="F25" s="732"/>
      <c r="G25" s="733"/>
      <c r="H25" s="734"/>
      <c r="I25" s="219"/>
      <c r="J25" s="213"/>
      <c r="K25" s="220"/>
      <c r="L25" s="166" t="str">
        <f t="shared" si="9"/>
        <v/>
      </c>
      <c r="M25" s="107" t="str">
        <f t="shared" si="1"/>
        <v/>
      </c>
      <c r="N25" s="351" t="str">
        <f t="shared" si="4"/>
        <v/>
      </c>
      <c r="O25" s="74"/>
      <c r="P25" s="8"/>
      <c r="R25" s="568"/>
      <c r="U25" s="100" t="str">
        <f>IF(D25="","",VLOOKUP(D25,'10. All Habitats + Multipliers'!$C$4:$K$99,5,FALSE))</f>
        <v/>
      </c>
      <c r="V25" s="105" t="str">
        <f>IF(U25="","",VLOOKUP(U25,'12. Lists'!$B$47:$D$49,2,FALSE))</f>
        <v/>
      </c>
      <c r="W25" s="100" t="str">
        <f>IF(D25="","",VLOOKUP(D25,'11. Condition and Temporal'!$B$6:$C$101,2,FALSE))</f>
        <v/>
      </c>
      <c r="X25" s="105" t="str">
        <f>IF(W25="","",VLOOKUP(W25,'12. Lists'!$F$47:$G$51,2,FALSE))</f>
        <v/>
      </c>
      <c r="Y25" s="100" t="str">
        <f>IF(D25="","",VLOOKUP(D25,'10. All Habitats + Multipliers'!$C$4:$K$99,9,FALSE))</f>
        <v/>
      </c>
      <c r="Z25" s="102" t="str">
        <f>IF(Y25="","",VLOOKUP(Y25,'12. Lists'!$B$36:$D$39,2,FALSE))</f>
        <v/>
      </c>
      <c r="AA25" s="105" t="str">
        <f>IF(Y25="","",VLOOKUP(Y25,'12. Lists'!$B$36:$D$39,3,FALSE))</f>
        <v/>
      </c>
      <c r="AB25" s="100" t="str">
        <f t="shared" si="3"/>
        <v/>
      </c>
      <c r="AC25" s="102" t="str">
        <f>IF(AB25="","",VLOOKUP(AB25,'12. Lists'!$F$36:$H$38,2,FALSE))</f>
        <v/>
      </c>
      <c r="AD25" s="101" t="str">
        <f>IF(AB25="","",VLOOKUP(AB25,'12. Lists'!$F$36:$H$38,3,FALSE))</f>
        <v/>
      </c>
      <c r="AE25" s="103" t="str">
        <f t="shared" si="6"/>
        <v/>
      </c>
      <c r="AF25" s="104" t="str">
        <f>IF(D25="","",((K25/1000)*V25*X25)*(AA25*AD25))</f>
        <v/>
      </c>
      <c r="AG25" s="105" t="str">
        <f t="shared" si="2"/>
        <v/>
      </c>
      <c r="AH25" s="100" t="str">
        <f>IF(U25="","",VLOOKUP(U25,'12. Lists'!$B$47:$D$49,3,FALSE))</f>
        <v/>
      </c>
      <c r="AI25" s="101" t="str">
        <f>IF(D25="","",VLOOKUP(D25,'11. Condition and Temporal'!$B$6:$J$101,4,FALSE))</f>
        <v/>
      </c>
    </row>
    <row r="26" spans="2:35" s="27" customFormat="1" ht="15.6">
      <c r="B26" s="106">
        <v>16</v>
      </c>
      <c r="C26" s="182" t="s">
        <v>270</v>
      </c>
      <c r="D26" s="534"/>
      <c r="E26" s="535"/>
      <c r="F26" s="732"/>
      <c r="G26" s="733"/>
      <c r="H26" s="734"/>
      <c r="I26" s="219"/>
      <c r="J26" s="213"/>
      <c r="K26" s="220"/>
      <c r="L26" s="166" t="str">
        <f t="shared" si="9"/>
        <v/>
      </c>
      <c r="M26" s="107" t="str">
        <f t="shared" si="1"/>
        <v/>
      </c>
      <c r="N26" s="351" t="str">
        <f t="shared" si="4"/>
        <v/>
      </c>
      <c r="O26" s="74"/>
      <c r="P26" s="8"/>
      <c r="R26" s="568"/>
      <c r="U26" s="100" t="str">
        <f>IF(D26="","",VLOOKUP(D26,'10. All Habitats + Multipliers'!$C$4:$K$99,5,FALSE))</f>
        <v/>
      </c>
      <c r="V26" s="105" t="str">
        <f>IF(U26="","",VLOOKUP(U26,'12. Lists'!$B$47:$D$49,2,FALSE))</f>
        <v/>
      </c>
      <c r="W26" s="100" t="str">
        <f>IF(D26="","",VLOOKUP(D26,'11. Condition and Temporal'!$B$6:$C$101,2,FALSE))</f>
        <v/>
      </c>
      <c r="X26" s="105" t="str">
        <f>IF(W26="","",VLOOKUP(W26,'12. Lists'!$F$47:$G$51,2,FALSE))</f>
        <v/>
      </c>
      <c r="Y26" s="100" t="str">
        <f>IF(D26="","",VLOOKUP(D26,'10. All Habitats + Multipliers'!$C$4:$K$99,9,FALSE))</f>
        <v/>
      </c>
      <c r="Z26" s="102" t="str">
        <f>IF(Y26="","",VLOOKUP(Y26,'12. Lists'!$B$36:$D$39,2,FALSE))</f>
        <v/>
      </c>
      <c r="AA26" s="105" t="str">
        <f>IF(Y26="","",VLOOKUP(Y26,'12. Lists'!$B$36:$D$39,3,FALSE))</f>
        <v/>
      </c>
      <c r="AB26" s="100" t="str">
        <f t="shared" si="3"/>
        <v/>
      </c>
      <c r="AC26" s="102" t="str">
        <f>IF(AB26="","",VLOOKUP(AB26,'12. Lists'!$F$36:$H$38,2,FALSE))</f>
        <v/>
      </c>
      <c r="AD26" s="101" t="str">
        <f>IF(AB26="","",VLOOKUP(AB26,'12. Lists'!$F$36:$H$38,3,FALSE))</f>
        <v/>
      </c>
      <c r="AE26" s="103" t="str">
        <f t="shared" si="6"/>
        <v/>
      </c>
      <c r="AF26" s="104" t="str">
        <f t="shared" ref="AF26:AF30" si="10">IF(D26="","",((K26/1000)*V26*X26)*(AA26*AD26))</f>
        <v/>
      </c>
      <c r="AG26" s="105" t="str">
        <f t="shared" si="2"/>
        <v/>
      </c>
      <c r="AH26" s="100" t="str">
        <f>IF(U26="","",VLOOKUP(U26,'12. Lists'!$B$47:$D$49,3,FALSE))</f>
        <v/>
      </c>
      <c r="AI26" s="101" t="str">
        <f>IF(D26="","",VLOOKUP(D26,'11. Condition and Temporal'!$B$6:$J$101,4,FALSE))</f>
        <v/>
      </c>
    </row>
    <row r="27" spans="2:35" s="27" customFormat="1" ht="15.6">
      <c r="B27" s="106">
        <v>17</v>
      </c>
      <c r="C27" s="182" t="s">
        <v>270</v>
      </c>
      <c r="D27" s="534"/>
      <c r="E27" s="535"/>
      <c r="F27" s="732"/>
      <c r="G27" s="733"/>
      <c r="H27" s="734"/>
      <c r="I27" s="219"/>
      <c r="J27" s="213"/>
      <c r="K27" s="220"/>
      <c r="L27" s="166" t="str">
        <f>IF(D27="","",IFERROR(IF(I27="","Length Error",((I27/1000)*V27*X27)*(AA27*AD27)),"Value Missing"))</f>
        <v/>
      </c>
      <c r="M27" s="107" t="str">
        <f t="shared" si="1"/>
        <v/>
      </c>
      <c r="N27" s="351" t="str">
        <f t="shared" si="4"/>
        <v/>
      </c>
      <c r="O27" s="74"/>
      <c r="P27" s="8"/>
      <c r="R27" s="568"/>
      <c r="U27" s="100" t="str">
        <f>IF(D27="","",VLOOKUP(D27,'10. All Habitats + Multipliers'!$C$4:$K$99,5,FALSE))</f>
        <v/>
      </c>
      <c r="V27" s="105" t="str">
        <f>IF(U27="","",VLOOKUP(U27,'12. Lists'!$B$47:$D$49,2,FALSE))</f>
        <v/>
      </c>
      <c r="W27" s="100" t="str">
        <f>IF(D27="","",VLOOKUP(D27,'11. Condition and Temporal'!$B$6:$C$101,2,FALSE))</f>
        <v/>
      </c>
      <c r="X27" s="105" t="str">
        <f>IF(W27="","",VLOOKUP(W27,'12. Lists'!$F$47:$G$51,2,FALSE))</f>
        <v/>
      </c>
      <c r="Y27" s="100" t="str">
        <f>IF(D27="","",VLOOKUP(D27,'10. All Habitats + Multipliers'!$C$4:$K$99,9,FALSE))</f>
        <v/>
      </c>
      <c r="Z27" s="102" t="str">
        <f>IF(Y27="","",VLOOKUP(Y27,'12. Lists'!$B$36:$D$39,2,FALSE))</f>
        <v/>
      </c>
      <c r="AA27" s="105" t="str">
        <f>IF(Y27="","",VLOOKUP(Y27,'12. Lists'!$B$36:$D$39,3,FALSE))</f>
        <v/>
      </c>
      <c r="AB27" s="100" t="str">
        <f t="shared" si="3"/>
        <v/>
      </c>
      <c r="AC27" s="102" t="str">
        <f>IF(AB27="","",VLOOKUP(AB27,'12. Lists'!$F$36:$H$38,2,FALSE))</f>
        <v/>
      </c>
      <c r="AD27" s="101" t="str">
        <f>IF(AB27="","",VLOOKUP(AB27,'12. Lists'!$F$36:$H$38,3,FALSE))</f>
        <v/>
      </c>
      <c r="AE27" s="103" t="str">
        <f t="shared" si="6"/>
        <v/>
      </c>
      <c r="AF27" s="104" t="str">
        <f t="shared" si="10"/>
        <v/>
      </c>
      <c r="AG27" s="105" t="str">
        <f t="shared" si="2"/>
        <v/>
      </c>
      <c r="AH27" s="100" t="str">
        <f>IF(U27="","",VLOOKUP(U27,'12. Lists'!$B$47:$D$49,3,FALSE))</f>
        <v/>
      </c>
      <c r="AI27" s="101" t="str">
        <f>IF(D27="","",VLOOKUP(D27,'11. Condition and Temporal'!$B$6:$J$101,4,FALSE))</f>
        <v/>
      </c>
    </row>
    <row r="28" spans="2:35" s="27" customFormat="1" ht="15.6">
      <c r="B28" s="106">
        <v>18</v>
      </c>
      <c r="C28" s="182" t="s">
        <v>270</v>
      </c>
      <c r="D28" s="534"/>
      <c r="E28" s="535"/>
      <c r="F28" s="732"/>
      <c r="G28" s="733"/>
      <c r="H28" s="734"/>
      <c r="I28" s="219"/>
      <c r="J28" s="213"/>
      <c r="K28" s="220"/>
      <c r="L28" s="166" t="str">
        <f t="shared" ref="L28:L30" si="11">IF(D28="","",IFERROR(IF(I28="","Length Error",((I28/1000)*V28*X28)*(AA28*AD28)),"Value Missing"))</f>
        <v/>
      </c>
      <c r="M28" s="107" t="str">
        <f t="shared" si="1"/>
        <v/>
      </c>
      <c r="N28" s="351" t="str">
        <f t="shared" si="4"/>
        <v/>
      </c>
      <c r="O28" s="74"/>
      <c r="P28" s="8"/>
      <c r="R28" s="568"/>
      <c r="U28" s="100" t="str">
        <f>IF(D28="","",VLOOKUP(D28,'10. All Habitats + Multipliers'!$C$4:$K$99,5,FALSE))</f>
        <v/>
      </c>
      <c r="V28" s="105" t="str">
        <f>IF(U28="","",VLOOKUP(U28,'12. Lists'!$B$47:$D$49,2,FALSE))</f>
        <v/>
      </c>
      <c r="W28" s="100" t="str">
        <f>IF(D28="","",VLOOKUP(D28,'11. Condition and Temporal'!$B$6:$C$101,2,FALSE))</f>
        <v/>
      </c>
      <c r="X28" s="105" t="str">
        <f>IF(W28="","",VLOOKUP(W28,'12. Lists'!$F$47:$G$51,2,FALSE))</f>
        <v/>
      </c>
      <c r="Y28" s="100" t="str">
        <f>IF(D28="","",VLOOKUP(D28,'10. All Habitats + Multipliers'!$C$4:$K$99,9,FALSE))</f>
        <v/>
      </c>
      <c r="Z28" s="102" t="str">
        <f>IF(Y28="","",VLOOKUP(Y28,'12. Lists'!$B$36:$D$39,2,FALSE))</f>
        <v/>
      </c>
      <c r="AA28" s="105" t="str">
        <f>IF(Y28="","",VLOOKUP(Y28,'12. Lists'!$B$36:$D$39,3,FALSE))</f>
        <v/>
      </c>
      <c r="AB28" s="100" t="str">
        <f t="shared" si="3"/>
        <v/>
      </c>
      <c r="AC28" s="102" t="str">
        <f>IF(AB28="","",VLOOKUP(AB28,'12. Lists'!$F$36:$H$38,2,FALSE))</f>
        <v/>
      </c>
      <c r="AD28" s="101" t="str">
        <f>IF(AB28="","",VLOOKUP(AB28,'12. Lists'!$F$36:$H$38,3,FALSE))</f>
        <v/>
      </c>
      <c r="AE28" s="103" t="str">
        <f t="shared" si="6"/>
        <v/>
      </c>
      <c r="AF28" s="104" t="str">
        <f t="shared" si="10"/>
        <v/>
      </c>
      <c r="AG28" s="105" t="str">
        <f t="shared" si="2"/>
        <v/>
      </c>
      <c r="AH28" s="100" t="str">
        <f>IF(U28="","",VLOOKUP(U28,'12. Lists'!$B$47:$D$49,3,FALSE))</f>
        <v/>
      </c>
      <c r="AI28" s="101" t="str">
        <f>IF(D28="","",VLOOKUP(D28,'11. Condition and Temporal'!$B$6:$J$101,4,FALSE))</f>
        <v/>
      </c>
    </row>
    <row r="29" spans="2:35" s="27" customFormat="1" ht="15.6">
      <c r="B29" s="106">
        <v>19</v>
      </c>
      <c r="C29" s="182" t="s">
        <v>270</v>
      </c>
      <c r="D29" s="534"/>
      <c r="E29" s="535"/>
      <c r="F29" s="732"/>
      <c r="G29" s="733"/>
      <c r="H29" s="734"/>
      <c r="I29" s="219"/>
      <c r="J29" s="213"/>
      <c r="K29" s="220"/>
      <c r="L29" s="166" t="str">
        <f t="shared" si="11"/>
        <v/>
      </c>
      <c r="M29" s="107" t="str">
        <f t="shared" si="1"/>
        <v/>
      </c>
      <c r="N29" s="351" t="str">
        <f t="shared" si="4"/>
        <v/>
      </c>
      <c r="O29" s="74"/>
      <c r="P29" s="8"/>
      <c r="R29" s="568"/>
      <c r="U29" s="100" t="str">
        <f>IF(D29="","",VLOOKUP(D29,'10. All Habitats + Multipliers'!$C$4:$K$99,5,FALSE))</f>
        <v/>
      </c>
      <c r="V29" s="105" t="str">
        <f>IF(U29="","",VLOOKUP(U29,'12. Lists'!$B$47:$D$49,2,FALSE))</f>
        <v/>
      </c>
      <c r="W29" s="100" t="str">
        <f>IF(D29="","",VLOOKUP(D29,'11. Condition and Temporal'!$B$6:$C$101,2,FALSE))</f>
        <v/>
      </c>
      <c r="X29" s="105" t="str">
        <f>IF(W29="","",VLOOKUP(W29,'12. Lists'!$F$47:$G$51,2,FALSE))</f>
        <v/>
      </c>
      <c r="Y29" s="100" t="str">
        <f>IF(D29="","",VLOOKUP(D29,'10. All Habitats + Multipliers'!$C$4:$K$99,9,FALSE))</f>
        <v/>
      </c>
      <c r="Z29" s="102" t="str">
        <f>IF(Y29="","",VLOOKUP(Y29,'12. Lists'!$B$36:$D$39,2,FALSE))</f>
        <v/>
      </c>
      <c r="AA29" s="105" t="str">
        <f>IF(Y29="","",VLOOKUP(Y29,'12. Lists'!$B$36:$D$39,3,FALSE))</f>
        <v/>
      </c>
      <c r="AB29" s="100" t="str">
        <f t="shared" si="3"/>
        <v/>
      </c>
      <c r="AC29" s="102" t="str">
        <f>IF(AB29="","",VLOOKUP(AB29,'12. Lists'!$F$36:$H$38,2,FALSE))</f>
        <v/>
      </c>
      <c r="AD29" s="101" t="str">
        <f>IF(AB29="","",VLOOKUP(AB29,'12. Lists'!$F$36:$H$38,3,FALSE))</f>
        <v/>
      </c>
      <c r="AE29" s="103" t="str">
        <f t="shared" si="6"/>
        <v/>
      </c>
      <c r="AF29" s="104" t="str">
        <f t="shared" si="10"/>
        <v/>
      </c>
      <c r="AG29" s="105" t="str">
        <f t="shared" si="2"/>
        <v/>
      </c>
      <c r="AH29" s="100" t="str">
        <f>IF(U29="","",VLOOKUP(U29,'12. Lists'!$B$47:$D$49,3,FALSE))</f>
        <v/>
      </c>
      <c r="AI29" s="101" t="str">
        <f>IF(D29="","",VLOOKUP(D29,'11. Condition and Temporal'!$B$6:$J$101,4,FALSE))</f>
        <v/>
      </c>
    </row>
    <row r="30" spans="2:35" s="27" customFormat="1" ht="16.149999999999999" thickBot="1">
      <c r="B30" s="108">
        <v>20</v>
      </c>
      <c r="C30" s="188" t="s">
        <v>270</v>
      </c>
      <c r="D30" s="538"/>
      <c r="E30" s="539"/>
      <c r="F30" s="753"/>
      <c r="G30" s="754"/>
      <c r="H30" s="755"/>
      <c r="I30" s="221"/>
      <c r="J30" s="222"/>
      <c r="K30" s="223"/>
      <c r="L30" s="425" t="str">
        <f t="shared" si="11"/>
        <v/>
      </c>
      <c r="M30" s="426" t="str">
        <f t="shared" si="1"/>
        <v/>
      </c>
      <c r="N30" s="427" t="str">
        <f t="shared" si="4"/>
        <v/>
      </c>
      <c r="O30" s="75"/>
      <c r="P30" s="4"/>
      <c r="R30" s="568"/>
      <c r="U30" s="100" t="str">
        <f>IF(D30="","",VLOOKUP(D30,'10. All Habitats + Multipliers'!$C$4:$K$99,5,FALSE))</f>
        <v/>
      </c>
      <c r="V30" s="105" t="str">
        <f>IF(U30="","",VLOOKUP(U30,'12. Lists'!$B$47:$D$49,2,FALSE))</f>
        <v/>
      </c>
      <c r="W30" s="100" t="str">
        <f>IF(D30="","",VLOOKUP(D30,'11. Condition and Temporal'!$B$6:$C$101,2,FALSE))</f>
        <v/>
      </c>
      <c r="X30" s="105" t="str">
        <f>IF(W30="","",VLOOKUP(W30,'12. Lists'!$F$47:$G$51,2,FALSE))</f>
        <v/>
      </c>
      <c r="Y30" s="100" t="str">
        <f>IF(D30="","",VLOOKUP(D30,'10. All Habitats + Multipliers'!$C$4:$K$99,9,FALSE))</f>
        <v/>
      </c>
      <c r="Z30" s="102" t="str">
        <f>IF(Y30="","",VLOOKUP(Y30,'12. Lists'!$B$36:$D$39,2,FALSE))</f>
        <v/>
      </c>
      <c r="AA30" s="105" t="str">
        <f>IF(Y30="","",VLOOKUP(Y30,'12. Lists'!$B$36:$D$39,3,FALSE))</f>
        <v/>
      </c>
      <c r="AB30" s="100" t="str">
        <f t="shared" si="3"/>
        <v/>
      </c>
      <c r="AC30" s="102" t="str">
        <f>IF(AB30="","",VLOOKUP(AB30,'12. Lists'!$F$36:$H$38,2,FALSE))</f>
        <v/>
      </c>
      <c r="AD30" s="101" t="str">
        <f>IF(AB30="","",VLOOKUP(AB30,'12. Lists'!$F$36:$H$38,3,FALSE))</f>
        <v/>
      </c>
      <c r="AE30" s="103" t="str">
        <f t="shared" si="6"/>
        <v/>
      </c>
      <c r="AF30" s="104" t="str">
        <f t="shared" si="10"/>
        <v/>
      </c>
      <c r="AG30" s="105" t="str">
        <f t="shared" si="2"/>
        <v/>
      </c>
      <c r="AH30" s="100" t="str">
        <f>IF(U30="","",VLOOKUP(U30,'12. Lists'!$B$47:$D$49,3,FALSE))</f>
        <v/>
      </c>
      <c r="AI30" s="101" t="str">
        <f>IF(D30="","",VLOOKUP(D30,'11. Condition and Temporal'!$B$6:$J$101,4,FALSE))</f>
        <v/>
      </c>
    </row>
    <row r="31" spans="2:35" s="27" customFormat="1">
      <c r="D31" s="94"/>
      <c r="E31" s="121"/>
      <c r="F31" s="121"/>
      <c r="G31" s="121"/>
      <c r="H31" s="338" t="s">
        <v>262</v>
      </c>
      <c r="I31" s="339">
        <f t="shared" ref="I31:N31" si="12">SUM(I11:I30)</f>
        <v>0</v>
      </c>
      <c r="J31" s="340">
        <f t="shared" si="12"/>
        <v>0</v>
      </c>
      <c r="K31" s="341">
        <f t="shared" si="12"/>
        <v>0</v>
      </c>
      <c r="L31" s="167">
        <f t="shared" si="12"/>
        <v>0</v>
      </c>
      <c r="M31" s="428">
        <f t="shared" si="12"/>
        <v>0</v>
      </c>
      <c r="N31" s="168">
        <f t="shared" si="12"/>
        <v>0</v>
      </c>
      <c r="R31" s="568"/>
    </row>
    <row r="32" spans="2:35" s="27" customFormat="1" ht="15" thickBot="1">
      <c r="D32" s="94"/>
      <c r="E32" s="121"/>
      <c r="F32" s="121"/>
      <c r="G32" s="121"/>
      <c r="H32" s="126" t="s">
        <v>124</v>
      </c>
      <c r="I32" s="605" t="str">
        <f>IF(I31&lt;J31+K31,"Error - Lengths Retained and Enhanced Exceed Total Length","Lengths Acceptable")</f>
        <v>Lengths Acceptable</v>
      </c>
      <c r="J32" s="605"/>
      <c r="K32" s="605"/>
      <c r="L32" s="605"/>
      <c r="M32" s="605"/>
      <c r="N32" s="606"/>
      <c r="O32" s="230">
        <f>IFERROR(FIND("Error",#REF!),0)</f>
        <v>0</v>
      </c>
      <c r="R32" s="124"/>
    </row>
    <row r="33" spans="2:34" s="27" customFormat="1">
      <c r="D33" s="94"/>
      <c r="E33" s="121"/>
      <c r="F33" s="121"/>
      <c r="G33" s="121"/>
      <c r="O33" s="230">
        <f>COUNTIF(L11:N30,"*"&amp;"error"&amp;"*")</f>
        <v>0</v>
      </c>
      <c r="R33" s="124"/>
    </row>
    <row r="34" spans="2:34" s="27" customFormat="1">
      <c r="D34" s="94"/>
      <c r="E34" s="121"/>
      <c r="F34" s="121"/>
      <c r="G34" s="121"/>
      <c r="H34" s="121"/>
      <c r="I34" s="121"/>
      <c r="J34" s="121"/>
      <c r="K34" s="121"/>
      <c r="L34" s="121"/>
      <c r="M34" s="121"/>
      <c r="N34" s="121"/>
      <c r="O34" s="28"/>
      <c r="R34" s="568" t="s">
        <v>73</v>
      </c>
    </row>
    <row r="35" spans="2:34" s="27" customFormat="1" ht="21">
      <c r="B35" s="62" t="s">
        <v>127</v>
      </c>
      <c r="D35" s="93"/>
      <c r="E35" s="121"/>
      <c r="F35" s="121"/>
      <c r="G35" s="121"/>
      <c r="I35" s="28"/>
      <c r="R35" s="568"/>
    </row>
    <row r="36" spans="2:34" s="27" customFormat="1" ht="15.75" customHeight="1" thickBot="1">
      <c r="R36" s="568"/>
    </row>
    <row r="37" spans="2:34" s="27" customFormat="1" ht="16.149999999999999" customHeight="1">
      <c r="B37" s="576" t="s">
        <v>67</v>
      </c>
      <c r="C37" s="583"/>
      <c r="D37" s="584"/>
      <c r="E37" s="578" t="s">
        <v>128</v>
      </c>
      <c r="F37" s="623"/>
      <c r="G37" s="593"/>
      <c r="H37" s="623" t="s">
        <v>129</v>
      </c>
      <c r="I37" s="598" t="s">
        <v>263</v>
      </c>
      <c r="J37" s="599"/>
      <c r="K37" s="600"/>
      <c r="L37" s="610" t="s">
        <v>264</v>
      </c>
      <c r="M37" s="583"/>
      <c r="N37" s="584"/>
      <c r="O37" s="578" t="s">
        <v>85</v>
      </c>
      <c r="P37" s="593"/>
      <c r="R37" s="568"/>
      <c r="U37" s="591" t="s">
        <v>86</v>
      </c>
      <c r="V37" s="592"/>
      <c r="W37" s="591" t="s">
        <v>87</v>
      </c>
      <c r="X37" s="592"/>
      <c r="Y37" s="591" t="s">
        <v>88</v>
      </c>
      <c r="Z37" s="604"/>
      <c r="AA37" s="592"/>
      <c r="AB37" s="591" t="s">
        <v>89</v>
      </c>
      <c r="AC37" s="604"/>
      <c r="AD37" s="592"/>
      <c r="AE37" s="591" t="s">
        <v>132</v>
      </c>
      <c r="AF37" s="592"/>
      <c r="AG37" s="591" t="s">
        <v>133</v>
      </c>
      <c r="AH37" s="592"/>
    </row>
    <row r="38" spans="2:34" s="27" customFormat="1" ht="31.9" thickBot="1">
      <c r="B38" s="577"/>
      <c r="C38" s="315" t="s">
        <v>93</v>
      </c>
      <c r="D38" s="316" t="s">
        <v>134</v>
      </c>
      <c r="E38" s="91" t="s">
        <v>135</v>
      </c>
      <c r="F38" s="522" t="s">
        <v>136</v>
      </c>
      <c r="G38" s="546"/>
      <c r="H38" s="523"/>
      <c r="I38" s="601"/>
      <c r="J38" s="602"/>
      <c r="K38" s="603"/>
      <c r="L38" s="749"/>
      <c r="M38" s="717"/>
      <c r="N38" s="750"/>
      <c r="O38" s="91" t="s">
        <v>101</v>
      </c>
      <c r="P38" s="95" t="s">
        <v>102</v>
      </c>
      <c r="R38" s="568"/>
      <c r="U38" s="96" t="s">
        <v>103</v>
      </c>
      <c r="V38" s="97" t="s">
        <v>104</v>
      </c>
      <c r="W38" s="96" t="s">
        <v>105</v>
      </c>
      <c r="X38" s="97" t="s">
        <v>104</v>
      </c>
      <c r="Y38" s="96" t="s">
        <v>88</v>
      </c>
      <c r="Z38" s="52" t="s">
        <v>106</v>
      </c>
      <c r="AA38" s="97" t="s">
        <v>107</v>
      </c>
      <c r="AB38" s="96" t="s">
        <v>89</v>
      </c>
      <c r="AC38" s="52" t="s">
        <v>89</v>
      </c>
      <c r="AD38" s="97" t="s">
        <v>108</v>
      </c>
      <c r="AE38" s="96" t="s">
        <v>137</v>
      </c>
      <c r="AF38" s="97" t="s">
        <v>138</v>
      </c>
      <c r="AG38" s="96" t="s">
        <v>139</v>
      </c>
      <c r="AH38" s="97" t="s">
        <v>140</v>
      </c>
    </row>
    <row r="39" spans="2:34" s="27" customFormat="1" ht="15.6">
      <c r="B39" s="143">
        <v>1</v>
      </c>
      <c r="C39" s="183" t="s">
        <v>270</v>
      </c>
      <c r="D39" s="184"/>
      <c r="E39" s="185" t="str">
        <f>IF(D39="","",VLOOKUP(D39,'11. Condition and Temporal'!$B$6:$D$101,3,FALSE))</f>
        <v/>
      </c>
      <c r="F39" s="660"/>
      <c r="G39" s="661"/>
      <c r="H39" s="186"/>
      <c r="I39" s="751"/>
      <c r="J39" s="752"/>
      <c r="K39" s="752"/>
      <c r="L39" s="721" t="str">
        <f>IF(D39="","",IFERROR(IF(I39="","Length error",((I39/1000)*(V39*X39))*(AH39*AF39)*(AA39*AD39)),"Value missing"))</f>
        <v/>
      </c>
      <c r="M39" s="722"/>
      <c r="N39" s="723"/>
      <c r="O39" s="373"/>
      <c r="P39" s="187"/>
      <c r="Q39" s="128"/>
      <c r="R39" s="568"/>
      <c r="U39" s="100" t="str">
        <f>IF(D39="","",VLOOKUP(D39,'10. All Habitats + Multipliers'!$C$4:$K$99,5,FALSE))</f>
        <v/>
      </c>
      <c r="V39" s="101" t="str">
        <f>IF(U39="","",VLOOKUP(U39,'12. Lists'!$B$47:$D$49,2,FALSE))</f>
        <v/>
      </c>
      <c r="W39" s="100" t="str">
        <f>IF(F39="","",F39)</f>
        <v/>
      </c>
      <c r="X39" s="101" t="str">
        <f>IF(W39="","",VLOOKUP(W39,'12. Lists'!$F$47:$G$51,2,FALSE))</f>
        <v/>
      </c>
      <c r="Y39" s="100" t="str">
        <f>IF(D39="","",VLOOKUP(D39,'10. All Habitats + Multipliers'!$C$4:$K$99,9,FALSE))</f>
        <v/>
      </c>
      <c r="Z39" s="102" t="str">
        <f>IF(Y39="","",VLOOKUP(Y39,'12. Lists'!$B$36:$D$39,2,FALSE))</f>
        <v/>
      </c>
      <c r="AA39" s="101" t="str">
        <f>IF(Y39="","",VLOOKUP(Y39,'12. Lists'!$B$36:$D$39,3,FALSE))</f>
        <v/>
      </c>
      <c r="AB39" s="100" t="str">
        <f>IF(H39="","",H39)</f>
        <v/>
      </c>
      <c r="AC39" s="102" t="str">
        <f>IF(AB39="","",VLOOKUP(AB39,'12. Lists'!$F$36:$H$38,2,FALSE))</f>
        <v/>
      </c>
      <c r="AD39" s="101" t="str">
        <f>IF(AB39="","",VLOOKUP(AB39,'12. Lists'!$F$36:$H$38,3,FALSE))</f>
        <v/>
      </c>
      <c r="AE39" s="100" t="str">
        <f>IF(F39="","",IF(F39="Moderate",VLOOKUP(D39,'11. Condition and Temporal'!$B$6:$J$101,6,FALSE),IF('7. Watercourses'!F39="Good",VLOOKUP(D39,'11. Condition and Temporal'!$B$6:$J$101,7,FALSE),VLOOKUP(D39,'11. Condition and Temporal'!$B$6:$J$101,8,FALSE))))</f>
        <v/>
      </c>
      <c r="AF39" s="129" t="str">
        <f>IF(AE39="","",VLOOKUP(AE39,'12. Lists'!$I$47:$K$80,3,FALSE))</f>
        <v/>
      </c>
      <c r="AG39" s="100" t="str">
        <f>IF(D39="","",VLOOKUP(D39,'10. All Habitats + Multipliers'!$C$4:$K$99,7,FALSE))</f>
        <v/>
      </c>
      <c r="AH39" s="101" t="str">
        <f>IF(AG39="","",VLOOKUP(AG39,'12. Lists'!$J$35:$K$38,2,FALSE))</f>
        <v/>
      </c>
    </row>
    <row r="40" spans="2:34" s="27" customFormat="1" ht="15.6">
      <c r="B40" s="106">
        <v>2</v>
      </c>
      <c r="C40" s="182" t="s">
        <v>270</v>
      </c>
      <c r="D40" s="78"/>
      <c r="E40" s="127" t="str">
        <f>IF(D40="","",VLOOKUP(D40,'11. Condition and Temporal'!$B$6:$D$101,3,FALSE))</f>
        <v/>
      </c>
      <c r="F40" s="540"/>
      <c r="G40" s="541"/>
      <c r="H40" s="76"/>
      <c r="I40" s="561"/>
      <c r="J40" s="562"/>
      <c r="K40" s="562"/>
      <c r="L40" s="715" t="str">
        <f>IF(D40="","",IFERROR(IF(I40="","Length error",((I40/1000)*(V40*X40))*(AH40*AF40)*(AA40*AD40)),"Value missing"))</f>
        <v/>
      </c>
      <c r="M40" s="512"/>
      <c r="N40" s="513"/>
      <c r="O40" s="79"/>
      <c r="P40" s="12"/>
      <c r="Q40" s="128"/>
      <c r="R40" s="568"/>
      <c r="U40" s="100" t="str">
        <f>IF(D40="","",VLOOKUP(D40,'10. All Habitats + Multipliers'!$C$4:$K$99,5,FALSE))</f>
        <v/>
      </c>
      <c r="V40" s="101" t="str">
        <f>IF(U40="","",VLOOKUP(U40,'12. Lists'!$B$47:$D$49,2,FALSE))</f>
        <v/>
      </c>
      <c r="W40" s="100" t="str">
        <f>IF(F40="","",F40)</f>
        <v/>
      </c>
      <c r="X40" s="101" t="str">
        <f>IF(W40="","",VLOOKUP(W40,'12. Lists'!$F$47:$G$51,2,FALSE))</f>
        <v/>
      </c>
      <c r="Y40" s="100" t="str">
        <f>IF(D40="","",VLOOKUP(D40,'10. All Habitats + Multipliers'!$C$4:$K$99,9,FALSE))</f>
        <v/>
      </c>
      <c r="Z40" s="102" t="str">
        <f>IF(Y40="","",VLOOKUP(Y40,'12. Lists'!$B$36:$D$39,2,FALSE))</f>
        <v/>
      </c>
      <c r="AA40" s="101" t="str">
        <f>IF(Y40="","",VLOOKUP(Y40,'12. Lists'!$B$36:$D$39,3,FALSE))</f>
        <v/>
      </c>
      <c r="AB40" s="100" t="str">
        <f t="shared" ref="AB40:AB58" si="13">IF(H40="","",H40)</f>
        <v/>
      </c>
      <c r="AC40" s="102" t="str">
        <f>IF(AB40="","",VLOOKUP(AB40,'12. Lists'!$F$36:$H$38,2,FALSE))</f>
        <v/>
      </c>
      <c r="AD40" s="101" t="str">
        <f>IF(AB40="","",VLOOKUP(AB40,'12. Lists'!$F$36:$H$38,3,FALSE))</f>
        <v/>
      </c>
      <c r="AE40" s="100" t="str">
        <f>IF(F40="","",IF(F40="Moderate",VLOOKUP(D40,'11. Condition and Temporal'!$B$6:$J$101,6,FALSE),IF('7. Watercourses'!F40="Good",VLOOKUP(D40,'11. Condition and Temporal'!$B$6:$J$101,7,FALSE),VLOOKUP(D40,'11. Condition and Temporal'!$B$6:$J$101,8,FALSE))))</f>
        <v/>
      </c>
      <c r="AF40" s="129" t="str">
        <f>IF(AE40="","",VLOOKUP(AE40,'12. Lists'!$I$47:$K$80,3,FALSE))</f>
        <v/>
      </c>
      <c r="AG40" s="100" t="str">
        <f>IF(D40="","",VLOOKUP(D40,'10. All Habitats + Multipliers'!$C$4:$K$99,7,FALSE))</f>
        <v/>
      </c>
      <c r="AH40" s="101" t="str">
        <f>IF(AG40="","",VLOOKUP(AG40,'12. Lists'!$J$35:$K$38,2,FALSE))</f>
        <v/>
      </c>
    </row>
    <row r="41" spans="2:34" s="27" customFormat="1" ht="15.6">
      <c r="B41" s="106">
        <v>3</v>
      </c>
      <c r="C41" s="182" t="s">
        <v>270</v>
      </c>
      <c r="D41" s="78"/>
      <c r="E41" s="127" t="str">
        <f>IF(D41="","",VLOOKUP(D41,'11. Condition and Temporal'!$B$6:$D$101,3,FALSE))</f>
        <v/>
      </c>
      <c r="F41" s="540"/>
      <c r="G41" s="541"/>
      <c r="H41" s="76"/>
      <c r="I41" s="561"/>
      <c r="J41" s="562"/>
      <c r="K41" s="562"/>
      <c r="L41" s="715" t="str">
        <f>IF(D41="","",IFERROR(IF(I41="","Length error",((I41/1000)*(V41*X41))*(AH41*AF41)*(AA41*AD41)),"Value missing"))</f>
        <v/>
      </c>
      <c r="M41" s="512"/>
      <c r="N41" s="513"/>
      <c r="O41" s="79"/>
      <c r="P41" s="12"/>
      <c r="Q41" s="128"/>
      <c r="R41" s="568"/>
      <c r="U41" s="100" t="str">
        <f>IF(D41="","",VLOOKUP(D41,'10. All Habitats + Multipliers'!$C$4:$K$99,5,FALSE))</f>
        <v/>
      </c>
      <c r="V41" s="101" t="str">
        <f>IF(U41="","",VLOOKUP(U41,'12. Lists'!$B$47:$D$49,2,FALSE))</f>
        <v/>
      </c>
      <c r="W41" s="100" t="str">
        <f>IF(F41="","",F41)</f>
        <v/>
      </c>
      <c r="X41" s="101" t="str">
        <f>IF(W41="","",VLOOKUP(W41,'12. Lists'!$F$47:$G$51,2,FALSE))</f>
        <v/>
      </c>
      <c r="Y41" s="100" t="str">
        <f>IF(D41="","",VLOOKUP(D41,'10. All Habitats + Multipliers'!$C$4:$K$99,9,FALSE))</f>
        <v/>
      </c>
      <c r="Z41" s="102" t="str">
        <f>IF(Y41="","",VLOOKUP(Y41,'12. Lists'!$B$36:$D$39,2,FALSE))</f>
        <v/>
      </c>
      <c r="AA41" s="101" t="str">
        <f>IF(Y41="","",VLOOKUP(Y41,'12. Lists'!$B$36:$D$39,3,FALSE))</f>
        <v/>
      </c>
      <c r="AB41" s="100" t="str">
        <f t="shared" si="13"/>
        <v/>
      </c>
      <c r="AC41" s="102" t="str">
        <f>IF(AB41="","",VLOOKUP(AB41,'12. Lists'!$F$36:$H$38,2,FALSE))</f>
        <v/>
      </c>
      <c r="AD41" s="101" t="str">
        <f>IF(AB41="","",VLOOKUP(AB41,'12. Lists'!$F$36:$H$38,3,FALSE))</f>
        <v/>
      </c>
      <c r="AE41" s="100" t="str">
        <f>IF(F41="","",IF(F41="Moderate",VLOOKUP(D41,'11. Condition and Temporal'!$B$6:$J$101,6,FALSE),IF('7. Watercourses'!F41="Good",VLOOKUP(D41,'11. Condition and Temporal'!$B$6:$J$101,7,FALSE),VLOOKUP(D41,'11. Condition and Temporal'!$B$6:$J$101,8,FALSE))))</f>
        <v/>
      </c>
      <c r="AF41" s="129" t="str">
        <f>IF(AE41="","",VLOOKUP(AE41,'12. Lists'!$I$47:$K$80,3,FALSE))</f>
        <v/>
      </c>
      <c r="AG41" s="100" t="str">
        <f>IF(D41="","",VLOOKUP(D41,'10. All Habitats + Multipliers'!$C$4:$K$99,7,FALSE))</f>
        <v/>
      </c>
      <c r="AH41" s="101" t="str">
        <f>IF(AG41="","",VLOOKUP(AG41,'12. Lists'!$J$35:$K$38,2,FALSE))</f>
        <v/>
      </c>
    </row>
    <row r="42" spans="2:34" s="27" customFormat="1" ht="15.6">
      <c r="B42" s="106">
        <v>4</v>
      </c>
      <c r="C42" s="182" t="s">
        <v>270</v>
      </c>
      <c r="D42" s="78"/>
      <c r="E42" s="127" t="str">
        <f>IF(D42="","",VLOOKUP(D42,'11. Condition and Temporal'!$B$6:$D$101,3,FALSE))</f>
        <v/>
      </c>
      <c r="F42" s="540"/>
      <c r="G42" s="541"/>
      <c r="H42" s="76"/>
      <c r="I42" s="561"/>
      <c r="J42" s="562"/>
      <c r="K42" s="562"/>
      <c r="L42" s="715" t="str">
        <f t="shared" ref="L42:L58" si="14">IF(D42="","",IFERROR(IF(I42="","Length error",((I42/1000)*(V42*X42))*(AH42*AF42)*(AA42*AD42)),"Value missing"))</f>
        <v/>
      </c>
      <c r="M42" s="512"/>
      <c r="N42" s="513"/>
      <c r="O42" s="79"/>
      <c r="P42" s="12"/>
      <c r="Q42" s="128"/>
      <c r="R42" s="568"/>
      <c r="U42" s="100" t="str">
        <f>IF(D42="","",VLOOKUP(D42,'10. All Habitats + Multipliers'!$C$4:$K$99,5,FALSE))</f>
        <v/>
      </c>
      <c r="V42" s="101" t="str">
        <f>IF(U42="","",VLOOKUP(U42,'12. Lists'!$B$47:$D$49,2,FALSE))</f>
        <v/>
      </c>
      <c r="W42" s="100" t="str">
        <f>IF(F42="","",F42)</f>
        <v/>
      </c>
      <c r="X42" s="101" t="str">
        <f>IF(W42="","",VLOOKUP(W42,'12. Lists'!$F$47:$G$51,2,FALSE))</f>
        <v/>
      </c>
      <c r="Y42" s="100" t="str">
        <f>IF(D42="","",VLOOKUP(D42,'10. All Habitats + Multipliers'!$C$4:$K$99,9,FALSE))</f>
        <v/>
      </c>
      <c r="Z42" s="102" t="str">
        <f>IF(Y42="","",VLOOKUP(Y42,'12. Lists'!$B$36:$D$39,2,FALSE))</f>
        <v/>
      </c>
      <c r="AA42" s="101" t="str">
        <f>IF(Y42="","",VLOOKUP(Y42,'12. Lists'!$B$36:$D$39,3,FALSE))</f>
        <v/>
      </c>
      <c r="AB42" s="100" t="str">
        <f t="shared" si="13"/>
        <v/>
      </c>
      <c r="AC42" s="102" t="str">
        <f>IF(AB42="","",VLOOKUP(AB42,'12. Lists'!$F$36:$H$38,2,FALSE))</f>
        <v/>
      </c>
      <c r="AD42" s="101" t="str">
        <f>IF(AB42="","",VLOOKUP(AB42,'12. Lists'!$F$36:$H$38,3,FALSE))</f>
        <v/>
      </c>
      <c r="AE42" s="100" t="str">
        <f>IF(F42="","",IF(F42="Moderate",VLOOKUP(D42,'11. Condition and Temporal'!$B$6:$J$101,6,FALSE),IF('7. Watercourses'!F42="Good",VLOOKUP(D42,'11. Condition and Temporal'!$B$6:$J$101,7,FALSE),VLOOKUP(D42,'11. Condition and Temporal'!$B$6:$J$101,8,FALSE))))</f>
        <v/>
      </c>
      <c r="AF42" s="129" t="str">
        <f>IF(AE42="","",VLOOKUP(AE42,'12. Lists'!$I$47:$K$80,3,FALSE))</f>
        <v/>
      </c>
      <c r="AG42" s="100" t="str">
        <f>IF(D42="","",VLOOKUP(D42,'10. All Habitats + Multipliers'!$C$4:$K$99,7,FALSE))</f>
        <v/>
      </c>
      <c r="AH42" s="101" t="str">
        <f>IF(AG42="","",VLOOKUP(AG42,'12. Lists'!$J$35:$K$38,2,FALSE))</f>
        <v/>
      </c>
    </row>
    <row r="43" spans="2:34" s="27" customFormat="1" ht="15.6">
      <c r="B43" s="106">
        <v>5</v>
      </c>
      <c r="C43" s="182" t="s">
        <v>270</v>
      </c>
      <c r="D43" s="78"/>
      <c r="E43" s="127" t="str">
        <f>IF(D43="","",VLOOKUP(D43,'11. Condition and Temporal'!$B$6:$D$101,3,FALSE))</f>
        <v/>
      </c>
      <c r="F43" s="540"/>
      <c r="G43" s="541"/>
      <c r="H43" s="76"/>
      <c r="I43" s="561"/>
      <c r="J43" s="562"/>
      <c r="K43" s="562"/>
      <c r="L43" s="715" t="str">
        <f t="shared" si="14"/>
        <v/>
      </c>
      <c r="M43" s="512"/>
      <c r="N43" s="513"/>
      <c r="O43" s="79"/>
      <c r="P43" s="12"/>
      <c r="R43" s="568"/>
      <c r="U43" s="100" t="str">
        <f>IF(D43="","",VLOOKUP(D43,'10. All Habitats + Multipliers'!$C$4:$K$99,5,FALSE))</f>
        <v/>
      </c>
      <c r="V43" s="101" t="str">
        <f>IF(U43="","",VLOOKUP(U43,'12. Lists'!$B$47:$D$49,2,FALSE))</f>
        <v/>
      </c>
      <c r="W43" s="100" t="str">
        <f t="shared" ref="W43:W58" si="15">IF(F43="","",F43)</f>
        <v/>
      </c>
      <c r="X43" s="101" t="str">
        <f>IF(W43="","",VLOOKUP(W43,'12. Lists'!$F$47:$G$51,2,FALSE))</f>
        <v/>
      </c>
      <c r="Y43" s="100" t="str">
        <f>IF(D43="","",VLOOKUP(D43,'10. All Habitats + Multipliers'!$C$4:$K$99,9,FALSE))</f>
        <v/>
      </c>
      <c r="Z43" s="102" t="str">
        <f>IF(Y43="","",VLOOKUP(Y43,'12. Lists'!$B$36:$D$39,2,FALSE))</f>
        <v/>
      </c>
      <c r="AA43" s="101" t="str">
        <f>IF(Y43="","",VLOOKUP(Y43,'12. Lists'!$B$36:$D$39,3,FALSE))</f>
        <v/>
      </c>
      <c r="AB43" s="100" t="str">
        <f t="shared" si="13"/>
        <v/>
      </c>
      <c r="AC43" s="102" t="str">
        <f>IF(AB43="","",VLOOKUP(AB43,'12. Lists'!$F$36:$H$38,2,FALSE))</f>
        <v/>
      </c>
      <c r="AD43" s="101" t="str">
        <f>IF(AB43="","",VLOOKUP(AB43,'12. Lists'!$F$36:$H$38,3,FALSE))</f>
        <v/>
      </c>
      <c r="AE43" s="100" t="str">
        <f>IF(F43="","",IF(F43="Moderate",VLOOKUP(D43,'11. Condition and Temporal'!$B$6:$J$101,6,FALSE),IF('7. Watercourses'!F43="Good",VLOOKUP(D43,'11. Condition and Temporal'!$B$6:$J$101,7,FALSE),VLOOKUP(D43,'11. Condition and Temporal'!$B$6:$J$101,8,FALSE))))</f>
        <v/>
      </c>
      <c r="AF43" s="129" t="str">
        <f>IF(AE43="","",VLOOKUP(AE43,'12. Lists'!$I$47:$K$80,3,FALSE))</f>
        <v/>
      </c>
      <c r="AG43" s="100" t="str">
        <f>IF(D43="","",VLOOKUP(D43,'10. All Habitats + Multipliers'!$C$4:$K$99,7,FALSE))</f>
        <v/>
      </c>
      <c r="AH43" s="101" t="str">
        <f>IF(AG43="","",VLOOKUP(AG43,'12. Lists'!$J$35:$K$38,2,FALSE))</f>
        <v/>
      </c>
    </row>
    <row r="44" spans="2:34" s="27" customFormat="1" ht="15.6">
      <c r="B44" s="106">
        <v>6</v>
      </c>
      <c r="C44" s="182" t="s">
        <v>270</v>
      </c>
      <c r="D44" s="78"/>
      <c r="E44" s="127" t="str">
        <f>IF(D44="","",VLOOKUP(D44,'11. Condition and Temporal'!$B$6:$D$101,3,FALSE))</f>
        <v/>
      </c>
      <c r="F44" s="540"/>
      <c r="G44" s="541"/>
      <c r="H44" s="76"/>
      <c r="I44" s="561"/>
      <c r="J44" s="562"/>
      <c r="K44" s="562"/>
      <c r="L44" s="715" t="str">
        <f t="shared" si="14"/>
        <v/>
      </c>
      <c r="M44" s="512"/>
      <c r="N44" s="513"/>
      <c r="O44" s="79"/>
      <c r="P44" s="12"/>
      <c r="R44" s="568"/>
      <c r="U44" s="100" t="str">
        <f>IF(D44="","",VLOOKUP(D44,'10. All Habitats + Multipliers'!$C$4:$K$99,5,FALSE))</f>
        <v/>
      </c>
      <c r="V44" s="101" t="str">
        <f>IF(U44="","",VLOOKUP(U44,'12. Lists'!$B$47:$D$49,2,FALSE))</f>
        <v/>
      </c>
      <c r="W44" s="100" t="str">
        <f t="shared" si="15"/>
        <v/>
      </c>
      <c r="X44" s="101" t="str">
        <f>IF(W44="","",VLOOKUP(W44,'12. Lists'!$F$47:$G$51,2,FALSE))</f>
        <v/>
      </c>
      <c r="Y44" s="100" t="str">
        <f>IF(D44="","",VLOOKUP(D44,'10. All Habitats + Multipliers'!$C$4:$K$99,9,FALSE))</f>
        <v/>
      </c>
      <c r="Z44" s="102" t="str">
        <f>IF(Y44="","",VLOOKUP(Y44,'12. Lists'!$B$36:$D$39,2,FALSE))</f>
        <v/>
      </c>
      <c r="AA44" s="101" t="str">
        <f>IF(Y44="","",VLOOKUP(Y44,'12. Lists'!$B$36:$D$39,3,FALSE))</f>
        <v/>
      </c>
      <c r="AB44" s="100" t="str">
        <f t="shared" si="13"/>
        <v/>
      </c>
      <c r="AC44" s="102" t="str">
        <f>IF(AB44="","",VLOOKUP(AB44,'12. Lists'!$F$36:$H$38,2,FALSE))</f>
        <v/>
      </c>
      <c r="AD44" s="101" t="str">
        <f>IF(AB44="","",VLOOKUP(AB44,'12. Lists'!$F$36:$H$38,3,FALSE))</f>
        <v/>
      </c>
      <c r="AE44" s="100" t="str">
        <f>IF(F44="","",IF(F44="Moderate",VLOOKUP(D44,'11. Condition and Temporal'!$B$6:$J$101,6,FALSE),IF('7. Watercourses'!F44="Good",VLOOKUP(D44,'11. Condition and Temporal'!$B$6:$J$101,7,FALSE),VLOOKUP(D44,'11. Condition and Temporal'!$B$6:$J$101,8,FALSE))))</f>
        <v/>
      </c>
      <c r="AF44" s="129" t="str">
        <f>IF(AE44="","",VLOOKUP(AE44,'12. Lists'!$I$47:$K$80,3,FALSE))</f>
        <v/>
      </c>
      <c r="AG44" s="100" t="str">
        <f>IF(D44="","",VLOOKUP(D44,'10. All Habitats + Multipliers'!$C$4:$K$99,7,FALSE))</f>
        <v/>
      </c>
      <c r="AH44" s="101" t="str">
        <f>IF(AG44="","",VLOOKUP(AG44,'12. Lists'!$J$35:$K$38,2,FALSE))</f>
        <v/>
      </c>
    </row>
    <row r="45" spans="2:34" s="27" customFormat="1" ht="15.6">
      <c r="B45" s="106">
        <v>7</v>
      </c>
      <c r="C45" s="182" t="s">
        <v>270</v>
      </c>
      <c r="D45" s="78"/>
      <c r="E45" s="127" t="str">
        <f>IF(D45="","",VLOOKUP(D45,'11. Condition and Temporal'!$B$6:$D$101,3,FALSE))</f>
        <v/>
      </c>
      <c r="F45" s="540"/>
      <c r="G45" s="541"/>
      <c r="H45" s="76"/>
      <c r="I45" s="561"/>
      <c r="J45" s="562"/>
      <c r="K45" s="562"/>
      <c r="L45" s="715" t="str">
        <f t="shared" si="14"/>
        <v/>
      </c>
      <c r="M45" s="512"/>
      <c r="N45" s="513"/>
      <c r="O45" s="79"/>
      <c r="P45" s="12"/>
      <c r="R45" s="568"/>
      <c r="U45" s="100" t="str">
        <f>IF(D45="","",VLOOKUP(D45,'10. All Habitats + Multipliers'!$C$4:$K$99,5,FALSE))</f>
        <v/>
      </c>
      <c r="V45" s="101" t="str">
        <f>IF(U45="","",VLOOKUP(U45,'12. Lists'!$B$47:$D$49,2,FALSE))</f>
        <v/>
      </c>
      <c r="W45" s="100" t="str">
        <f t="shared" si="15"/>
        <v/>
      </c>
      <c r="X45" s="101" t="str">
        <f>IF(W45="","",VLOOKUP(W45,'12. Lists'!$F$47:$G$51,2,FALSE))</f>
        <v/>
      </c>
      <c r="Y45" s="100" t="str">
        <f>IF(D45="","",VLOOKUP(D45,'10. All Habitats + Multipliers'!$C$4:$K$99,9,FALSE))</f>
        <v/>
      </c>
      <c r="Z45" s="102" t="str">
        <f>IF(Y45="","",VLOOKUP(Y45,'12. Lists'!$B$36:$D$39,2,FALSE))</f>
        <v/>
      </c>
      <c r="AA45" s="101" t="str">
        <f>IF(Y45="","",VLOOKUP(Y45,'12. Lists'!$B$36:$D$39,3,FALSE))</f>
        <v/>
      </c>
      <c r="AB45" s="100" t="str">
        <f t="shared" si="13"/>
        <v/>
      </c>
      <c r="AC45" s="102" t="str">
        <f>IF(AB45="","",VLOOKUP(AB45,'12. Lists'!$F$36:$H$38,2,FALSE))</f>
        <v/>
      </c>
      <c r="AD45" s="101" t="str">
        <f>IF(AB45="","",VLOOKUP(AB45,'12. Lists'!$F$36:$H$38,3,FALSE))</f>
        <v/>
      </c>
      <c r="AE45" s="100" t="str">
        <f>IF(F45="","",IF(F45="Moderate",VLOOKUP(D45,'11. Condition and Temporal'!$B$6:$J$101,6,FALSE),IF('7. Watercourses'!F45="Good",VLOOKUP(D45,'11. Condition and Temporal'!$B$6:$J$101,7,FALSE),VLOOKUP(D45,'11. Condition and Temporal'!$B$6:$J$101,8,FALSE))))</f>
        <v/>
      </c>
      <c r="AF45" s="129" t="str">
        <f>IF(AE45="","",VLOOKUP(AE45,'12. Lists'!$I$47:$K$80,3,FALSE))</f>
        <v/>
      </c>
      <c r="AG45" s="100" t="str">
        <f>IF(D45="","",VLOOKUP(D45,'10. All Habitats + Multipliers'!$C$4:$K$99,7,FALSE))</f>
        <v/>
      </c>
      <c r="AH45" s="101" t="str">
        <f>IF(AG45="","",VLOOKUP(AG45,'12. Lists'!$J$35:$K$38,2,FALSE))</f>
        <v/>
      </c>
    </row>
    <row r="46" spans="2:34" s="27" customFormat="1" ht="15.6">
      <c r="B46" s="106">
        <v>8</v>
      </c>
      <c r="C46" s="182" t="s">
        <v>270</v>
      </c>
      <c r="D46" s="78"/>
      <c r="E46" s="127" t="str">
        <f>IF(D46="","",VLOOKUP(D46,'11. Condition and Temporal'!$B$6:$D$101,3,FALSE))</f>
        <v/>
      </c>
      <c r="F46" s="540"/>
      <c r="G46" s="541"/>
      <c r="H46" s="76"/>
      <c r="I46" s="561"/>
      <c r="J46" s="562"/>
      <c r="K46" s="562"/>
      <c r="L46" s="715" t="str">
        <f t="shared" si="14"/>
        <v/>
      </c>
      <c r="M46" s="512"/>
      <c r="N46" s="513"/>
      <c r="O46" s="79"/>
      <c r="P46" s="12"/>
      <c r="R46" s="568"/>
      <c r="U46" s="100" t="str">
        <f>IF(D46="","",VLOOKUP(D46,'10. All Habitats + Multipliers'!$C$4:$K$99,5,FALSE))</f>
        <v/>
      </c>
      <c r="V46" s="101" t="str">
        <f>IF(U46="","",VLOOKUP(U46,'12. Lists'!$B$47:$D$49,2,FALSE))</f>
        <v/>
      </c>
      <c r="W46" s="100" t="str">
        <f t="shared" si="15"/>
        <v/>
      </c>
      <c r="X46" s="101" t="str">
        <f>IF(W46="","",VLOOKUP(W46,'12. Lists'!$F$47:$G$51,2,FALSE))</f>
        <v/>
      </c>
      <c r="Y46" s="100" t="str">
        <f>IF(D46="","",VLOOKUP(D46,'10. All Habitats + Multipliers'!$C$4:$K$99,9,FALSE))</f>
        <v/>
      </c>
      <c r="Z46" s="102" t="str">
        <f>IF(Y46="","",VLOOKUP(Y46,'12. Lists'!$B$36:$D$39,2,FALSE))</f>
        <v/>
      </c>
      <c r="AA46" s="101" t="str">
        <f>IF(Y46="","",VLOOKUP(Y46,'12. Lists'!$B$36:$D$39,3,FALSE))</f>
        <v/>
      </c>
      <c r="AB46" s="100" t="str">
        <f t="shared" si="13"/>
        <v/>
      </c>
      <c r="AC46" s="102" t="str">
        <f>IF(AB46="","",VLOOKUP(AB46,'12. Lists'!$F$36:$H$38,2,FALSE))</f>
        <v/>
      </c>
      <c r="AD46" s="101" t="str">
        <f>IF(AB46="","",VLOOKUP(AB46,'12. Lists'!$F$36:$H$38,3,FALSE))</f>
        <v/>
      </c>
      <c r="AE46" s="100" t="str">
        <f>IF(F46="","",IF(F46="Moderate",VLOOKUP(D46,'11. Condition and Temporal'!$B$6:$J$101,6,FALSE),IF('7. Watercourses'!F46="Good",VLOOKUP(D46,'11. Condition and Temporal'!$B$6:$J$101,7,FALSE),VLOOKUP(D46,'11. Condition and Temporal'!$B$6:$J$101,8,FALSE))))</f>
        <v/>
      </c>
      <c r="AF46" s="129" t="str">
        <f>IF(AE46="","",VLOOKUP(AE46,'12. Lists'!$I$47:$K$80,3,FALSE))</f>
        <v/>
      </c>
      <c r="AG46" s="100" t="str">
        <f>IF(D46="","",VLOOKUP(D46,'10. All Habitats + Multipliers'!$C$4:$K$99,7,FALSE))</f>
        <v/>
      </c>
      <c r="AH46" s="101" t="str">
        <f>IF(AG46="","",VLOOKUP(AG46,'12. Lists'!$J$35:$K$38,2,FALSE))</f>
        <v/>
      </c>
    </row>
    <row r="47" spans="2:34" s="27" customFormat="1" ht="15.6">
      <c r="B47" s="106">
        <v>9</v>
      </c>
      <c r="C47" s="182" t="s">
        <v>270</v>
      </c>
      <c r="D47" s="78"/>
      <c r="E47" s="127" t="str">
        <f>IF(D47="","",VLOOKUP(D47,'11. Condition and Temporal'!$B$6:$D$101,3,FALSE))</f>
        <v/>
      </c>
      <c r="F47" s="540"/>
      <c r="G47" s="541"/>
      <c r="H47" s="76"/>
      <c r="I47" s="561"/>
      <c r="J47" s="562"/>
      <c r="K47" s="562"/>
      <c r="L47" s="715" t="str">
        <f t="shared" si="14"/>
        <v/>
      </c>
      <c r="M47" s="512"/>
      <c r="N47" s="513"/>
      <c r="O47" s="79"/>
      <c r="P47" s="12"/>
      <c r="R47" s="568"/>
      <c r="U47" s="100" t="str">
        <f>IF(D47="","",VLOOKUP(D47,'10. All Habitats + Multipliers'!$C$4:$K$99,5,FALSE))</f>
        <v/>
      </c>
      <c r="V47" s="101" t="str">
        <f>IF(U47="","",VLOOKUP(U47,'12. Lists'!$B$47:$D$49,2,FALSE))</f>
        <v/>
      </c>
      <c r="W47" s="100" t="str">
        <f t="shared" si="15"/>
        <v/>
      </c>
      <c r="X47" s="101" t="str">
        <f>IF(W47="","",VLOOKUP(W47,'12. Lists'!$F$47:$G$51,2,FALSE))</f>
        <v/>
      </c>
      <c r="Y47" s="100" t="str">
        <f>IF(D47="","",VLOOKUP(D47,'10. All Habitats + Multipliers'!$C$4:$K$99,9,FALSE))</f>
        <v/>
      </c>
      <c r="Z47" s="102" t="str">
        <f>IF(Y47="","",VLOOKUP(Y47,'12. Lists'!$B$36:$D$39,2,FALSE))</f>
        <v/>
      </c>
      <c r="AA47" s="101" t="str">
        <f>IF(Y47="","",VLOOKUP(Y47,'12. Lists'!$B$36:$D$39,3,FALSE))</f>
        <v/>
      </c>
      <c r="AB47" s="100" t="str">
        <f t="shared" si="13"/>
        <v/>
      </c>
      <c r="AC47" s="102" t="str">
        <f>IF(AB47="","",VLOOKUP(AB47,'12. Lists'!$F$36:$H$38,2,FALSE))</f>
        <v/>
      </c>
      <c r="AD47" s="101" t="str">
        <f>IF(AB47="","",VLOOKUP(AB47,'12. Lists'!$F$36:$H$38,3,FALSE))</f>
        <v/>
      </c>
      <c r="AE47" s="100" t="str">
        <f>IF(F47="","",IF(F47="Moderate",VLOOKUP(D47,'11. Condition and Temporal'!$B$6:$J$101,6,FALSE),IF('7. Watercourses'!F47="Good",VLOOKUP(D47,'11. Condition and Temporal'!$B$6:$J$101,7,FALSE),VLOOKUP(D47,'11. Condition and Temporal'!$B$6:$J$101,8,FALSE))))</f>
        <v/>
      </c>
      <c r="AF47" s="129" t="str">
        <f>IF(AE47="","",VLOOKUP(AE47,'12. Lists'!$I$47:$K$80,3,FALSE))</f>
        <v/>
      </c>
      <c r="AG47" s="100" t="str">
        <f>IF(D47="","",VLOOKUP(D47,'10. All Habitats + Multipliers'!$C$4:$K$99,7,FALSE))</f>
        <v/>
      </c>
      <c r="AH47" s="101" t="str">
        <f>IF(AG47="","",VLOOKUP(AG47,'12. Lists'!$J$35:$K$38,2,FALSE))</f>
        <v/>
      </c>
    </row>
    <row r="48" spans="2:34" s="27" customFormat="1" ht="15.6">
      <c r="B48" s="106">
        <v>10</v>
      </c>
      <c r="C48" s="182" t="s">
        <v>270</v>
      </c>
      <c r="D48" s="78"/>
      <c r="E48" s="127" t="str">
        <f>IF(D48="","",VLOOKUP(D48,'11. Condition and Temporal'!$B$6:$D$101,3,FALSE))</f>
        <v/>
      </c>
      <c r="F48" s="540"/>
      <c r="G48" s="541"/>
      <c r="H48" s="76"/>
      <c r="I48" s="561"/>
      <c r="J48" s="562"/>
      <c r="K48" s="562"/>
      <c r="L48" s="715" t="str">
        <f t="shared" si="14"/>
        <v/>
      </c>
      <c r="M48" s="512"/>
      <c r="N48" s="513"/>
      <c r="O48" s="79"/>
      <c r="P48" s="12"/>
      <c r="R48" s="568"/>
      <c r="U48" s="100" t="str">
        <f>IF(D48="","",VLOOKUP(D48,'10. All Habitats + Multipliers'!$C$4:$K$99,5,FALSE))</f>
        <v/>
      </c>
      <c r="V48" s="101" t="str">
        <f>IF(U48="","",VLOOKUP(U48,'12. Lists'!$B$47:$D$49,2,FALSE))</f>
        <v/>
      </c>
      <c r="W48" s="100" t="str">
        <f t="shared" si="15"/>
        <v/>
      </c>
      <c r="X48" s="101" t="str">
        <f>IF(W48="","",VLOOKUP(W48,'12. Lists'!$F$47:$G$51,2,FALSE))</f>
        <v/>
      </c>
      <c r="Y48" s="100" t="str">
        <f>IF(D48="","",VLOOKUP(D48,'10. All Habitats + Multipliers'!$C$4:$K$99,9,FALSE))</f>
        <v/>
      </c>
      <c r="Z48" s="102" t="str">
        <f>IF(Y48="","",VLOOKUP(Y48,'12. Lists'!$B$36:$D$39,2,FALSE))</f>
        <v/>
      </c>
      <c r="AA48" s="101" t="str">
        <f>IF(Y48="","",VLOOKUP(Y48,'12. Lists'!$B$36:$D$39,3,FALSE))</f>
        <v/>
      </c>
      <c r="AB48" s="100" t="str">
        <f t="shared" si="13"/>
        <v/>
      </c>
      <c r="AC48" s="102" t="str">
        <f>IF(AB48="","",VLOOKUP(AB48,'12. Lists'!$F$36:$H$38,2,FALSE))</f>
        <v/>
      </c>
      <c r="AD48" s="101" t="str">
        <f>IF(AB48="","",VLOOKUP(AB48,'12. Lists'!$F$36:$H$38,3,FALSE))</f>
        <v/>
      </c>
      <c r="AE48" s="100" t="str">
        <f>IF(F48="","",IF(F48="Moderate",VLOOKUP(D48,'11. Condition and Temporal'!$B$6:$J$101,6,FALSE),IF('7. Watercourses'!F48="Good",VLOOKUP(D48,'11. Condition and Temporal'!$B$6:$J$101,7,FALSE),VLOOKUP(D48,'11. Condition and Temporal'!$B$6:$J$101,8,FALSE))))</f>
        <v/>
      </c>
      <c r="AF48" s="129" t="str">
        <f>IF(AE48="","",VLOOKUP(AE48,'12. Lists'!$I$47:$K$80,3,FALSE))</f>
        <v/>
      </c>
      <c r="AG48" s="100" t="str">
        <f>IF(D48="","",VLOOKUP(D48,'10. All Habitats + Multipliers'!$C$4:$K$99,7,FALSE))</f>
        <v/>
      </c>
      <c r="AH48" s="101" t="str">
        <f>IF(AG48="","",VLOOKUP(AG48,'12. Lists'!$J$35:$K$38,2,FALSE))</f>
        <v/>
      </c>
    </row>
    <row r="49" spans="1:73" s="27" customFormat="1" ht="15.6">
      <c r="B49" s="106">
        <v>11</v>
      </c>
      <c r="C49" s="182" t="s">
        <v>270</v>
      </c>
      <c r="D49" s="78"/>
      <c r="E49" s="127" t="str">
        <f>IF(D49="","",VLOOKUP(D49,'11. Condition and Temporal'!$B$6:$D$101,3,FALSE))</f>
        <v/>
      </c>
      <c r="F49" s="540"/>
      <c r="G49" s="541"/>
      <c r="H49" s="76"/>
      <c r="I49" s="561"/>
      <c r="J49" s="562"/>
      <c r="K49" s="562"/>
      <c r="L49" s="715" t="str">
        <f t="shared" si="14"/>
        <v/>
      </c>
      <c r="M49" s="512"/>
      <c r="N49" s="513"/>
      <c r="O49" s="79"/>
      <c r="P49" s="12"/>
      <c r="R49" s="568"/>
      <c r="U49" s="100" t="str">
        <f>IF(D49="","",VLOOKUP(D49,'10. All Habitats + Multipliers'!$C$4:$K$99,5,FALSE))</f>
        <v/>
      </c>
      <c r="V49" s="101" t="str">
        <f>IF(U49="","",VLOOKUP(U49,'12. Lists'!$B$47:$D$49,2,FALSE))</f>
        <v/>
      </c>
      <c r="W49" s="100" t="str">
        <f t="shared" si="15"/>
        <v/>
      </c>
      <c r="X49" s="101" t="str">
        <f>IF(W49="","",VLOOKUP(W49,'12. Lists'!$F$47:$G$51,2,FALSE))</f>
        <v/>
      </c>
      <c r="Y49" s="100" t="str">
        <f>IF(D49="","",VLOOKUP(D49,'10. All Habitats + Multipliers'!$C$4:$K$99,9,FALSE))</f>
        <v/>
      </c>
      <c r="Z49" s="102" t="str">
        <f>IF(Y49="","",VLOOKUP(Y49,'12. Lists'!$B$36:$D$39,2,FALSE))</f>
        <v/>
      </c>
      <c r="AA49" s="101" t="str">
        <f>IF(Y49="","",VLOOKUP(Y49,'12. Lists'!$B$36:$D$39,3,FALSE))</f>
        <v/>
      </c>
      <c r="AB49" s="100" t="str">
        <f t="shared" si="13"/>
        <v/>
      </c>
      <c r="AC49" s="102" t="str">
        <f>IF(AB49="","",VLOOKUP(AB49,'12. Lists'!$F$36:$H$38,2,FALSE))</f>
        <v/>
      </c>
      <c r="AD49" s="101" t="str">
        <f>IF(AB49="","",VLOOKUP(AB49,'12. Lists'!$F$36:$H$38,3,FALSE))</f>
        <v/>
      </c>
      <c r="AE49" s="100" t="str">
        <f>IF(F49="","",IF(F49="Moderate",VLOOKUP(D49,'11. Condition and Temporal'!$B$6:$J$101,6,FALSE),IF('7. Watercourses'!F49="Good",VLOOKUP(D49,'11. Condition and Temporal'!$B$6:$J$101,7,FALSE),VLOOKUP(D49,'11. Condition and Temporal'!$B$6:$J$101,8,FALSE))))</f>
        <v/>
      </c>
      <c r="AF49" s="129" t="str">
        <f>IF(AE49="","",VLOOKUP(AE49,'12. Lists'!$I$47:$K$80,3,FALSE))</f>
        <v/>
      </c>
      <c r="AG49" s="100" t="str">
        <f>IF(D49="","",VLOOKUP(D49,'10. All Habitats + Multipliers'!$C$4:$K$99,7,FALSE))</f>
        <v/>
      </c>
      <c r="AH49" s="101" t="str">
        <f>IF(AG49="","",VLOOKUP(AG49,'12. Lists'!$J$35:$K$38,2,FALSE))</f>
        <v/>
      </c>
    </row>
    <row r="50" spans="1:73" s="27" customFormat="1" ht="15.6">
      <c r="B50" s="106">
        <v>12</v>
      </c>
      <c r="C50" s="182" t="s">
        <v>270</v>
      </c>
      <c r="D50" s="78"/>
      <c r="E50" s="127" t="str">
        <f>IF(D50="","",VLOOKUP(D50,'11. Condition and Temporal'!$B$6:$D$101,3,FALSE))</f>
        <v/>
      </c>
      <c r="F50" s="540"/>
      <c r="G50" s="541"/>
      <c r="H50" s="76"/>
      <c r="I50" s="561"/>
      <c r="J50" s="562"/>
      <c r="K50" s="562"/>
      <c r="L50" s="715" t="str">
        <f t="shared" si="14"/>
        <v/>
      </c>
      <c r="M50" s="512"/>
      <c r="N50" s="513"/>
      <c r="O50" s="79"/>
      <c r="P50" s="12"/>
      <c r="R50" s="568"/>
      <c r="U50" s="100" t="str">
        <f>IF(D50="","",VLOOKUP(D50,'10. All Habitats + Multipliers'!$C$4:$K$99,5,FALSE))</f>
        <v/>
      </c>
      <c r="V50" s="101" t="str">
        <f>IF(U50="","",VLOOKUP(U50,'12. Lists'!$B$47:$D$49,2,FALSE))</f>
        <v/>
      </c>
      <c r="W50" s="100" t="str">
        <f t="shared" si="15"/>
        <v/>
      </c>
      <c r="X50" s="101" t="str">
        <f>IF(W50="","",VLOOKUP(W50,'12. Lists'!$F$47:$G$51,2,FALSE))</f>
        <v/>
      </c>
      <c r="Y50" s="100" t="str">
        <f>IF(D50="","",VLOOKUP(D50,'10. All Habitats + Multipliers'!$C$4:$K$99,9,FALSE))</f>
        <v/>
      </c>
      <c r="Z50" s="102" t="str">
        <f>IF(Y50="","",VLOOKUP(Y50,'12. Lists'!$B$36:$D$39,2,FALSE))</f>
        <v/>
      </c>
      <c r="AA50" s="101" t="str">
        <f>IF(Y50="","",VLOOKUP(Y50,'12. Lists'!$B$36:$D$39,3,FALSE))</f>
        <v/>
      </c>
      <c r="AB50" s="100" t="str">
        <f t="shared" si="13"/>
        <v/>
      </c>
      <c r="AC50" s="102" t="str">
        <f>IF(AB50="","",VLOOKUP(AB50,'12. Lists'!$F$36:$H$38,2,FALSE))</f>
        <v/>
      </c>
      <c r="AD50" s="101" t="str">
        <f>IF(AB50="","",VLOOKUP(AB50,'12. Lists'!$F$36:$H$38,3,FALSE))</f>
        <v/>
      </c>
      <c r="AE50" s="100" t="str">
        <f>IF(F50="","",IF(F50="Moderate",VLOOKUP(D50,'11. Condition and Temporal'!$B$6:$J$101,6,FALSE),IF('7. Watercourses'!F50="Good",VLOOKUP(D50,'11. Condition and Temporal'!$B$6:$J$101,7,FALSE),VLOOKUP(D50,'11. Condition and Temporal'!$B$6:$J$101,8,FALSE))))</f>
        <v/>
      </c>
      <c r="AF50" s="129" t="str">
        <f>IF(AE50="","",VLOOKUP(AE50,'12. Lists'!$I$47:$K$80,3,FALSE))</f>
        <v/>
      </c>
      <c r="AG50" s="100" t="str">
        <f>IF(D50="","",VLOOKUP(D50,'10. All Habitats + Multipliers'!$C$4:$K$99,7,FALSE))</f>
        <v/>
      </c>
      <c r="AH50" s="101" t="str">
        <f>IF(AG50="","",VLOOKUP(AG50,'12. Lists'!$J$35:$K$38,2,FALSE))</f>
        <v/>
      </c>
    </row>
    <row r="51" spans="1:73" s="27" customFormat="1" ht="15.6">
      <c r="B51" s="106">
        <v>13</v>
      </c>
      <c r="C51" s="182" t="s">
        <v>270</v>
      </c>
      <c r="D51" s="78"/>
      <c r="E51" s="127" t="str">
        <f>IF(D51="","",VLOOKUP(D51,'11. Condition and Temporal'!$B$6:$D$101,3,FALSE))</f>
        <v/>
      </c>
      <c r="F51" s="540"/>
      <c r="G51" s="541"/>
      <c r="H51" s="76"/>
      <c r="I51" s="561"/>
      <c r="J51" s="562"/>
      <c r="K51" s="562"/>
      <c r="L51" s="715" t="str">
        <f t="shared" si="14"/>
        <v/>
      </c>
      <c r="M51" s="512"/>
      <c r="N51" s="513"/>
      <c r="O51" s="79"/>
      <c r="P51" s="12"/>
      <c r="R51" s="568"/>
      <c r="U51" s="100" t="str">
        <f>IF(D51="","",VLOOKUP(D51,'10. All Habitats + Multipliers'!$C$4:$K$99,5,FALSE))</f>
        <v/>
      </c>
      <c r="V51" s="101" t="str">
        <f>IF(U51="","",VLOOKUP(U51,'12. Lists'!$B$47:$D$49,2,FALSE))</f>
        <v/>
      </c>
      <c r="W51" s="100" t="str">
        <f t="shared" si="15"/>
        <v/>
      </c>
      <c r="X51" s="101" t="str">
        <f>IF(W51="","",VLOOKUP(W51,'12. Lists'!$F$47:$G$51,2,FALSE))</f>
        <v/>
      </c>
      <c r="Y51" s="100" t="str">
        <f>IF(D51="","",VLOOKUP(D51,'10. All Habitats + Multipliers'!$C$4:$K$99,9,FALSE))</f>
        <v/>
      </c>
      <c r="Z51" s="102" t="str">
        <f>IF(Y51="","",VLOOKUP(Y51,'12. Lists'!$B$36:$D$39,2,FALSE))</f>
        <v/>
      </c>
      <c r="AA51" s="101" t="str">
        <f>IF(Y51="","",VLOOKUP(Y51,'12. Lists'!$B$36:$D$39,3,FALSE))</f>
        <v/>
      </c>
      <c r="AB51" s="100" t="str">
        <f t="shared" si="13"/>
        <v/>
      </c>
      <c r="AC51" s="102" t="str">
        <f>IF(AB51="","",VLOOKUP(AB51,'12. Lists'!$F$36:$H$38,2,FALSE))</f>
        <v/>
      </c>
      <c r="AD51" s="101" t="str">
        <f>IF(AB51="","",VLOOKUP(AB51,'12. Lists'!$F$36:$H$38,3,FALSE))</f>
        <v/>
      </c>
      <c r="AE51" s="100" t="str">
        <f>IF(F51="","",IF(F51="Moderate",VLOOKUP(D51,'11. Condition and Temporal'!$B$6:$J$101,6,FALSE),IF('7. Watercourses'!F51="Good",VLOOKUP(D51,'11. Condition and Temporal'!$B$6:$J$101,7,FALSE),VLOOKUP(D51,'11. Condition and Temporal'!$B$6:$J$101,8,FALSE))))</f>
        <v/>
      </c>
      <c r="AF51" s="129" t="str">
        <f>IF(AE51="","",VLOOKUP(AE51,'12. Lists'!$I$47:$K$80,3,FALSE))</f>
        <v/>
      </c>
      <c r="AG51" s="100" t="str">
        <f>IF(D51="","",VLOOKUP(D51,'10. All Habitats + Multipliers'!$C$4:$K$99,7,FALSE))</f>
        <v/>
      </c>
      <c r="AH51" s="101" t="str">
        <f>IF(AG51="","",VLOOKUP(AG51,'12. Lists'!$J$35:$K$38,2,FALSE))</f>
        <v/>
      </c>
    </row>
    <row r="52" spans="1:73" s="27" customFormat="1" ht="15.6">
      <c r="B52" s="106">
        <v>14</v>
      </c>
      <c r="C52" s="182" t="s">
        <v>270</v>
      </c>
      <c r="D52" s="78"/>
      <c r="E52" s="127" t="str">
        <f>IF(D52="","",VLOOKUP(D52,'11. Condition and Temporal'!$B$6:$D$101,3,FALSE))</f>
        <v/>
      </c>
      <c r="F52" s="540"/>
      <c r="G52" s="541"/>
      <c r="H52" s="76"/>
      <c r="I52" s="561"/>
      <c r="J52" s="562"/>
      <c r="K52" s="562"/>
      <c r="L52" s="715" t="str">
        <f t="shared" si="14"/>
        <v/>
      </c>
      <c r="M52" s="512"/>
      <c r="N52" s="513"/>
      <c r="O52" s="79"/>
      <c r="P52" s="12"/>
      <c r="R52" s="568"/>
      <c r="U52" s="100" t="str">
        <f>IF(D52="","",VLOOKUP(D52,'10. All Habitats + Multipliers'!$C$4:$K$99,5,FALSE))</f>
        <v/>
      </c>
      <c r="V52" s="101" t="str">
        <f>IF(U52="","",VLOOKUP(U52,'12. Lists'!$B$47:$D$49,2,FALSE))</f>
        <v/>
      </c>
      <c r="W52" s="100" t="str">
        <f t="shared" si="15"/>
        <v/>
      </c>
      <c r="X52" s="101" t="str">
        <f>IF(W52="","",VLOOKUP(W52,'12. Lists'!$F$47:$G$51,2,FALSE))</f>
        <v/>
      </c>
      <c r="Y52" s="100" t="str">
        <f>IF(D52="","",VLOOKUP(D52,'10. All Habitats + Multipliers'!$C$4:$K$99,9,FALSE))</f>
        <v/>
      </c>
      <c r="Z52" s="102" t="str">
        <f>IF(Y52="","",VLOOKUP(Y52,'12. Lists'!$B$36:$D$39,2,FALSE))</f>
        <v/>
      </c>
      <c r="AA52" s="101" t="str">
        <f>IF(Y52="","",VLOOKUP(Y52,'12. Lists'!$B$36:$D$39,3,FALSE))</f>
        <v/>
      </c>
      <c r="AB52" s="100" t="str">
        <f t="shared" si="13"/>
        <v/>
      </c>
      <c r="AC52" s="102" t="str">
        <f>IF(AB52="","",VLOOKUP(AB52,'12. Lists'!$F$36:$H$38,2,FALSE))</f>
        <v/>
      </c>
      <c r="AD52" s="101" t="str">
        <f>IF(AB52="","",VLOOKUP(AB52,'12. Lists'!$F$36:$H$38,3,FALSE))</f>
        <v/>
      </c>
      <c r="AE52" s="100" t="str">
        <f>IF(F52="","",IF(F52="Moderate",VLOOKUP(D52,'11. Condition and Temporal'!$B$6:$J$101,6,FALSE),IF('7. Watercourses'!F52="Good",VLOOKUP(D52,'11. Condition and Temporal'!$B$6:$J$101,7,FALSE),VLOOKUP(D52,'11. Condition and Temporal'!$B$6:$J$101,8,FALSE))))</f>
        <v/>
      </c>
      <c r="AF52" s="129" t="str">
        <f>IF(AE52="","",VLOOKUP(AE52,'12. Lists'!$I$47:$K$80,3,FALSE))</f>
        <v/>
      </c>
      <c r="AG52" s="100" t="str">
        <f>IF(D52="","",VLOOKUP(D52,'10. All Habitats + Multipliers'!$C$4:$K$99,7,FALSE))</f>
        <v/>
      </c>
      <c r="AH52" s="101" t="str">
        <f>IF(AG52="","",VLOOKUP(AG52,'12. Lists'!$J$35:$K$38,2,FALSE))</f>
        <v/>
      </c>
    </row>
    <row r="53" spans="1:73" s="27" customFormat="1" ht="15.6">
      <c r="B53" s="106">
        <v>15</v>
      </c>
      <c r="C53" s="182" t="s">
        <v>270</v>
      </c>
      <c r="D53" s="78"/>
      <c r="E53" s="127" t="str">
        <f>IF(D53="","",VLOOKUP(D53,'11. Condition and Temporal'!$B$6:$D$101,3,FALSE))</f>
        <v/>
      </c>
      <c r="F53" s="540"/>
      <c r="G53" s="541"/>
      <c r="H53" s="76"/>
      <c r="I53" s="561"/>
      <c r="J53" s="562"/>
      <c r="K53" s="562"/>
      <c r="L53" s="715" t="str">
        <f t="shared" si="14"/>
        <v/>
      </c>
      <c r="M53" s="512"/>
      <c r="N53" s="513"/>
      <c r="O53" s="79"/>
      <c r="P53" s="12"/>
      <c r="R53" s="568"/>
      <c r="U53" s="100" t="str">
        <f>IF(D53="","",VLOOKUP(D53,'10. All Habitats + Multipliers'!$C$4:$K$99,5,FALSE))</f>
        <v/>
      </c>
      <c r="V53" s="101" t="str">
        <f>IF(U53="","",VLOOKUP(U53,'12. Lists'!$B$47:$D$49,2,FALSE))</f>
        <v/>
      </c>
      <c r="W53" s="100" t="str">
        <f t="shared" si="15"/>
        <v/>
      </c>
      <c r="X53" s="101" t="str">
        <f>IF(W53="","",VLOOKUP(W53,'12. Lists'!$F$47:$G$51,2,FALSE))</f>
        <v/>
      </c>
      <c r="Y53" s="100" t="str">
        <f>IF(D53="","",VLOOKUP(D53,'10. All Habitats + Multipliers'!$C$4:$K$99,9,FALSE))</f>
        <v/>
      </c>
      <c r="Z53" s="102" t="str">
        <f>IF(Y53="","",VLOOKUP(Y53,'12. Lists'!$B$36:$D$39,2,FALSE))</f>
        <v/>
      </c>
      <c r="AA53" s="101" t="str">
        <f>IF(Y53="","",VLOOKUP(Y53,'12. Lists'!$B$36:$D$39,3,FALSE))</f>
        <v/>
      </c>
      <c r="AB53" s="100" t="str">
        <f t="shared" si="13"/>
        <v/>
      </c>
      <c r="AC53" s="102" t="str">
        <f>IF(AB53="","",VLOOKUP(AB53,'12. Lists'!$F$36:$H$38,2,FALSE))</f>
        <v/>
      </c>
      <c r="AD53" s="101" t="str">
        <f>IF(AB53="","",VLOOKUP(AB53,'12. Lists'!$F$36:$H$38,3,FALSE))</f>
        <v/>
      </c>
      <c r="AE53" s="100" t="str">
        <f>IF(F53="","",IF(F53="Moderate",VLOOKUP(D53,'11. Condition and Temporal'!$B$6:$J$101,6,FALSE),IF('7. Watercourses'!F53="Good",VLOOKUP(D53,'11. Condition and Temporal'!$B$6:$J$101,7,FALSE),VLOOKUP(D53,'11. Condition and Temporal'!$B$6:$J$101,8,FALSE))))</f>
        <v/>
      </c>
      <c r="AF53" s="129" t="str">
        <f>IF(AE53="","",VLOOKUP(AE53,'12. Lists'!$I$47:$K$80,3,FALSE))</f>
        <v/>
      </c>
      <c r="AG53" s="100" t="str">
        <f>IF(D53="","",VLOOKUP(D53,'10. All Habitats + Multipliers'!$C$4:$K$99,7,FALSE))</f>
        <v/>
      </c>
      <c r="AH53" s="101" t="str">
        <f>IF(AG53="","",VLOOKUP(AG53,'12. Lists'!$J$35:$K$38,2,FALSE))</f>
        <v/>
      </c>
    </row>
    <row r="54" spans="1:73" s="27" customFormat="1" ht="15.6">
      <c r="B54" s="106">
        <v>16</v>
      </c>
      <c r="C54" s="182" t="s">
        <v>270</v>
      </c>
      <c r="D54" s="78"/>
      <c r="E54" s="127" t="str">
        <f>IF(D54="","",VLOOKUP(D54,'11. Condition and Temporal'!$B$6:$D$101,3,FALSE))</f>
        <v/>
      </c>
      <c r="F54" s="540"/>
      <c r="G54" s="541"/>
      <c r="H54" s="76"/>
      <c r="I54" s="561"/>
      <c r="J54" s="562"/>
      <c r="K54" s="562"/>
      <c r="L54" s="715" t="str">
        <f t="shared" si="14"/>
        <v/>
      </c>
      <c r="M54" s="512"/>
      <c r="N54" s="513"/>
      <c r="O54" s="79"/>
      <c r="P54" s="12"/>
      <c r="R54" s="568"/>
      <c r="U54" s="100" t="str">
        <f>IF(D54="","",VLOOKUP(D54,'10. All Habitats + Multipliers'!$C$4:$K$99,5,FALSE))</f>
        <v/>
      </c>
      <c r="V54" s="101" t="str">
        <f>IF(U54="","",VLOOKUP(U54,'12. Lists'!$B$47:$D$49,2,FALSE))</f>
        <v/>
      </c>
      <c r="W54" s="100" t="str">
        <f t="shared" si="15"/>
        <v/>
      </c>
      <c r="X54" s="101" t="str">
        <f>IF(W54="","",VLOOKUP(W54,'12. Lists'!$F$47:$G$51,2,FALSE))</f>
        <v/>
      </c>
      <c r="Y54" s="100" t="str">
        <f>IF(D54="","",VLOOKUP(D54,'10. All Habitats + Multipliers'!$C$4:$K$99,9,FALSE))</f>
        <v/>
      </c>
      <c r="Z54" s="102" t="str">
        <f>IF(Y54="","",VLOOKUP(Y54,'12. Lists'!$B$36:$D$39,2,FALSE))</f>
        <v/>
      </c>
      <c r="AA54" s="101" t="str">
        <f>IF(Y54="","",VLOOKUP(Y54,'12. Lists'!$B$36:$D$39,3,FALSE))</f>
        <v/>
      </c>
      <c r="AB54" s="100" t="str">
        <f t="shared" si="13"/>
        <v/>
      </c>
      <c r="AC54" s="102" t="str">
        <f>IF(AB54="","",VLOOKUP(AB54,'12. Lists'!$F$36:$H$38,2,FALSE))</f>
        <v/>
      </c>
      <c r="AD54" s="101" t="str">
        <f>IF(AB54="","",VLOOKUP(AB54,'12. Lists'!$F$36:$H$38,3,FALSE))</f>
        <v/>
      </c>
      <c r="AE54" s="100" t="str">
        <f>IF(F54="","",IF(F54="Moderate",VLOOKUP(D54,'11. Condition and Temporal'!$B$6:$J$101,6,FALSE),IF('7. Watercourses'!F54="Good",VLOOKUP(D54,'11. Condition and Temporal'!$B$6:$J$101,7,FALSE),VLOOKUP(D54,'11. Condition and Temporal'!$B$6:$J$101,8,FALSE))))</f>
        <v/>
      </c>
      <c r="AF54" s="129" t="str">
        <f>IF(AE54="","",VLOOKUP(AE54,'12. Lists'!$I$47:$K$80,3,FALSE))</f>
        <v/>
      </c>
      <c r="AG54" s="100" t="str">
        <f>IF(D54="","",VLOOKUP(D54,'10. All Habitats + Multipliers'!$C$4:$K$99,7,FALSE))</f>
        <v/>
      </c>
      <c r="AH54" s="101" t="str">
        <f>IF(AG54="","",VLOOKUP(AG54,'12. Lists'!$J$35:$K$38,2,FALSE))</f>
        <v/>
      </c>
    </row>
    <row r="55" spans="1:73" s="27" customFormat="1" ht="15.6">
      <c r="B55" s="106">
        <v>17</v>
      </c>
      <c r="C55" s="182" t="s">
        <v>270</v>
      </c>
      <c r="D55" s="78"/>
      <c r="E55" s="127" t="str">
        <f>IF(D55="","",VLOOKUP(D55,'11. Condition and Temporal'!$B$6:$D$101,3,FALSE))</f>
        <v/>
      </c>
      <c r="F55" s="540"/>
      <c r="G55" s="541"/>
      <c r="H55" s="76"/>
      <c r="I55" s="561"/>
      <c r="J55" s="562"/>
      <c r="K55" s="562"/>
      <c r="L55" s="715" t="str">
        <f t="shared" si="14"/>
        <v/>
      </c>
      <c r="M55" s="512"/>
      <c r="N55" s="513"/>
      <c r="O55" s="79"/>
      <c r="P55" s="12"/>
      <c r="R55" s="568"/>
      <c r="U55" s="100" t="str">
        <f>IF(D55="","",VLOOKUP(D55,'10. All Habitats + Multipliers'!$C$4:$K$99,5,FALSE))</f>
        <v/>
      </c>
      <c r="V55" s="101" t="str">
        <f>IF(U55="","",VLOOKUP(U55,'12. Lists'!$B$47:$D$49,2,FALSE))</f>
        <v/>
      </c>
      <c r="W55" s="100" t="str">
        <f t="shared" si="15"/>
        <v/>
      </c>
      <c r="X55" s="101" t="str">
        <f>IF(W55="","",VLOOKUP(W55,'12. Lists'!$F$47:$G$51,2,FALSE))</f>
        <v/>
      </c>
      <c r="Y55" s="100" t="str">
        <f>IF(D55="","",VLOOKUP(D55,'10. All Habitats + Multipliers'!$C$4:$K$99,9,FALSE))</f>
        <v/>
      </c>
      <c r="Z55" s="102" t="str">
        <f>IF(Y55="","",VLOOKUP(Y55,'12. Lists'!$B$36:$D$39,2,FALSE))</f>
        <v/>
      </c>
      <c r="AA55" s="101" t="str">
        <f>IF(Y55="","",VLOOKUP(Y55,'12. Lists'!$B$36:$D$39,3,FALSE))</f>
        <v/>
      </c>
      <c r="AB55" s="100" t="str">
        <f t="shared" si="13"/>
        <v/>
      </c>
      <c r="AC55" s="102" t="str">
        <f>IF(AB55="","",VLOOKUP(AB55,'12. Lists'!$F$36:$H$38,2,FALSE))</f>
        <v/>
      </c>
      <c r="AD55" s="101" t="str">
        <f>IF(AB55="","",VLOOKUP(AB55,'12. Lists'!$F$36:$H$38,3,FALSE))</f>
        <v/>
      </c>
      <c r="AE55" s="100" t="str">
        <f>IF(F55="","",IF(F55="Moderate",VLOOKUP(D55,'11. Condition and Temporal'!$B$6:$J$101,6,FALSE),IF('7. Watercourses'!F55="Good",VLOOKUP(D55,'11. Condition and Temporal'!$B$6:$J$101,7,FALSE),VLOOKUP(D55,'11. Condition and Temporal'!$B$6:$J$101,8,FALSE))))</f>
        <v/>
      </c>
      <c r="AF55" s="129" t="str">
        <f>IF(AE55="","",VLOOKUP(AE55,'12. Lists'!$I$47:$K$80,3,FALSE))</f>
        <v/>
      </c>
      <c r="AG55" s="100" t="str">
        <f>IF(D55="","",VLOOKUP(D55,'10. All Habitats + Multipliers'!$C$4:$K$99,7,FALSE))</f>
        <v/>
      </c>
      <c r="AH55" s="101" t="str">
        <f>IF(AG55="","",VLOOKUP(AG55,'12. Lists'!$J$35:$K$38,2,FALSE))</f>
        <v/>
      </c>
    </row>
    <row r="56" spans="1:73" s="27" customFormat="1" ht="15.6">
      <c r="B56" s="106">
        <v>18</v>
      </c>
      <c r="C56" s="182" t="s">
        <v>270</v>
      </c>
      <c r="D56" s="78"/>
      <c r="E56" s="127" t="str">
        <f>IF(D56="","",VLOOKUP(D56,'11. Condition and Temporal'!$B$6:$D$101,3,FALSE))</f>
        <v/>
      </c>
      <c r="F56" s="540"/>
      <c r="G56" s="541"/>
      <c r="H56" s="76"/>
      <c r="I56" s="561"/>
      <c r="J56" s="562"/>
      <c r="K56" s="562"/>
      <c r="L56" s="715" t="str">
        <f t="shared" si="14"/>
        <v/>
      </c>
      <c r="M56" s="512"/>
      <c r="N56" s="513"/>
      <c r="O56" s="79"/>
      <c r="P56" s="12"/>
      <c r="R56" s="568"/>
      <c r="U56" s="100" t="str">
        <f>IF(D56="","",VLOOKUP(D56,'10. All Habitats + Multipliers'!$C$4:$K$99,5,FALSE))</f>
        <v/>
      </c>
      <c r="V56" s="101" t="str">
        <f>IF(U56="","",VLOOKUP(U56,'12. Lists'!$B$47:$D$49,2,FALSE))</f>
        <v/>
      </c>
      <c r="W56" s="100" t="str">
        <f t="shared" si="15"/>
        <v/>
      </c>
      <c r="X56" s="101" t="str">
        <f>IF(W56="","",VLOOKUP(W56,'12. Lists'!$F$47:$G$51,2,FALSE))</f>
        <v/>
      </c>
      <c r="Y56" s="100" t="str">
        <f>IF(D56="","",VLOOKUP(D56,'10. All Habitats + Multipliers'!$C$4:$K$99,9,FALSE))</f>
        <v/>
      </c>
      <c r="Z56" s="102" t="str">
        <f>IF(Y56="","",VLOOKUP(Y56,'12. Lists'!$B$36:$D$39,2,FALSE))</f>
        <v/>
      </c>
      <c r="AA56" s="101" t="str">
        <f>IF(Y56="","",VLOOKUP(Y56,'12. Lists'!$B$36:$D$39,3,FALSE))</f>
        <v/>
      </c>
      <c r="AB56" s="100" t="str">
        <f t="shared" si="13"/>
        <v/>
      </c>
      <c r="AC56" s="102" t="str">
        <f>IF(AB56="","",VLOOKUP(AB56,'12. Lists'!$F$36:$H$38,2,FALSE))</f>
        <v/>
      </c>
      <c r="AD56" s="101" t="str">
        <f>IF(AB56="","",VLOOKUP(AB56,'12. Lists'!$F$36:$H$38,3,FALSE))</f>
        <v/>
      </c>
      <c r="AE56" s="100" t="str">
        <f>IF(F56="","",IF(F56="Moderate",VLOOKUP(D56,'11. Condition and Temporal'!$B$6:$J$101,6,FALSE),IF('7. Watercourses'!F56="Good",VLOOKUP(D56,'11. Condition and Temporal'!$B$6:$J$101,7,FALSE),VLOOKUP(D56,'11. Condition and Temporal'!$B$6:$J$101,8,FALSE))))</f>
        <v/>
      </c>
      <c r="AF56" s="129" t="str">
        <f>IF(AE56="","",VLOOKUP(AE56,'12. Lists'!$I$47:$K$80,3,FALSE))</f>
        <v/>
      </c>
      <c r="AG56" s="100" t="str">
        <f>IF(D56="","",VLOOKUP(D56,'10. All Habitats + Multipliers'!$C$4:$K$99,7,FALSE))</f>
        <v/>
      </c>
      <c r="AH56" s="101" t="str">
        <f>IF(AG56="","",VLOOKUP(AG56,'12. Lists'!$J$35:$K$38,2,FALSE))</f>
        <v/>
      </c>
    </row>
    <row r="57" spans="1:73" s="27" customFormat="1" ht="15.6">
      <c r="B57" s="106">
        <v>19</v>
      </c>
      <c r="C57" s="182" t="s">
        <v>270</v>
      </c>
      <c r="D57" s="78"/>
      <c r="E57" s="127" t="str">
        <f>IF(D57="","",VLOOKUP(D57,'11. Condition and Temporal'!$B$6:$D$101,3,FALSE))</f>
        <v/>
      </c>
      <c r="F57" s="540"/>
      <c r="G57" s="541"/>
      <c r="H57" s="76"/>
      <c r="I57" s="561"/>
      <c r="J57" s="562"/>
      <c r="K57" s="562"/>
      <c r="L57" s="715" t="str">
        <f t="shared" si="14"/>
        <v/>
      </c>
      <c r="M57" s="512"/>
      <c r="N57" s="513"/>
      <c r="O57" s="79"/>
      <c r="P57" s="12"/>
      <c r="R57" s="568"/>
      <c r="U57" s="100" t="str">
        <f>IF(D57="","",VLOOKUP(D57,'10. All Habitats + Multipliers'!$C$4:$K$99,5,FALSE))</f>
        <v/>
      </c>
      <c r="V57" s="101" t="str">
        <f>IF(U57="","",VLOOKUP(U57,'12. Lists'!$B$47:$D$49,2,FALSE))</f>
        <v/>
      </c>
      <c r="W57" s="100" t="str">
        <f t="shared" si="15"/>
        <v/>
      </c>
      <c r="X57" s="101" t="str">
        <f>IF(W57="","",VLOOKUP(W57,'12. Lists'!$F$47:$G$51,2,FALSE))</f>
        <v/>
      </c>
      <c r="Y57" s="100" t="str">
        <f>IF(D57="","",VLOOKUP(D57,'10. All Habitats + Multipliers'!$C$4:$K$99,9,FALSE))</f>
        <v/>
      </c>
      <c r="Z57" s="102" t="str">
        <f>IF(Y57="","",VLOOKUP(Y57,'12. Lists'!$B$36:$D$39,2,FALSE))</f>
        <v/>
      </c>
      <c r="AA57" s="101" t="str">
        <f>IF(Y57="","",VLOOKUP(Y57,'12. Lists'!$B$36:$D$39,3,FALSE))</f>
        <v/>
      </c>
      <c r="AB57" s="100" t="str">
        <f t="shared" si="13"/>
        <v/>
      </c>
      <c r="AC57" s="102" t="str">
        <f>IF(AB57="","",VLOOKUP(AB57,'12. Lists'!$F$36:$H$38,2,FALSE))</f>
        <v/>
      </c>
      <c r="AD57" s="101" t="str">
        <f>IF(AB57="","",VLOOKUP(AB57,'12. Lists'!$F$36:$H$38,3,FALSE))</f>
        <v/>
      </c>
      <c r="AE57" s="100" t="str">
        <f>IF(F57="","",IF(F57="Moderate",VLOOKUP(D57,'11. Condition and Temporal'!$B$6:$J$101,6,FALSE),IF('7. Watercourses'!F57="Good",VLOOKUP(D57,'11. Condition and Temporal'!$B$6:$J$101,7,FALSE),VLOOKUP(D57,'11. Condition and Temporal'!$B$6:$J$101,8,FALSE))))</f>
        <v/>
      </c>
      <c r="AF57" s="129" t="str">
        <f>IF(AE57="","",VLOOKUP(AE57,'12. Lists'!$I$47:$K$80,3,FALSE))</f>
        <v/>
      </c>
      <c r="AG57" s="100" t="str">
        <f>IF(D57="","",VLOOKUP(D57,'10. All Habitats + Multipliers'!$C$4:$K$99,7,FALSE))</f>
        <v/>
      </c>
      <c r="AH57" s="101" t="str">
        <f>IF(AG57="","",VLOOKUP(AG57,'12. Lists'!$J$35:$K$38,2,FALSE))</f>
        <v/>
      </c>
    </row>
    <row r="58" spans="1:73" s="27" customFormat="1" ht="16.149999999999999" thickBot="1">
      <c r="B58" s="108">
        <v>20</v>
      </c>
      <c r="C58" s="188" t="s">
        <v>270</v>
      </c>
      <c r="D58" s="177"/>
      <c r="E58" s="178" t="str">
        <f>IF(D58="","",VLOOKUP(D58,'11. Condition and Temporal'!$B$6:$D$101,3,FALSE))</f>
        <v/>
      </c>
      <c r="F58" s="742"/>
      <c r="G58" s="743"/>
      <c r="H58" s="179"/>
      <c r="I58" s="744"/>
      <c r="J58" s="745"/>
      <c r="K58" s="745"/>
      <c r="L58" s="746" t="str">
        <f t="shared" si="14"/>
        <v/>
      </c>
      <c r="M58" s="747"/>
      <c r="N58" s="748"/>
      <c r="O58" s="80"/>
      <c r="P58" s="14"/>
      <c r="R58" s="568"/>
      <c r="U58" s="100" t="str">
        <f>IF(D58="","",VLOOKUP(D58,'10. All Habitats + Multipliers'!$C$4:$K$99,5,FALSE))</f>
        <v/>
      </c>
      <c r="V58" s="101" t="str">
        <f>IF(U58="","",VLOOKUP(U58,'12. Lists'!$B$47:$D$49,2,FALSE))</f>
        <v/>
      </c>
      <c r="W58" s="100" t="str">
        <f t="shared" si="15"/>
        <v/>
      </c>
      <c r="X58" s="101" t="str">
        <f>IF(W58="","",VLOOKUP(W58,'12. Lists'!$F$47:$G$51,2,FALSE))</f>
        <v/>
      </c>
      <c r="Y58" s="100" t="str">
        <f>IF(D58="","",VLOOKUP(D58,'10. All Habitats + Multipliers'!$C$4:$K$99,9,FALSE))</f>
        <v/>
      </c>
      <c r="Z58" s="102" t="str">
        <f>IF(Y58="","",VLOOKUP(Y58,'12. Lists'!$B$36:$D$39,2,FALSE))</f>
        <v/>
      </c>
      <c r="AA58" s="101" t="str">
        <f>IF(Y58="","",VLOOKUP(Y58,'12. Lists'!$B$36:$D$39,3,FALSE))</f>
        <v/>
      </c>
      <c r="AB58" s="100" t="str">
        <f t="shared" si="13"/>
        <v/>
      </c>
      <c r="AC58" s="102" t="str">
        <f>IF(AB58="","",VLOOKUP(AB58,'12. Lists'!$F$36:$H$38,2,FALSE))</f>
        <v/>
      </c>
      <c r="AD58" s="101" t="str">
        <f>IF(AB58="","",VLOOKUP(AB58,'12. Lists'!$F$36:$H$38,3,FALSE))</f>
        <v/>
      </c>
      <c r="AE58" s="100" t="str">
        <f>IF(F58="","",IF(F58="Moderate",VLOOKUP(D58,'11. Condition and Temporal'!$B$6:$J$101,6,FALSE),IF('7. Watercourses'!F58="Good",VLOOKUP(D58,'11. Condition and Temporal'!$B$6:$J$101,7,FALSE),VLOOKUP(D58,'11. Condition and Temporal'!$B$6:$J$101,8,FALSE))))</f>
        <v/>
      </c>
      <c r="AF58" s="129" t="str">
        <f>IF(AE58="","",VLOOKUP(AE58,'12. Lists'!$I$47:$K$80,3,FALSE))</f>
        <v/>
      </c>
      <c r="AG58" s="100" t="str">
        <f>IF(D58="","",VLOOKUP(D58,'10. All Habitats + Multipliers'!$C$4:$K$99,7,FALSE))</f>
        <v/>
      </c>
      <c r="AH58" s="101" t="str">
        <f>IF(AG58="","",VLOOKUP(AG58,'12. Lists'!$J$35:$K$38,2,FALSE))</f>
        <v/>
      </c>
    </row>
    <row r="59" spans="1:73" s="27" customFormat="1" ht="15" thickBot="1">
      <c r="H59" s="189" t="s">
        <v>262</v>
      </c>
      <c r="I59" s="654">
        <f>SUM(I39:K58)</f>
        <v>0</v>
      </c>
      <c r="J59" s="655"/>
      <c r="K59" s="656"/>
      <c r="L59" s="526">
        <f>SUM(L39:N58)</f>
        <v>0</v>
      </c>
      <c r="M59" s="657"/>
      <c r="N59" s="527"/>
      <c r="R59" s="568"/>
    </row>
    <row r="60" spans="1:73" s="27" customFormat="1">
      <c r="R60" s="568"/>
    </row>
    <row r="61" spans="1:73" s="27" customFormat="1">
      <c r="R61" s="568"/>
      <c r="BA61" s="53" t="s">
        <v>149</v>
      </c>
    </row>
    <row r="62" spans="1:73" s="27" customFormat="1" ht="21">
      <c r="B62" s="62" t="s">
        <v>150</v>
      </c>
      <c r="D62" s="93"/>
      <c r="H62" s="28"/>
      <c r="R62" s="568"/>
      <c r="BA62" s="53" t="s">
        <v>151</v>
      </c>
    </row>
    <row r="63" spans="1:73" s="27" customFormat="1" ht="15" thickBot="1">
      <c r="A63" s="705"/>
      <c r="R63" s="568"/>
    </row>
    <row r="64" spans="1:73" s="27" customFormat="1" ht="16.149999999999999" customHeight="1" thickBot="1">
      <c r="A64" s="705"/>
      <c r="B64" s="510" t="s">
        <v>152</v>
      </c>
      <c r="C64" s="591" t="s">
        <v>153</v>
      </c>
      <c r="D64" s="592"/>
      <c r="E64" s="578" t="s">
        <v>271</v>
      </c>
      <c r="F64" s="583"/>
      <c r="G64" s="593"/>
      <c r="H64" s="648" t="s">
        <v>155</v>
      </c>
      <c r="I64" s="648" t="s">
        <v>272</v>
      </c>
      <c r="J64" s="739" t="s">
        <v>157</v>
      </c>
      <c r="K64" s="739"/>
      <c r="L64" s="591" t="s">
        <v>158</v>
      </c>
      <c r="M64" s="604" t="s">
        <v>159</v>
      </c>
      <c r="N64" s="592"/>
      <c r="O64" s="646" t="s">
        <v>85</v>
      </c>
      <c r="P64" s="647"/>
      <c r="R64" s="568"/>
      <c r="U64" s="678" t="s">
        <v>160</v>
      </c>
      <c r="V64" s="674"/>
      <c r="W64" s="674"/>
      <c r="X64" s="674"/>
      <c r="Y64" s="674"/>
      <c r="Z64" s="674"/>
      <c r="AA64" s="674"/>
      <c r="AB64" s="674"/>
      <c r="AC64" s="674"/>
      <c r="AD64" s="674"/>
      <c r="AE64" s="675"/>
      <c r="AF64" s="648" t="s">
        <v>161</v>
      </c>
      <c r="AG64" s="678" t="s">
        <v>162</v>
      </c>
      <c r="AH64" s="674"/>
      <c r="AI64" s="674"/>
      <c r="AJ64" s="674"/>
      <c r="AK64" s="674"/>
      <c r="AL64" s="674"/>
      <c r="AM64" s="674"/>
      <c r="AN64" s="674"/>
      <c r="AO64" s="674"/>
      <c r="AP64" s="674"/>
      <c r="AQ64" s="674"/>
      <c r="AR64" s="674"/>
      <c r="AS64" s="674"/>
      <c r="AT64" s="674"/>
      <c r="AU64" s="674"/>
      <c r="AV64" s="679"/>
      <c r="AW64" s="680"/>
      <c r="BA64" s="204" t="s">
        <v>163</v>
      </c>
      <c r="BB64" s="297">
        <f>COUNTIF(BB66:BB85,"?*")</f>
        <v>0</v>
      </c>
      <c r="BC64" s="297">
        <f t="shared" ref="BC64:BU64" si="16">COUNTIF(BC66:BC85,"?*")</f>
        <v>0</v>
      </c>
      <c r="BD64" s="297">
        <f t="shared" si="16"/>
        <v>0</v>
      </c>
      <c r="BE64" s="297">
        <f t="shared" si="16"/>
        <v>0</v>
      </c>
      <c r="BF64" s="297">
        <f t="shared" si="16"/>
        <v>0</v>
      </c>
      <c r="BG64" s="297">
        <f t="shared" si="16"/>
        <v>0</v>
      </c>
      <c r="BH64" s="297">
        <f t="shared" si="16"/>
        <v>0</v>
      </c>
      <c r="BI64" s="297">
        <f t="shared" si="16"/>
        <v>0</v>
      </c>
      <c r="BJ64" s="297">
        <f t="shared" si="16"/>
        <v>0</v>
      </c>
      <c r="BK64" s="297">
        <f t="shared" si="16"/>
        <v>0</v>
      </c>
      <c r="BL64" s="297">
        <f t="shared" si="16"/>
        <v>0</v>
      </c>
      <c r="BM64" s="297">
        <f t="shared" si="16"/>
        <v>0</v>
      </c>
      <c r="BN64" s="297">
        <f t="shared" si="16"/>
        <v>0</v>
      </c>
      <c r="BO64" s="297">
        <f t="shared" si="16"/>
        <v>0</v>
      </c>
      <c r="BP64" s="297">
        <f t="shared" si="16"/>
        <v>0</v>
      </c>
      <c r="BQ64" s="297">
        <f t="shared" si="16"/>
        <v>0</v>
      </c>
      <c r="BR64" s="297">
        <f t="shared" si="16"/>
        <v>0</v>
      </c>
      <c r="BS64" s="297">
        <f t="shared" si="16"/>
        <v>0</v>
      </c>
      <c r="BT64" s="297">
        <f t="shared" si="16"/>
        <v>0</v>
      </c>
      <c r="BU64" s="297">
        <f t="shared" si="16"/>
        <v>0</v>
      </c>
    </row>
    <row r="65" spans="1:76" s="27" customFormat="1" ht="31.9" thickBot="1">
      <c r="A65" s="705"/>
      <c r="B65" s="511"/>
      <c r="C65" s="336" t="s">
        <v>164</v>
      </c>
      <c r="D65" s="95" t="s">
        <v>165</v>
      </c>
      <c r="E65" s="91" t="s">
        <v>166</v>
      </c>
      <c r="F65" s="522" t="s">
        <v>167</v>
      </c>
      <c r="G65" s="546"/>
      <c r="H65" s="649"/>
      <c r="I65" s="649"/>
      <c r="J65" s="740"/>
      <c r="K65" s="740"/>
      <c r="L65" s="696"/>
      <c r="M65" s="671"/>
      <c r="N65" s="672"/>
      <c r="O65" s="314" t="s">
        <v>101</v>
      </c>
      <c r="P65" s="95" t="s">
        <v>102</v>
      </c>
      <c r="R65" s="568"/>
      <c r="U65" s="285" t="s">
        <v>168</v>
      </c>
      <c r="V65" s="139" t="s">
        <v>169</v>
      </c>
      <c r="W65" s="140" t="s">
        <v>170</v>
      </c>
      <c r="X65" s="139" t="s">
        <v>171</v>
      </c>
      <c r="Y65" s="140" t="s">
        <v>172</v>
      </c>
      <c r="Z65" s="139" t="s">
        <v>173</v>
      </c>
      <c r="AA65" s="141" t="s">
        <v>174</v>
      </c>
      <c r="AB65" s="140" t="s">
        <v>175</v>
      </c>
      <c r="AC65" s="139" t="s">
        <v>176</v>
      </c>
      <c r="AD65" s="141" t="s">
        <v>177</v>
      </c>
      <c r="AE65" s="140" t="s">
        <v>178</v>
      </c>
      <c r="AF65" s="677"/>
      <c r="AG65" s="138" t="s">
        <v>168</v>
      </c>
      <c r="AH65" s="139" t="s">
        <v>103</v>
      </c>
      <c r="AI65" s="140" t="s">
        <v>104</v>
      </c>
      <c r="AJ65" s="139" t="s">
        <v>105</v>
      </c>
      <c r="AK65" s="140" t="s">
        <v>104</v>
      </c>
      <c r="AL65" s="139" t="s">
        <v>179</v>
      </c>
      <c r="AM65" s="141" t="s">
        <v>106</v>
      </c>
      <c r="AN65" s="140" t="s">
        <v>107</v>
      </c>
      <c r="AO65" s="139" t="s">
        <v>89</v>
      </c>
      <c r="AP65" s="141" t="s">
        <v>89</v>
      </c>
      <c r="AQ65" s="140" t="s">
        <v>108</v>
      </c>
      <c r="AR65" s="139" t="s">
        <v>180</v>
      </c>
      <c r="AS65" s="140" t="s">
        <v>181</v>
      </c>
      <c r="AT65" s="139" t="s">
        <v>182</v>
      </c>
      <c r="AU65" s="140" t="s">
        <v>183</v>
      </c>
      <c r="AV65" s="142" t="s">
        <v>184</v>
      </c>
      <c r="AW65" s="260" t="s">
        <v>185</v>
      </c>
      <c r="AX65" s="293" t="s">
        <v>186</v>
      </c>
      <c r="AY65" s="294" t="s">
        <v>187</v>
      </c>
      <c r="BA65" s="88" t="s">
        <v>188</v>
      </c>
      <c r="BB65" s="266">
        <v>1</v>
      </c>
      <c r="BC65" s="266">
        <v>2</v>
      </c>
      <c r="BD65" s="266">
        <v>3</v>
      </c>
      <c r="BE65" s="266">
        <v>4</v>
      </c>
      <c r="BF65" s="266">
        <v>5</v>
      </c>
      <c r="BG65" s="266">
        <v>6</v>
      </c>
      <c r="BH65" s="266">
        <v>7</v>
      </c>
      <c r="BI65" s="266">
        <v>8</v>
      </c>
      <c r="BJ65" s="266">
        <v>9</v>
      </c>
      <c r="BK65" s="266">
        <v>10</v>
      </c>
      <c r="BL65" s="266">
        <v>11</v>
      </c>
      <c r="BM65" s="266">
        <v>12</v>
      </c>
      <c r="BN65" s="266">
        <v>13</v>
      </c>
      <c r="BO65" s="266">
        <v>14</v>
      </c>
      <c r="BP65" s="266">
        <v>15</v>
      </c>
      <c r="BQ65" s="266">
        <v>16</v>
      </c>
      <c r="BR65" s="266">
        <v>17</v>
      </c>
      <c r="BS65" s="266">
        <v>18</v>
      </c>
      <c r="BT65" s="266">
        <v>19</v>
      </c>
      <c r="BU65" s="266">
        <v>20</v>
      </c>
      <c r="BV65" s="295" t="s">
        <v>189</v>
      </c>
      <c r="BW65" s="266" t="s">
        <v>190</v>
      </c>
      <c r="BX65" s="266" t="s">
        <v>191</v>
      </c>
    </row>
    <row r="66" spans="1:76" s="27" customFormat="1" ht="15.6">
      <c r="B66" s="98">
        <v>1</v>
      </c>
      <c r="C66" s="330" t="str">
        <f t="shared" ref="C66:C85" si="17">IF(D66="","",C11)</f>
        <v/>
      </c>
      <c r="D66" s="331" t="str">
        <f t="shared" ref="D66:D85" si="18">IF(K11="","",D11)</f>
        <v/>
      </c>
      <c r="E66" s="332" t="str">
        <f>IF(AY66="","",AY66)</f>
        <v/>
      </c>
      <c r="F66" s="544"/>
      <c r="G66" s="545"/>
      <c r="H66" s="333" t="str">
        <f>IF(D66="","",AC66)</f>
        <v/>
      </c>
      <c r="I66" s="342" t="str">
        <f t="shared" ref="I66:I85" si="19">IF(K11="","",K11)</f>
        <v/>
      </c>
      <c r="J66" s="741" t="str">
        <f>IF(F66="","",VLOOKUP(F66,'11. Condition and Temporal'!$B$6:$F$101,5,FALSE))</f>
        <v/>
      </c>
      <c r="K66" s="741"/>
      <c r="L66" s="192" t="str">
        <f>IFERROR(IF(D66="","",IF(AY66="Distinctivness",((((I66*AI66*AK66)-(I66*W66*Y66))*(AW66*AU66))+(I66*W66*Y66))*(AN66*AQ66),((((I66*AI66*AK66)-(I66*W66*Y66))*(AW66*AS66))+(I66*W66*Y66))*(AN66*AQ66))/1000),"Value missing")</f>
        <v/>
      </c>
      <c r="M66" s="553" t="str">
        <f>IF(F66="","",L66-AE66)</f>
        <v/>
      </c>
      <c r="N66" s="699"/>
      <c r="O66" s="335"/>
      <c r="P66" s="1"/>
      <c r="R66" s="568"/>
      <c r="U66" s="286" t="str">
        <f>IF(D66="","",K11)</f>
        <v/>
      </c>
      <c r="V66" s="145" t="str">
        <f t="shared" ref="V66:AC66" si="20">IF($D66="","",U11)</f>
        <v/>
      </c>
      <c r="W66" s="146" t="str">
        <f t="shared" si="20"/>
        <v/>
      </c>
      <c r="X66" s="145" t="str">
        <f t="shared" si="20"/>
        <v/>
      </c>
      <c r="Y66" s="146" t="str">
        <f t="shared" si="20"/>
        <v/>
      </c>
      <c r="Z66" s="145" t="str">
        <f t="shared" si="20"/>
        <v/>
      </c>
      <c r="AA66" s="147" t="str">
        <f t="shared" si="20"/>
        <v/>
      </c>
      <c r="AB66" s="146" t="str">
        <f t="shared" si="20"/>
        <v/>
      </c>
      <c r="AC66" s="145" t="str">
        <f t="shared" si="20"/>
        <v/>
      </c>
      <c r="AD66" s="147" t="str">
        <f>IF($D66="","",AD11)</f>
        <v/>
      </c>
      <c r="AE66" s="146" t="str">
        <f t="shared" ref="AE66:AE73" si="21">IF(AD66="","",(U66*W66*Y66)*(AB66*AD66)/1000)</f>
        <v/>
      </c>
      <c r="AF66" s="288" t="str">
        <f>IF(AE66="","",IF(AI66&lt;W66,"Not Acceptable","Acceptable"))</f>
        <v/>
      </c>
      <c r="AG66" s="144" t="str">
        <f>IF(D66="","",I66)</f>
        <v/>
      </c>
      <c r="AH66" s="145" t="str">
        <f>IF(D66="","",VLOOKUP(F66,'10. All Habitats + Multipliers'!$C$4:$K$99,5,FALSE))</f>
        <v/>
      </c>
      <c r="AI66" s="146" t="str">
        <f>IF(AH66="","",VLOOKUP(AH66,'12. Lists'!$B$47:$D$49,2,FALSE))</f>
        <v/>
      </c>
      <c r="AJ66" s="145" t="str">
        <f>IF(D66="","",J66)</f>
        <v/>
      </c>
      <c r="AK66" s="146" t="str">
        <f>IF(AJ66="","",VLOOKUP(AJ66,'12. Lists'!$F$47:$G$51,2,FALSE))</f>
        <v/>
      </c>
      <c r="AL66" s="145" t="str">
        <f>IF(D66="","",VLOOKUP(F66,'10. All Habitats + Multipliers'!$C$4:$K$99,9,FALSE))</f>
        <v/>
      </c>
      <c r="AM66" s="147" t="str">
        <f>IF(AL66="","",VLOOKUP(AL66,'12. Lists'!$B$36:$D$39,2,FALSE))</f>
        <v/>
      </c>
      <c r="AN66" s="146" t="str">
        <f>IF(AL66="","",VLOOKUP(AL66,'12. Lists'!$B$36:$D$39,3,FALSE))</f>
        <v/>
      </c>
      <c r="AO66" s="145" t="str">
        <f t="shared" ref="AO66:AO85" si="22">IF(H66="","",H66)</f>
        <v/>
      </c>
      <c r="AP66" s="147" t="str">
        <f>IF(AO66="","",VLOOKUP(AO66,'12. Lists'!$F$36:$H$38,2,FALSE))</f>
        <v/>
      </c>
      <c r="AQ66" s="146" t="str">
        <f>IF(AO66="","",VLOOKUP(AO66,'12. Lists'!$F$36:$H$38,3,FALSE))</f>
        <v/>
      </c>
      <c r="AR66" s="145" t="str">
        <f>IF(D66="","",VLOOKUP(F66,'11. Condition and Temporal'!$B$6:$J$101,9,FALSE))</f>
        <v/>
      </c>
      <c r="AS66" s="149" t="str">
        <f>IF(AR66="","",VLOOKUP(AR66,'12. Lists'!$I$47:$K$80,3,FALSE))</f>
        <v/>
      </c>
      <c r="AT66" s="175" t="str">
        <f>IF(D66="","",VLOOKUP(F66,'11. Condition and Temporal'!$B$6:$K$104,10,FALSE))</f>
        <v/>
      </c>
      <c r="AU66" s="149" t="str">
        <f>IF(AT66="","",VLOOKUP(AT66,'12. Lists'!$I$47:$K$80,3,FALSE))</f>
        <v/>
      </c>
      <c r="AV66" s="148" t="str">
        <f>IF(D66="","",VLOOKUP(F66,'10. All Habitats + Multipliers'!$C$4:$K$99,8,FALSE))</f>
        <v/>
      </c>
      <c r="AW66" s="146" t="str">
        <f>IF(AV66="","",VLOOKUP(AV66,'12. Lists'!$J$35:$K$38,2,FALSE))</f>
        <v/>
      </c>
      <c r="AX66" s="145" t="str">
        <f>IF(D66="","",VLOOKUP(D66,'11. Condition and Temporal'!$B$6:$K$101,4,FALSE))</f>
        <v/>
      </c>
      <c r="AY66" s="146" t="str">
        <f>IF(F66="","",IF(D66=F66,"Condition","Distinctivness"))</f>
        <v/>
      </c>
      <c r="AZ66" s="327"/>
      <c r="BA66" s="100">
        <v>1</v>
      </c>
      <c r="BB66" s="102" t="str">
        <f>TRIM(MID(SUBSTITUTE($AX$66,$BA$62,REPT(" ",LEN($AX$66))),($BA66-1)*LEN($AX$66)+1,LEN($AX$66)))</f>
        <v/>
      </c>
      <c r="BC66" s="102" t="str">
        <f>TRIM(MID(SUBSTITUTE($AX$67,$BA$62,REPT(" ",LEN($AX$67))),($BA66-1)*LEN($AX$67)+1,LEN($AX$67)))</f>
        <v/>
      </c>
      <c r="BD66" s="102" t="str">
        <f>TRIM(MID(SUBSTITUTE($AX$68,$BA$62,REPT(" ",LEN($AX$68))),($BA66-1)*LEN($AX$68)+1,LEN($AX$68)))</f>
        <v/>
      </c>
      <c r="BE66" s="102" t="str">
        <f>TRIM(MID(SUBSTITUTE($AX$69,$BA$62,REPT(" ",LEN($AX$69))),($BA66-1)*LEN($AX$69)+1,LEN($AX$69)))</f>
        <v/>
      </c>
      <c r="BF66" s="102" t="str">
        <f>TRIM(MID(SUBSTITUTE($AX$70,$BA$62,REPT(" ",LEN($AX$70))),($BA66-1)*LEN($AX$70)+1,LEN($AX$70)))</f>
        <v/>
      </c>
      <c r="BG66" s="102" t="str">
        <f>TRIM(MID(SUBSTITUTE($AX$71,$BA$62,REPT(" ",LEN($AX$71))),($BA66-1)*LEN($AX$71)+1,LEN($AX$71)))</f>
        <v/>
      </c>
      <c r="BH66" s="102" t="str">
        <f>TRIM(MID(SUBSTITUTE($AX$72,$BA$62,REPT(" ",LEN($AX$72))),($BA66-1)*LEN($AX$72)+1,LEN($AX$72)))</f>
        <v/>
      </c>
      <c r="BI66" s="102" t="str">
        <f>TRIM(MID(SUBSTITUTE($AX$73,$BA$62,REPT(" ",LEN($AX$73))),($BA66-1)*LEN($AX$73)+1,LEN($AX$73)))</f>
        <v/>
      </c>
      <c r="BJ66" s="102" t="str">
        <f>TRIM(MID(SUBSTITUTE($AX$74,$BA$62,REPT(" ",LEN($AX$74))),($BA66-1)*LEN($AX$74)+1,LEN($AX$74)))</f>
        <v/>
      </c>
      <c r="BK66" s="102" t="str">
        <f>TRIM(MID(SUBSTITUTE($AX$75,$BA$62,REPT(" ",LEN($AX$75))),($BA66-1)*LEN($AX$75)+1,LEN($AX$75)))</f>
        <v/>
      </c>
      <c r="BL66" s="102" t="str">
        <f>TRIM(MID(SUBSTITUTE($AX$76,$BA$62,REPT(" ",LEN($AX$76))),($BA66-1)*LEN($AX$76)+1,LEN($AX$76)))</f>
        <v/>
      </c>
      <c r="BM66" s="102" t="str">
        <f>TRIM(MID(SUBSTITUTE($AX$77,$BA$62,REPT(" ",LEN($AX$77))),($BA66-1)*LEN($AX$77)+1,LEN($AX$77)))</f>
        <v/>
      </c>
      <c r="BN66" s="102" t="str">
        <f>TRIM(MID(SUBSTITUTE($AX$78,$BA$62,REPT(" ",LEN($AX$78))),($BA66-1)*LEN($AX$78)+1,LEN($AX$78)))</f>
        <v/>
      </c>
      <c r="BO66" s="102" t="str">
        <f>TRIM(MID(SUBSTITUTE($AX$79,$BA$62,REPT(" ",LEN($AX$79))),($BA66-1)*LEN($AX$79)+1,LEN($AX$79)))</f>
        <v/>
      </c>
      <c r="BP66" s="102" t="str">
        <f>TRIM(MID(SUBSTITUTE($AX$80,$BA$62,REPT(" ",LEN($AX$80))),($BA66-1)*LEN($AX$80)+1,LEN($AX$80)))</f>
        <v/>
      </c>
      <c r="BQ66" s="102" t="str">
        <f>TRIM(MID(SUBSTITUTE($AX$81,$BA$62,REPT(" ",LEN($AX$81))),($BA66-1)*LEN($AX$81)+1,LEN($AX$81)))</f>
        <v/>
      </c>
      <c r="BR66" s="102" t="str">
        <f>TRIM(MID(SUBSTITUTE($AX$82,$BA$62,REPT(" ",LEN($AX$82))),($BA66-1)*LEN($AX$82)+1,LEN($AX$82)))</f>
        <v/>
      </c>
      <c r="BS66" s="102" t="str">
        <f>TRIM(MID(SUBSTITUTE($AX$83,$BA$62,REPT(" ",LEN($AX$83))),($BA66-1)*LEN($AX$83)+1,LEN($AX$83)))</f>
        <v/>
      </c>
      <c r="BT66" s="102" t="str">
        <f>TRIM(MID(SUBSTITUTE($AX$84,$BA$62,REPT(" ",LEN($AX$84))),($BA66-1)*LEN($AX$84)+1,LEN($AX$84)))</f>
        <v/>
      </c>
      <c r="BU66" s="101" t="str">
        <f>TRIM(MID(SUBSTITUTE($AX$85,$BA$62,REPT(" ",LEN($AX$85))),($BA66-1)*LEN($AX$85)+1,LEN($AX$85)))</f>
        <v/>
      </c>
      <c r="BV66" s="296" t="str">
        <f>IF(BX66=0,"",CONCATENATE(BW66,"66:",BW66,BX66+65))</f>
        <v/>
      </c>
      <c r="BW66" s="102" t="s">
        <v>192</v>
      </c>
      <c r="BX66" s="102">
        <f>BB64</f>
        <v>0</v>
      </c>
    </row>
    <row r="67" spans="1:76" s="27" customFormat="1" ht="15.6">
      <c r="B67" s="106">
        <v>2</v>
      </c>
      <c r="C67" s="150" t="str">
        <f t="shared" si="17"/>
        <v/>
      </c>
      <c r="D67" s="151" t="str">
        <f t="shared" si="18"/>
        <v/>
      </c>
      <c r="E67" s="259" t="str">
        <f t="shared" ref="E67:E85" si="23">IF(AY67="","",AY67)</f>
        <v/>
      </c>
      <c r="F67" s="534"/>
      <c r="G67" s="535"/>
      <c r="H67" s="241" t="str">
        <f t="shared" ref="H67:H85" si="24">IF(D67="","",AC67)</f>
        <v/>
      </c>
      <c r="I67" s="326" t="str">
        <f t="shared" si="19"/>
        <v/>
      </c>
      <c r="J67" s="735" t="str">
        <f>IF(F67="","",VLOOKUP(F67,'11. Condition and Temporal'!$B$6:$F$101,5,FALSE))</f>
        <v/>
      </c>
      <c r="K67" s="735"/>
      <c r="L67" s="192" t="str">
        <f t="shared" ref="L67:L85" si="25">IFERROR(IF(D67="","",IF(AY67="Distinctivness",((((I67*AI67*AK67)-(I67*W67*Y67))*(AW67*AU67))+(I67*W67*Y67))*(AN67*AQ67),((((I67*AI67*AK67)-(I67*W67*Y67))*(AW67*AS67))+(I67*W67*Y67))*(AN67*AQ67))/1000),"Value missing")</f>
        <v/>
      </c>
      <c r="M67" s="553" t="str">
        <f t="shared" ref="M67:M85" si="26">IF(F67="","",L67-AE67)</f>
        <v/>
      </c>
      <c r="N67" s="699"/>
      <c r="O67" s="79"/>
      <c r="P67" s="12"/>
      <c r="R67" s="568"/>
      <c r="U67" s="286" t="str">
        <f t="shared" ref="U67:U85" si="27">IF(D67="","",K12)</f>
        <v/>
      </c>
      <c r="V67" s="145" t="str">
        <f t="shared" ref="V67:AC82" si="28">IF($D67="","",U12)</f>
        <v/>
      </c>
      <c r="W67" s="146" t="str">
        <f t="shared" si="28"/>
        <v/>
      </c>
      <c r="X67" s="145" t="str">
        <f t="shared" si="28"/>
        <v/>
      </c>
      <c r="Y67" s="146" t="str">
        <f t="shared" si="28"/>
        <v/>
      </c>
      <c r="Z67" s="145" t="str">
        <f t="shared" si="28"/>
        <v/>
      </c>
      <c r="AA67" s="147" t="str">
        <f t="shared" si="28"/>
        <v/>
      </c>
      <c r="AB67" s="146" t="str">
        <f t="shared" si="28"/>
        <v/>
      </c>
      <c r="AC67" s="145" t="str">
        <f t="shared" si="28"/>
        <v/>
      </c>
      <c r="AD67" s="147" t="str">
        <f t="shared" ref="AD67:AD85" si="29">IF($D67="","",AD12)</f>
        <v/>
      </c>
      <c r="AE67" s="146" t="str">
        <f t="shared" si="21"/>
        <v/>
      </c>
      <c r="AF67" s="288" t="str">
        <f t="shared" ref="AF67:AF85" si="30">IF(AE67="","",IF(AI67&lt;W67,"Not Acceptable","Acceptable"))</f>
        <v/>
      </c>
      <c r="AG67" s="144" t="str">
        <f t="shared" ref="AG67:AG85" si="31">IF(D67="","",I67)</f>
        <v/>
      </c>
      <c r="AH67" s="145" t="str">
        <f>IF(D67="","",VLOOKUP(F67,'10. All Habitats + Multipliers'!$C$4:$K$99,5,FALSE))</f>
        <v/>
      </c>
      <c r="AI67" s="146" t="str">
        <f>IF(AH67="","",VLOOKUP(AH67,'12. Lists'!$B$47:$D$49,2,FALSE))</f>
        <v/>
      </c>
      <c r="AJ67" s="145" t="str">
        <f t="shared" ref="AJ67:AJ85" si="32">IF(D67="","",J67)</f>
        <v/>
      </c>
      <c r="AK67" s="146" t="str">
        <f>IF(AJ67="","",VLOOKUP(AJ67,'12. Lists'!$F$47:$G$51,2,FALSE))</f>
        <v/>
      </c>
      <c r="AL67" s="145" t="str">
        <f>IF(D67="","",VLOOKUP(F67,'10. All Habitats + Multipliers'!$C$4:$K$99,9,FALSE))</f>
        <v/>
      </c>
      <c r="AM67" s="147" t="str">
        <f>IF(AL67="","",VLOOKUP(AL67,'12. Lists'!$B$36:$D$39,2,FALSE))</f>
        <v/>
      </c>
      <c r="AN67" s="146" t="str">
        <f>IF(AL67="","",VLOOKUP(AL67,'12. Lists'!$B$36:$D$39,3,FALSE))</f>
        <v/>
      </c>
      <c r="AO67" s="145" t="str">
        <f t="shared" si="22"/>
        <v/>
      </c>
      <c r="AP67" s="147" t="str">
        <f>IF(AO67="","",VLOOKUP(AO67,'12. Lists'!$F$36:$H$38,2,FALSE))</f>
        <v/>
      </c>
      <c r="AQ67" s="146" t="str">
        <f>IF(AO67="","",VLOOKUP(AO67,'12. Lists'!$F$36:$H$38,3,FALSE))</f>
        <v/>
      </c>
      <c r="AR67" s="145" t="str">
        <f>IF(D67="","",VLOOKUP(F67,'11. Condition and Temporal'!$B$6:$J$101,9,FALSE))</f>
        <v/>
      </c>
      <c r="AS67" s="149" t="str">
        <f>IF(AR67="","",VLOOKUP(AR67,'12. Lists'!$I$47:$K$80,3,FALSE))</f>
        <v/>
      </c>
      <c r="AT67" s="175" t="str">
        <f>IF(D67="","",VLOOKUP(F67,'11. Condition and Temporal'!$B$6:$K$104,10,FALSE))</f>
        <v/>
      </c>
      <c r="AU67" s="149" t="str">
        <f>IF(AT67="","",VLOOKUP(AT67,'12. Lists'!$I$47:$K$80,3,FALSE))</f>
        <v/>
      </c>
      <c r="AV67" s="148" t="str">
        <f>IF(D67="","",VLOOKUP(F67,'10. All Habitats + Multipliers'!$C$4:$K$99,8,FALSE))</f>
        <v/>
      </c>
      <c r="AW67" s="146" t="str">
        <f>IF(AV67="","",VLOOKUP(AV67,'12. Lists'!$J$35:$K$38,2,FALSE))</f>
        <v/>
      </c>
      <c r="AX67" s="145" t="str">
        <f>IF(D67="","",VLOOKUP(D67,'11. Condition and Temporal'!$B$6:$K$101,4,FALSE))</f>
        <v/>
      </c>
      <c r="AY67" s="146" t="str">
        <f t="shared" ref="AY67:AY85" si="33">IF(F67="","",IF(D67=F67,"Condition","Distinctivness"))</f>
        <v/>
      </c>
      <c r="AZ67" s="327"/>
      <c r="BA67" s="100">
        <v>2</v>
      </c>
      <c r="BB67" s="102" t="str">
        <f t="shared" ref="BB67:BB85" si="34">TRIM(MID(SUBSTITUTE($AX$66,$BA$62,REPT(" ",LEN($AX$66))),($BA67-1)*LEN($AX$66)+1,LEN($AX$66)))</f>
        <v/>
      </c>
      <c r="BC67" s="102" t="str">
        <f t="shared" ref="BC67:BC85" si="35">TRIM(MID(SUBSTITUTE($AX$67,$BA$62,REPT(" ",LEN($AX$67))),($BA67-1)*LEN($AX$67)+1,LEN($AX$67)))</f>
        <v/>
      </c>
      <c r="BD67" s="102" t="str">
        <f t="shared" ref="BD67:BD85" si="36">TRIM(MID(SUBSTITUTE($AX$68,$BA$62,REPT(" ",LEN($AX$68))),($BA67-1)*LEN($AX$68)+1,LEN($AX$68)))</f>
        <v/>
      </c>
      <c r="BE67" s="102" t="str">
        <f t="shared" ref="BE67:BE85" si="37">TRIM(MID(SUBSTITUTE($AX$69,$BA$62,REPT(" ",LEN($AX$69))),($BA67-1)*LEN($AX$69)+1,LEN($AX$69)))</f>
        <v/>
      </c>
      <c r="BF67" s="102" t="str">
        <f t="shared" ref="BF67:BF85" si="38">TRIM(MID(SUBSTITUTE($AX$70,$BA$62,REPT(" ",LEN($AX$70))),($BA67-1)*LEN($AX$70)+1,LEN($AX$70)))</f>
        <v/>
      </c>
      <c r="BG67" s="102" t="str">
        <f t="shared" ref="BG67:BG85" si="39">TRIM(MID(SUBSTITUTE($AX$71,$BA$62,REPT(" ",LEN($AX$71))),($BA67-1)*LEN($AX$71)+1,LEN($AX$71)))</f>
        <v/>
      </c>
      <c r="BH67" s="102" t="str">
        <f t="shared" ref="BH67:BH85" si="40">TRIM(MID(SUBSTITUTE($AX$72,$BA$62,REPT(" ",LEN($AX$72))),($BA67-1)*LEN($AX$72)+1,LEN($AX$72)))</f>
        <v/>
      </c>
      <c r="BI67" s="102" t="str">
        <f t="shared" ref="BI67:BI85" si="41">TRIM(MID(SUBSTITUTE($AX$73,$BA$62,REPT(" ",LEN($AX$73))),($BA67-1)*LEN($AX$73)+1,LEN($AX$73)))</f>
        <v/>
      </c>
      <c r="BJ67" s="102" t="str">
        <f t="shared" ref="BJ67:BJ85" si="42">TRIM(MID(SUBSTITUTE($AX$74,$BA$62,REPT(" ",LEN($AX$74))),($BA67-1)*LEN($AX$74)+1,LEN($AX$74)))</f>
        <v/>
      </c>
      <c r="BK67" s="102" t="str">
        <f t="shared" ref="BK67:BK85" si="43">TRIM(MID(SUBSTITUTE($AX$75,$BA$62,REPT(" ",LEN($AX$75))),($BA67-1)*LEN($AX$75)+1,LEN($AX$75)))</f>
        <v/>
      </c>
      <c r="BL67" s="102" t="str">
        <f t="shared" ref="BL67:BL85" si="44">TRIM(MID(SUBSTITUTE($AX$76,$BA$62,REPT(" ",LEN($AX$76))),($BA67-1)*LEN($AX$76)+1,LEN($AX$76)))</f>
        <v/>
      </c>
      <c r="BM67" s="102" t="str">
        <f t="shared" ref="BM67:BM85" si="45">TRIM(MID(SUBSTITUTE($AX$77,$BA$62,REPT(" ",LEN($AX$77))),($BA67-1)*LEN($AX$77)+1,LEN($AX$77)))</f>
        <v/>
      </c>
      <c r="BN67" s="102" t="str">
        <f t="shared" ref="BN67:BN85" si="46">TRIM(MID(SUBSTITUTE($AX$78,$BA$62,REPT(" ",LEN($AX$78))),($BA67-1)*LEN($AX$78)+1,LEN($AX$78)))</f>
        <v/>
      </c>
      <c r="BO67" s="102" t="str">
        <f t="shared" ref="BO67:BO85" si="47">TRIM(MID(SUBSTITUTE($AX$79,$BA$62,REPT(" ",LEN($AX$79))),($BA67-1)*LEN($AX$79)+1,LEN($AX$79)))</f>
        <v/>
      </c>
      <c r="BP67" s="102" t="str">
        <f t="shared" ref="BP67:BP85" si="48">TRIM(MID(SUBSTITUTE($AX$80,$BA$62,REPT(" ",LEN($AX$80))),($BA67-1)*LEN($AX$80)+1,LEN($AX$80)))</f>
        <v/>
      </c>
      <c r="BQ67" s="102" t="str">
        <f t="shared" ref="BQ67:BQ85" si="49">TRIM(MID(SUBSTITUTE($AX$81,$BA$62,REPT(" ",LEN($AX$81))),($BA67-1)*LEN($AX$81)+1,LEN($AX$81)))</f>
        <v/>
      </c>
      <c r="BR67" s="102" t="str">
        <f t="shared" ref="BR67:BR85" si="50">TRIM(MID(SUBSTITUTE($AX$82,$BA$62,REPT(" ",LEN($AX$82))),($BA67-1)*LEN($AX$82)+1,LEN($AX$82)))</f>
        <v/>
      </c>
      <c r="BS67" s="102" t="str">
        <f t="shared" ref="BS67:BS85" si="51">TRIM(MID(SUBSTITUTE($AX$83,$BA$62,REPT(" ",LEN($AX$83))),($BA67-1)*LEN($AX$83)+1,LEN($AX$83)))</f>
        <v/>
      </c>
      <c r="BT67" s="102" t="str">
        <f t="shared" ref="BT67:BT85" si="52">TRIM(MID(SUBSTITUTE($AX$84,$BA$62,REPT(" ",LEN($AX$84))),($BA67-1)*LEN($AX$84)+1,LEN($AX$84)))</f>
        <v/>
      </c>
      <c r="BU67" s="101" t="str">
        <f t="shared" ref="BU67:BU85" si="53">TRIM(MID(SUBSTITUTE($AX$85,$BA$62,REPT(" ",LEN($AX$85))),($BA67-1)*LEN($AX$85)+1,LEN($AX$85)))</f>
        <v/>
      </c>
      <c r="BV67" s="296" t="str">
        <f t="shared" ref="BV67:BV85" si="54">IF(BX67=0,"",CONCATENATE(BW67,"66:",BW67,BX67+65))</f>
        <v/>
      </c>
      <c r="BW67" s="102" t="s">
        <v>193</v>
      </c>
      <c r="BX67" s="102">
        <f>BC64</f>
        <v>0</v>
      </c>
    </row>
    <row r="68" spans="1:76" s="27" customFormat="1" ht="15.6">
      <c r="B68" s="106">
        <v>3</v>
      </c>
      <c r="C68" s="150" t="str">
        <f t="shared" si="17"/>
        <v/>
      </c>
      <c r="D68" s="151" t="str">
        <f t="shared" si="18"/>
        <v/>
      </c>
      <c r="E68" s="259" t="str">
        <f t="shared" si="23"/>
        <v/>
      </c>
      <c r="F68" s="534"/>
      <c r="G68" s="535"/>
      <c r="H68" s="241" t="str">
        <f t="shared" si="24"/>
        <v/>
      </c>
      <c r="I68" s="326" t="str">
        <f t="shared" si="19"/>
        <v/>
      </c>
      <c r="J68" s="735" t="str">
        <f>IF(F68="","",VLOOKUP(F68,'11. Condition and Temporal'!$B$6:$F$101,5,FALSE))</f>
        <v/>
      </c>
      <c r="K68" s="735"/>
      <c r="L68" s="192" t="str">
        <f t="shared" si="25"/>
        <v/>
      </c>
      <c r="M68" s="553" t="str">
        <f t="shared" si="26"/>
        <v/>
      </c>
      <c r="N68" s="699"/>
      <c r="O68" s="79"/>
      <c r="P68" s="12"/>
      <c r="R68" s="568"/>
      <c r="U68" s="286" t="str">
        <f t="shared" si="27"/>
        <v/>
      </c>
      <c r="V68" s="145" t="str">
        <f t="shared" si="28"/>
        <v/>
      </c>
      <c r="W68" s="146" t="str">
        <f t="shared" si="28"/>
        <v/>
      </c>
      <c r="X68" s="145" t="str">
        <f t="shared" si="28"/>
        <v/>
      </c>
      <c r="Y68" s="146" t="str">
        <f t="shared" si="28"/>
        <v/>
      </c>
      <c r="Z68" s="145" t="str">
        <f t="shared" si="28"/>
        <v/>
      </c>
      <c r="AA68" s="147" t="str">
        <f t="shared" si="28"/>
        <v/>
      </c>
      <c r="AB68" s="146" t="str">
        <f t="shared" si="28"/>
        <v/>
      </c>
      <c r="AC68" s="145" t="str">
        <f t="shared" si="28"/>
        <v/>
      </c>
      <c r="AD68" s="147" t="str">
        <f t="shared" si="29"/>
        <v/>
      </c>
      <c r="AE68" s="146" t="str">
        <f t="shared" si="21"/>
        <v/>
      </c>
      <c r="AF68" s="288" t="str">
        <f t="shared" si="30"/>
        <v/>
      </c>
      <c r="AG68" s="144" t="str">
        <f t="shared" si="31"/>
        <v/>
      </c>
      <c r="AH68" s="145" t="str">
        <f>IF(D68="","",VLOOKUP(F68,'10. All Habitats + Multipliers'!$C$4:$K$99,5,FALSE))</f>
        <v/>
      </c>
      <c r="AI68" s="146" t="str">
        <f>IF(AH68="","",VLOOKUP(AH68,'12. Lists'!$B$47:$D$49,2,FALSE))</f>
        <v/>
      </c>
      <c r="AJ68" s="145" t="str">
        <f t="shared" si="32"/>
        <v/>
      </c>
      <c r="AK68" s="146" t="str">
        <f>IF(AJ68="","",VLOOKUP(AJ68,'12. Lists'!$F$47:$G$51,2,FALSE))</f>
        <v/>
      </c>
      <c r="AL68" s="145" t="str">
        <f>IF(D68="","",VLOOKUP(F68,'10. All Habitats + Multipliers'!$C$4:$K$99,9,FALSE))</f>
        <v/>
      </c>
      <c r="AM68" s="147" t="str">
        <f>IF(AL68="","",VLOOKUP(AL68,'12. Lists'!$B$36:$D$39,2,FALSE))</f>
        <v/>
      </c>
      <c r="AN68" s="146" t="str">
        <f>IF(AL68="","",VLOOKUP(AL68,'12. Lists'!$B$36:$D$39,3,FALSE))</f>
        <v/>
      </c>
      <c r="AO68" s="145" t="str">
        <f t="shared" si="22"/>
        <v/>
      </c>
      <c r="AP68" s="147" t="str">
        <f>IF(AO68="","",VLOOKUP(AO68,'12. Lists'!$F$36:$H$38,2,FALSE))</f>
        <v/>
      </c>
      <c r="AQ68" s="146" t="str">
        <f>IF(AO68="","",VLOOKUP(AO68,'12. Lists'!$F$36:$H$38,3,FALSE))</f>
        <v/>
      </c>
      <c r="AR68" s="145" t="str">
        <f>IF(D68="","",VLOOKUP(F68,'11. Condition and Temporal'!$B$6:$J$101,9,FALSE))</f>
        <v/>
      </c>
      <c r="AS68" s="149" t="str">
        <f>IF(AR68="","",VLOOKUP(AR68,'12. Lists'!$I$47:$K$80,3,FALSE))</f>
        <v/>
      </c>
      <c r="AT68" s="175" t="str">
        <f>IF(D68="","",VLOOKUP(F68,'11. Condition and Temporal'!$B$6:$K$104,10,FALSE))</f>
        <v/>
      </c>
      <c r="AU68" s="149" t="str">
        <f>IF(AT68="","",VLOOKUP(AT68,'12. Lists'!$I$47:$K$80,3,FALSE))</f>
        <v/>
      </c>
      <c r="AV68" s="148" t="str">
        <f>IF(D68="","",VLOOKUP(F68,'10. All Habitats + Multipliers'!$C$4:$K$99,8,FALSE))</f>
        <v/>
      </c>
      <c r="AW68" s="146" t="str">
        <f>IF(AV68="","",VLOOKUP(AV68,'12. Lists'!$J$35:$K$38,2,FALSE))</f>
        <v/>
      </c>
      <c r="AX68" s="145" t="str">
        <f>IF(D68="","",VLOOKUP(D68,'11. Condition and Temporal'!$B$6:$K$101,4,FALSE))</f>
        <v/>
      </c>
      <c r="AY68" s="146" t="str">
        <f t="shared" si="33"/>
        <v/>
      </c>
      <c r="AZ68" s="327"/>
      <c r="BA68" s="100">
        <v>3</v>
      </c>
      <c r="BB68" s="102" t="str">
        <f t="shared" si="34"/>
        <v/>
      </c>
      <c r="BC68" s="102" t="str">
        <f t="shared" si="35"/>
        <v/>
      </c>
      <c r="BD68" s="102" t="str">
        <f t="shared" si="36"/>
        <v/>
      </c>
      <c r="BE68" s="102" t="str">
        <f t="shared" si="37"/>
        <v/>
      </c>
      <c r="BF68" s="102" t="str">
        <f t="shared" si="38"/>
        <v/>
      </c>
      <c r="BG68" s="102" t="str">
        <f t="shared" si="39"/>
        <v/>
      </c>
      <c r="BH68" s="102" t="str">
        <f t="shared" si="40"/>
        <v/>
      </c>
      <c r="BI68" s="102" t="str">
        <f t="shared" si="41"/>
        <v/>
      </c>
      <c r="BJ68" s="102" t="str">
        <f t="shared" si="42"/>
        <v/>
      </c>
      <c r="BK68" s="102" t="str">
        <f t="shared" si="43"/>
        <v/>
      </c>
      <c r="BL68" s="102" t="str">
        <f t="shared" si="44"/>
        <v/>
      </c>
      <c r="BM68" s="102" t="str">
        <f t="shared" si="45"/>
        <v/>
      </c>
      <c r="BN68" s="102" t="str">
        <f t="shared" si="46"/>
        <v/>
      </c>
      <c r="BO68" s="102" t="str">
        <f t="shared" si="47"/>
        <v/>
      </c>
      <c r="BP68" s="102" t="str">
        <f t="shared" si="48"/>
        <v/>
      </c>
      <c r="BQ68" s="102" t="str">
        <f t="shared" si="49"/>
        <v/>
      </c>
      <c r="BR68" s="102" t="str">
        <f t="shared" si="50"/>
        <v/>
      </c>
      <c r="BS68" s="102" t="str">
        <f t="shared" si="51"/>
        <v/>
      </c>
      <c r="BT68" s="102" t="str">
        <f t="shared" si="52"/>
        <v/>
      </c>
      <c r="BU68" s="101" t="str">
        <f t="shared" si="53"/>
        <v/>
      </c>
      <c r="BV68" s="296" t="str">
        <f t="shared" si="54"/>
        <v/>
      </c>
      <c r="BW68" s="102" t="s">
        <v>194</v>
      </c>
      <c r="BX68" s="102">
        <f>BD64</f>
        <v>0</v>
      </c>
    </row>
    <row r="69" spans="1:76" s="27" customFormat="1" ht="15.6">
      <c r="B69" s="106">
        <v>4</v>
      </c>
      <c r="C69" s="150" t="str">
        <f t="shared" si="17"/>
        <v/>
      </c>
      <c r="D69" s="151" t="str">
        <f t="shared" si="18"/>
        <v/>
      </c>
      <c r="E69" s="259" t="str">
        <f t="shared" si="23"/>
        <v/>
      </c>
      <c r="F69" s="534"/>
      <c r="G69" s="535"/>
      <c r="H69" s="241" t="str">
        <f t="shared" si="24"/>
        <v/>
      </c>
      <c r="I69" s="326" t="str">
        <f t="shared" si="19"/>
        <v/>
      </c>
      <c r="J69" s="735" t="str">
        <f>IF(F69="","",VLOOKUP(F69,'11. Condition and Temporal'!$B$6:$F$101,5,FALSE))</f>
        <v/>
      </c>
      <c r="K69" s="735"/>
      <c r="L69" s="192" t="str">
        <f t="shared" si="25"/>
        <v/>
      </c>
      <c r="M69" s="553" t="str">
        <f t="shared" si="26"/>
        <v/>
      </c>
      <c r="N69" s="699"/>
      <c r="O69" s="79"/>
      <c r="P69" s="12"/>
      <c r="R69" s="568"/>
      <c r="U69" s="286" t="str">
        <f t="shared" si="27"/>
        <v/>
      </c>
      <c r="V69" s="145" t="str">
        <f t="shared" si="28"/>
        <v/>
      </c>
      <c r="W69" s="146" t="str">
        <f t="shared" si="28"/>
        <v/>
      </c>
      <c r="X69" s="145" t="str">
        <f t="shared" si="28"/>
        <v/>
      </c>
      <c r="Y69" s="146" t="str">
        <f t="shared" si="28"/>
        <v/>
      </c>
      <c r="Z69" s="145" t="str">
        <f t="shared" si="28"/>
        <v/>
      </c>
      <c r="AA69" s="147" t="str">
        <f t="shared" si="28"/>
        <v/>
      </c>
      <c r="AB69" s="146" t="str">
        <f t="shared" si="28"/>
        <v/>
      </c>
      <c r="AC69" s="145" t="str">
        <f t="shared" si="28"/>
        <v/>
      </c>
      <c r="AD69" s="147" t="str">
        <f t="shared" si="29"/>
        <v/>
      </c>
      <c r="AE69" s="146" t="str">
        <f t="shared" si="21"/>
        <v/>
      </c>
      <c r="AF69" s="288" t="str">
        <f t="shared" si="30"/>
        <v/>
      </c>
      <c r="AG69" s="144" t="str">
        <f t="shared" si="31"/>
        <v/>
      </c>
      <c r="AH69" s="145" t="str">
        <f>IF(D69="","",VLOOKUP(F69,'10. All Habitats + Multipliers'!$C$4:$K$99,5,FALSE))</f>
        <v/>
      </c>
      <c r="AI69" s="146" t="str">
        <f>IF(AH69="","",VLOOKUP(AH69,'12. Lists'!$B$47:$D$49,2,FALSE))</f>
        <v/>
      </c>
      <c r="AJ69" s="145" t="str">
        <f t="shared" si="32"/>
        <v/>
      </c>
      <c r="AK69" s="146" t="str">
        <f>IF(AJ69="","",VLOOKUP(AJ69,'12. Lists'!$F$47:$G$51,2,FALSE))</f>
        <v/>
      </c>
      <c r="AL69" s="145" t="str">
        <f>IF(D69="","",VLOOKUP(F69,'10. All Habitats + Multipliers'!$C$4:$K$99,9,FALSE))</f>
        <v/>
      </c>
      <c r="AM69" s="147" t="str">
        <f>IF(AL69="","",VLOOKUP(AL69,'12. Lists'!$B$36:$D$39,2,FALSE))</f>
        <v/>
      </c>
      <c r="AN69" s="146" t="str">
        <f>IF(AL69="","",VLOOKUP(AL69,'12. Lists'!$B$36:$D$39,3,FALSE))</f>
        <v/>
      </c>
      <c r="AO69" s="145" t="str">
        <f t="shared" si="22"/>
        <v/>
      </c>
      <c r="AP69" s="147" t="str">
        <f>IF(AO69="","",VLOOKUP(AO69,'12. Lists'!$F$36:$H$38,2,FALSE))</f>
        <v/>
      </c>
      <c r="AQ69" s="146" t="str">
        <f>IF(AO69="","",VLOOKUP(AO69,'12. Lists'!$F$36:$H$38,3,FALSE))</f>
        <v/>
      </c>
      <c r="AR69" s="145" t="str">
        <f>IF(D69="","",VLOOKUP(F69,'11. Condition and Temporal'!$B$6:$J$101,9,FALSE))</f>
        <v/>
      </c>
      <c r="AS69" s="149" t="str">
        <f>IF(AR69="","",VLOOKUP(AR69,'12. Lists'!$I$47:$K$80,3,FALSE))</f>
        <v/>
      </c>
      <c r="AT69" s="175" t="str">
        <f>IF(D69="","",VLOOKUP(F69,'11. Condition and Temporal'!$B$6:$K$104,10,FALSE))</f>
        <v/>
      </c>
      <c r="AU69" s="149" t="str">
        <f>IF(AT69="","",VLOOKUP(AT69,'12. Lists'!$I$47:$K$80,3,FALSE))</f>
        <v/>
      </c>
      <c r="AV69" s="148" t="str">
        <f>IF(D69="","",VLOOKUP(F69,'10. All Habitats + Multipliers'!$C$4:$K$99,8,FALSE))</f>
        <v/>
      </c>
      <c r="AW69" s="146" t="str">
        <f>IF(AV69="","",VLOOKUP(AV69,'12. Lists'!$J$35:$K$38,2,FALSE))</f>
        <v/>
      </c>
      <c r="AX69" s="145" t="str">
        <f>IF(D69="","",VLOOKUP(D69,'11. Condition and Temporal'!$B$6:$K$101,4,FALSE))</f>
        <v/>
      </c>
      <c r="AY69" s="146" t="str">
        <f t="shared" si="33"/>
        <v/>
      </c>
      <c r="AZ69" s="327"/>
      <c r="BA69" s="100">
        <v>4</v>
      </c>
      <c r="BB69" s="102" t="str">
        <f t="shared" si="34"/>
        <v/>
      </c>
      <c r="BC69" s="102" t="str">
        <f t="shared" si="35"/>
        <v/>
      </c>
      <c r="BD69" s="102" t="str">
        <f t="shared" si="36"/>
        <v/>
      </c>
      <c r="BE69" s="102" t="str">
        <f t="shared" si="37"/>
        <v/>
      </c>
      <c r="BF69" s="102" t="str">
        <f t="shared" si="38"/>
        <v/>
      </c>
      <c r="BG69" s="102" t="str">
        <f t="shared" si="39"/>
        <v/>
      </c>
      <c r="BH69" s="102" t="str">
        <f t="shared" si="40"/>
        <v/>
      </c>
      <c r="BI69" s="102" t="str">
        <f t="shared" si="41"/>
        <v/>
      </c>
      <c r="BJ69" s="102" t="str">
        <f t="shared" si="42"/>
        <v/>
      </c>
      <c r="BK69" s="102" t="str">
        <f t="shared" si="43"/>
        <v/>
      </c>
      <c r="BL69" s="102" t="str">
        <f t="shared" si="44"/>
        <v/>
      </c>
      <c r="BM69" s="102" t="str">
        <f t="shared" si="45"/>
        <v/>
      </c>
      <c r="BN69" s="102" t="str">
        <f t="shared" si="46"/>
        <v/>
      </c>
      <c r="BO69" s="102" t="str">
        <f t="shared" si="47"/>
        <v/>
      </c>
      <c r="BP69" s="102" t="str">
        <f t="shared" si="48"/>
        <v/>
      </c>
      <c r="BQ69" s="102" t="str">
        <f t="shared" si="49"/>
        <v/>
      </c>
      <c r="BR69" s="102" t="str">
        <f t="shared" si="50"/>
        <v/>
      </c>
      <c r="BS69" s="102" t="str">
        <f t="shared" si="51"/>
        <v/>
      </c>
      <c r="BT69" s="102" t="str">
        <f t="shared" si="52"/>
        <v/>
      </c>
      <c r="BU69" s="101" t="str">
        <f t="shared" si="53"/>
        <v/>
      </c>
      <c r="BV69" s="296" t="str">
        <f t="shared" si="54"/>
        <v/>
      </c>
      <c r="BW69" s="102" t="s">
        <v>195</v>
      </c>
      <c r="BX69" s="102">
        <f>BE64</f>
        <v>0</v>
      </c>
    </row>
    <row r="70" spans="1:76" s="27" customFormat="1" ht="14.45" customHeight="1">
      <c r="B70" s="106">
        <v>5</v>
      </c>
      <c r="C70" s="150" t="str">
        <f t="shared" si="17"/>
        <v/>
      </c>
      <c r="D70" s="151" t="str">
        <f t="shared" si="18"/>
        <v/>
      </c>
      <c r="E70" s="259" t="str">
        <f t="shared" si="23"/>
        <v/>
      </c>
      <c r="F70" s="534"/>
      <c r="G70" s="535"/>
      <c r="H70" s="241" t="str">
        <f t="shared" si="24"/>
        <v/>
      </c>
      <c r="I70" s="326" t="str">
        <f t="shared" si="19"/>
        <v/>
      </c>
      <c r="J70" s="735" t="str">
        <f>IF(F70="","",VLOOKUP(F70,'11. Condition and Temporal'!$B$6:$F$101,5,FALSE))</f>
        <v/>
      </c>
      <c r="K70" s="735"/>
      <c r="L70" s="192" t="str">
        <f t="shared" si="25"/>
        <v/>
      </c>
      <c r="M70" s="553" t="str">
        <f t="shared" si="26"/>
        <v/>
      </c>
      <c r="N70" s="699"/>
      <c r="O70" s="79"/>
      <c r="P70" s="12"/>
      <c r="R70" s="568"/>
      <c r="U70" s="286" t="str">
        <f t="shared" si="27"/>
        <v/>
      </c>
      <c r="V70" s="145" t="str">
        <f t="shared" si="28"/>
        <v/>
      </c>
      <c r="W70" s="146" t="str">
        <f t="shared" si="28"/>
        <v/>
      </c>
      <c r="X70" s="145" t="str">
        <f t="shared" si="28"/>
        <v/>
      </c>
      <c r="Y70" s="146" t="str">
        <f t="shared" si="28"/>
        <v/>
      </c>
      <c r="Z70" s="145" t="str">
        <f t="shared" si="28"/>
        <v/>
      </c>
      <c r="AA70" s="147" t="str">
        <f t="shared" si="28"/>
        <v/>
      </c>
      <c r="AB70" s="146" t="str">
        <f t="shared" si="28"/>
        <v/>
      </c>
      <c r="AC70" s="145" t="str">
        <f t="shared" si="28"/>
        <v/>
      </c>
      <c r="AD70" s="147" t="str">
        <f t="shared" si="29"/>
        <v/>
      </c>
      <c r="AE70" s="146" t="str">
        <f t="shared" si="21"/>
        <v/>
      </c>
      <c r="AF70" s="288" t="str">
        <f t="shared" si="30"/>
        <v/>
      </c>
      <c r="AG70" s="144" t="str">
        <f t="shared" si="31"/>
        <v/>
      </c>
      <c r="AH70" s="145" t="str">
        <f>IF(D70="","",VLOOKUP(F70,'10. All Habitats + Multipliers'!$C$4:$K$99,5,FALSE))</f>
        <v/>
      </c>
      <c r="AI70" s="146" t="str">
        <f>IF(AH70="","",VLOOKUP(AH70,'12. Lists'!$B$47:$D$49,2,FALSE))</f>
        <v/>
      </c>
      <c r="AJ70" s="145" t="str">
        <f t="shared" si="32"/>
        <v/>
      </c>
      <c r="AK70" s="146" t="str">
        <f>IF(AJ70="","",VLOOKUP(AJ70,'12. Lists'!$F$47:$G$51,2,FALSE))</f>
        <v/>
      </c>
      <c r="AL70" s="145" t="str">
        <f>IF(D70="","",VLOOKUP(F70,'10. All Habitats + Multipliers'!$C$4:$K$99,9,FALSE))</f>
        <v/>
      </c>
      <c r="AM70" s="147" t="str">
        <f>IF(AL70="","",VLOOKUP(AL70,'12. Lists'!$B$36:$D$39,2,FALSE))</f>
        <v/>
      </c>
      <c r="AN70" s="146" t="str">
        <f>IF(AL70="","",VLOOKUP(AL70,'12. Lists'!$B$36:$D$39,3,FALSE))</f>
        <v/>
      </c>
      <c r="AO70" s="145" t="str">
        <f t="shared" si="22"/>
        <v/>
      </c>
      <c r="AP70" s="147" t="str">
        <f>IF(AO70="","",VLOOKUP(AO70,'12. Lists'!$F$36:$H$38,2,FALSE))</f>
        <v/>
      </c>
      <c r="AQ70" s="146" t="str">
        <f>IF(AO70="","",VLOOKUP(AO70,'12. Lists'!$F$36:$H$38,3,FALSE))</f>
        <v/>
      </c>
      <c r="AR70" s="145" t="str">
        <f>IF(D70="","",VLOOKUP(F70,'11. Condition and Temporal'!$B$6:$J$101,9,FALSE))</f>
        <v/>
      </c>
      <c r="AS70" s="149" t="str">
        <f>IF(AR70="","",VLOOKUP(AR70,'12. Lists'!$I$47:$K$80,3,FALSE))</f>
        <v/>
      </c>
      <c r="AT70" s="175" t="str">
        <f>IF(D70="","",VLOOKUP(F70,'11. Condition and Temporal'!$B$6:$K$104,10,FALSE))</f>
        <v/>
      </c>
      <c r="AU70" s="149" t="str">
        <f>IF(AT70="","",VLOOKUP(AT70,'12. Lists'!$I$47:$K$80,3,FALSE))</f>
        <v/>
      </c>
      <c r="AV70" s="148" t="str">
        <f>IF(D70="","",VLOOKUP(F70,'10. All Habitats + Multipliers'!$C$4:$K$99,8,FALSE))</f>
        <v/>
      </c>
      <c r="AW70" s="146" t="str">
        <f>IF(AV70="","",VLOOKUP(AV70,'12. Lists'!$J$35:$K$38,2,FALSE))</f>
        <v/>
      </c>
      <c r="AX70" s="145" t="str">
        <f>IF(D70="","",VLOOKUP(D70,'11. Condition and Temporal'!$B$6:$K$101,4,FALSE))</f>
        <v/>
      </c>
      <c r="AY70" s="146" t="str">
        <f t="shared" si="33"/>
        <v/>
      </c>
      <c r="AZ70" s="327"/>
      <c r="BA70" s="100">
        <v>5</v>
      </c>
      <c r="BB70" s="102" t="str">
        <f t="shared" si="34"/>
        <v/>
      </c>
      <c r="BC70" s="102" t="str">
        <f t="shared" si="35"/>
        <v/>
      </c>
      <c r="BD70" s="102" t="str">
        <f t="shared" si="36"/>
        <v/>
      </c>
      <c r="BE70" s="102" t="str">
        <f t="shared" si="37"/>
        <v/>
      </c>
      <c r="BF70" s="102" t="str">
        <f t="shared" si="38"/>
        <v/>
      </c>
      <c r="BG70" s="102" t="str">
        <f t="shared" si="39"/>
        <v/>
      </c>
      <c r="BH70" s="102" t="str">
        <f t="shared" si="40"/>
        <v/>
      </c>
      <c r="BI70" s="102" t="str">
        <f t="shared" si="41"/>
        <v/>
      </c>
      <c r="BJ70" s="102" t="str">
        <f t="shared" si="42"/>
        <v/>
      </c>
      <c r="BK70" s="102" t="str">
        <f t="shared" si="43"/>
        <v/>
      </c>
      <c r="BL70" s="102" t="str">
        <f t="shared" si="44"/>
        <v/>
      </c>
      <c r="BM70" s="102" t="str">
        <f t="shared" si="45"/>
        <v/>
      </c>
      <c r="BN70" s="102" t="str">
        <f t="shared" si="46"/>
        <v/>
      </c>
      <c r="BO70" s="102" t="str">
        <f t="shared" si="47"/>
        <v/>
      </c>
      <c r="BP70" s="102" t="str">
        <f t="shared" si="48"/>
        <v/>
      </c>
      <c r="BQ70" s="102" t="str">
        <f t="shared" si="49"/>
        <v/>
      </c>
      <c r="BR70" s="102" t="str">
        <f t="shared" si="50"/>
        <v/>
      </c>
      <c r="BS70" s="102" t="str">
        <f t="shared" si="51"/>
        <v/>
      </c>
      <c r="BT70" s="102" t="str">
        <f t="shared" si="52"/>
        <v/>
      </c>
      <c r="BU70" s="101" t="str">
        <f t="shared" si="53"/>
        <v/>
      </c>
      <c r="BV70" s="296" t="str">
        <f t="shared" si="54"/>
        <v/>
      </c>
      <c r="BW70" s="102" t="s">
        <v>196</v>
      </c>
      <c r="BX70" s="102">
        <f>BF64</f>
        <v>0</v>
      </c>
    </row>
    <row r="71" spans="1:76" s="27" customFormat="1" ht="15.6">
      <c r="B71" s="106">
        <v>6</v>
      </c>
      <c r="C71" s="150" t="str">
        <f t="shared" si="17"/>
        <v/>
      </c>
      <c r="D71" s="151" t="str">
        <f t="shared" si="18"/>
        <v/>
      </c>
      <c r="E71" s="259" t="str">
        <f t="shared" si="23"/>
        <v/>
      </c>
      <c r="F71" s="534"/>
      <c r="G71" s="535"/>
      <c r="H71" s="241" t="str">
        <f t="shared" si="24"/>
        <v/>
      </c>
      <c r="I71" s="326" t="str">
        <f t="shared" si="19"/>
        <v/>
      </c>
      <c r="J71" s="735" t="str">
        <f>IF(F71="","",VLOOKUP(F71,'11. Condition and Temporal'!$B$6:$F$101,5,FALSE))</f>
        <v/>
      </c>
      <c r="K71" s="735"/>
      <c r="L71" s="192" t="str">
        <f t="shared" si="25"/>
        <v/>
      </c>
      <c r="M71" s="553" t="str">
        <f t="shared" si="26"/>
        <v/>
      </c>
      <c r="N71" s="699"/>
      <c r="O71" s="79"/>
      <c r="P71" s="12"/>
      <c r="R71" s="568"/>
      <c r="U71" s="286" t="str">
        <f t="shared" si="27"/>
        <v/>
      </c>
      <c r="V71" s="145" t="str">
        <f t="shared" si="28"/>
        <v/>
      </c>
      <c r="W71" s="146" t="str">
        <f t="shared" si="28"/>
        <v/>
      </c>
      <c r="X71" s="145" t="str">
        <f t="shared" si="28"/>
        <v/>
      </c>
      <c r="Y71" s="146" t="str">
        <f t="shared" si="28"/>
        <v/>
      </c>
      <c r="Z71" s="145" t="str">
        <f t="shared" si="28"/>
        <v/>
      </c>
      <c r="AA71" s="147" t="str">
        <f t="shared" si="28"/>
        <v/>
      </c>
      <c r="AB71" s="146" t="str">
        <f t="shared" si="28"/>
        <v/>
      </c>
      <c r="AC71" s="145" t="str">
        <f t="shared" si="28"/>
        <v/>
      </c>
      <c r="AD71" s="147" t="str">
        <f t="shared" si="29"/>
        <v/>
      </c>
      <c r="AE71" s="146" t="str">
        <f t="shared" si="21"/>
        <v/>
      </c>
      <c r="AF71" s="288" t="str">
        <f t="shared" si="30"/>
        <v/>
      </c>
      <c r="AG71" s="144" t="str">
        <f t="shared" si="31"/>
        <v/>
      </c>
      <c r="AH71" s="145" t="str">
        <f>IF(D71="","",VLOOKUP(F71,'10. All Habitats + Multipliers'!$C$4:$K$99,5,FALSE))</f>
        <v/>
      </c>
      <c r="AI71" s="146" t="str">
        <f>IF(AH71="","",VLOOKUP(AH71,'12. Lists'!$B$47:$D$49,2,FALSE))</f>
        <v/>
      </c>
      <c r="AJ71" s="145" t="str">
        <f t="shared" si="32"/>
        <v/>
      </c>
      <c r="AK71" s="146" t="str">
        <f>IF(AJ71="","",VLOOKUP(AJ71,'12. Lists'!$F$47:$G$51,2,FALSE))</f>
        <v/>
      </c>
      <c r="AL71" s="145" t="str">
        <f>IF(D71="","",VLOOKUP(F71,'10. All Habitats + Multipliers'!$C$4:$K$99,9,FALSE))</f>
        <v/>
      </c>
      <c r="AM71" s="147" t="str">
        <f>IF(AL71="","",VLOOKUP(AL71,'12. Lists'!$B$36:$D$39,2,FALSE))</f>
        <v/>
      </c>
      <c r="AN71" s="146" t="str">
        <f>IF(AL71="","",VLOOKUP(AL71,'12. Lists'!$B$36:$D$39,3,FALSE))</f>
        <v/>
      </c>
      <c r="AO71" s="145" t="str">
        <f t="shared" si="22"/>
        <v/>
      </c>
      <c r="AP71" s="147" t="str">
        <f>IF(AO71="","",VLOOKUP(AO71,'12. Lists'!$F$36:$H$38,2,FALSE))</f>
        <v/>
      </c>
      <c r="AQ71" s="146" t="str">
        <f>IF(AO71="","",VLOOKUP(AO71,'12. Lists'!$F$36:$H$38,3,FALSE))</f>
        <v/>
      </c>
      <c r="AR71" s="145" t="str">
        <f>IF(D71="","",VLOOKUP(F71,'11. Condition and Temporal'!$B$6:$J$101,9,FALSE))</f>
        <v/>
      </c>
      <c r="AS71" s="149" t="str">
        <f>IF(AR71="","",VLOOKUP(AR71,'12. Lists'!$I$47:$K$80,3,FALSE))</f>
        <v/>
      </c>
      <c r="AT71" s="175" t="str">
        <f>IF(D71="","",VLOOKUP(F71,'11. Condition and Temporal'!$B$6:$K$104,10,FALSE))</f>
        <v/>
      </c>
      <c r="AU71" s="149" t="str">
        <f>IF(AT71="","",VLOOKUP(AT71,'12. Lists'!$I$47:$K$80,3,FALSE))</f>
        <v/>
      </c>
      <c r="AV71" s="148" t="str">
        <f>IF(D71="","",VLOOKUP(F71,'10. All Habitats + Multipliers'!$C$4:$K$99,8,FALSE))</f>
        <v/>
      </c>
      <c r="AW71" s="146" t="str">
        <f>IF(AV71="","",VLOOKUP(AV71,'12. Lists'!$J$35:$K$38,2,FALSE))</f>
        <v/>
      </c>
      <c r="AX71" s="145" t="str">
        <f>IF(D71="","",VLOOKUP(D71,'11. Condition and Temporal'!$B$6:$K$101,4,FALSE))</f>
        <v/>
      </c>
      <c r="AY71" s="146" t="str">
        <f t="shared" si="33"/>
        <v/>
      </c>
      <c r="AZ71" s="327"/>
      <c r="BA71" s="100">
        <v>6</v>
      </c>
      <c r="BB71" s="102" t="str">
        <f t="shared" si="34"/>
        <v/>
      </c>
      <c r="BC71" s="102" t="str">
        <f t="shared" si="35"/>
        <v/>
      </c>
      <c r="BD71" s="102" t="str">
        <f t="shared" si="36"/>
        <v/>
      </c>
      <c r="BE71" s="102" t="str">
        <f t="shared" si="37"/>
        <v/>
      </c>
      <c r="BF71" s="102" t="str">
        <f t="shared" si="38"/>
        <v/>
      </c>
      <c r="BG71" s="102" t="str">
        <f t="shared" si="39"/>
        <v/>
      </c>
      <c r="BH71" s="102" t="str">
        <f t="shared" si="40"/>
        <v/>
      </c>
      <c r="BI71" s="102" t="str">
        <f t="shared" si="41"/>
        <v/>
      </c>
      <c r="BJ71" s="102" t="str">
        <f t="shared" si="42"/>
        <v/>
      </c>
      <c r="BK71" s="102" t="str">
        <f t="shared" si="43"/>
        <v/>
      </c>
      <c r="BL71" s="102" t="str">
        <f t="shared" si="44"/>
        <v/>
      </c>
      <c r="BM71" s="102" t="str">
        <f t="shared" si="45"/>
        <v/>
      </c>
      <c r="BN71" s="102" t="str">
        <f t="shared" si="46"/>
        <v/>
      </c>
      <c r="BO71" s="102" t="str">
        <f t="shared" si="47"/>
        <v/>
      </c>
      <c r="BP71" s="102" t="str">
        <f t="shared" si="48"/>
        <v/>
      </c>
      <c r="BQ71" s="102" t="str">
        <f t="shared" si="49"/>
        <v/>
      </c>
      <c r="BR71" s="102" t="str">
        <f t="shared" si="50"/>
        <v/>
      </c>
      <c r="BS71" s="102" t="str">
        <f t="shared" si="51"/>
        <v/>
      </c>
      <c r="BT71" s="102" t="str">
        <f t="shared" si="52"/>
        <v/>
      </c>
      <c r="BU71" s="101" t="str">
        <f t="shared" si="53"/>
        <v/>
      </c>
      <c r="BV71" s="296" t="str">
        <f t="shared" si="54"/>
        <v/>
      </c>
      <c r="BW71" s="102" t="s">
        <v>197</v>
      </c>
      <c r="BX71" s="102">
        <f>BG64</f>
        <v>0</v>
      </c>
    </row>
    <row r="72" spans="1:76" s="27" customFormat="1" ht="15.6">
      <c r="B72" s="106">
        <v>7</v>
      </c>
      <c r="C72" s="150" t="str">
        <f t="shared" si="17"/>
        <v/>
      </c>
      <c r="D72" s="151" t="str">
        <f t="shared" si="18"/>
        <v/>
      </c>
      <c r="E72" s="259" t="str">
        <f t="shared" si="23"/>
        <v/>
      </c>
      <c r="F72" s="534"/>
      <c r="G72" s="535"/>
      <c r="H72" s="241" t="str">
        <f t="shared" si="24"/>
        <v/>
      </c>
      <c r="I72" s="326" t="str">
        <f t="shared" si="19"/>
        <v/>
      </c>
      <c r="J72" s="735" t="str">
        <f>IF(F72="","",VLOOKUP(F72,'11. Condition and Temporal'!$B$6:$F$101,5,FALSE))</f>
        <v/>
      </c>
      <c r="K72" s="735"/>
      <c r="L72" s="192" t="str">
        <f t="shared" si="25"/>
        <v/>
      </c>
      <c r="M72" s="553" t="str">
        <f t="shared" si="26"/>
        <v/>
      </c>
      <c r="N72" s="699"/>
      <c r="O72" s="79"/>
      <c r="P72" s="12"/>
      <c r="R72" s="568"/>
      <c r="U72" s="286" t="str">
        <f t="shared" si="27"/>
        <v/>
      </c>
      <c r="V72" s="145" t="str">
        <f t="shared" si="28"/>
        <v/>
      </c>
      <c r="W72" s="146" t="str">
        <f t="shared" si="28"/>
        <v/>
      </c>
      <c r="X72" s="145" t="str">
        <f t="shared" si="28"/>
        <v/>
      </c>
      <c r="Y72" s="146" t="str">
        <f t="shared" si="28"/>
        <v/>
      </c>
      <c r="Z72" s="145" t="str">
        <f t="shared" si="28"/>
        <v/>
      </c>
      <c r="AA72" s="147" t="str">
        <f t="shared" si="28"/>
        <v/>
      </c>
      <c r="AB72" s="146" t="str">
        <f t="shared" si="28"/>
        <v/>
      </c>
      <c r="AC72" s="145" t="str">
        <f t="shared" si="28"/>
        <v/>
      </c>
      <c r="AD72" s="147" t="str">
        <f t="shared" si="29"/>
        <v/>
      </c>
      <c r="AE72" s="146" t="str">
        <f t="shared" si="21"/>
        <v/>
      </c>
      <c r="AF72" s="288" t="str">
        <f t="shared" si="30"/>
        <v/>
      </c>
      <c r="AG72" s="144" t="str">
        <f t="shared" si="31"/>
        <v/>
      </c>
      <c r="AH72" s="145" t="str">
        <f>IF(D72="","",VLOOKUP(F72,'10. All Habitats + Multipliers'!$C$4:$K$99,5,FALSE))</f>
        <v/>
      </c>
      <c r="AI72" s="146" t="str">
        <f>IF(AH72="","",VLOOKUP(AH72,'12. Lists'!$B$47:$D$49,2,FALSE))</f>
        <v/>
      </c>
      <c r="AJ72" s="145" t="str">
        <f t="shared" si="32"/>
        <v/>
      </c>
      <c r="AK72" s="146" t="str">
        <f>IF(AJ72="","",VLOOKUP(AJ72,'12. Lists'!$F$47:$G$51,2,FALSE))</f>
        <v/>
      </c>
      <c r="AL72" s="145" t="str">
        <f>IF(D72="","",VLOOKUP(F72,'10. All Habitats + Multipliers'!$C$4:$K$99,9,FALSE))</f>
        <v/>
      </c>
      <c r="AM72" s="147" t="str">
        <f>IF(AL72="","",VLOOKUP(AL72,'12. Lists'!$B$36:$D$39,2,FALSE))</f>
        <v/>
      </c>
      <c r="AN72" s="146" t="str">
        <f>IF(AL72="","",VLOOKUP(AL72,'12. Lists'!$B$36:$D$39,3,FALSE))</f>
        <v/>
      </c>
      <c r="AO72" s="145" t="str">
        <f t="shared" si="22"/>
        <v/>
      </c>
      <c r="AP72" s="147" t="str">
        <f>IF(AO72="","",VLOOKUP(AO72,'12. Lists'!$F$36:$H$38,2,FALSE))</f>
        <v/>
      </c>
      <c r="AQ72" s="146" t="str">
        <f>IF(AO72="","",VLOOKUP(AO72,'12. Lists'!$F$36:$H$38,3,FALSE))</f>
        <v/>
      </c>
      <c r="AR72" s="145" t="str">
        <f>IF(D72="","",VLOOKUP(F72,'11. Condition and Temporal'!$B$6:$J$101,9,FALSE))</f>
        <v/>
      </c>
      <c r="AS72" s="149" t="str">
        <f>IF(AR72="","",VLOOKUP(AR72,'12. Lists'!$I$47:$K$80,3,FALSE))</f>
        <v/>
      </c>
      <c r="AT72" s="175" t="str">
        <f>IF(D72="","",VLOOKUP(F72,'11. Condition and Temporal'!$B$6:$K$104,10,FALSE))</f>
        <v/>
      </c>
      <c r="AU72" s="149" t="str">
        <f>IF(AT72="","",VLOOKUP(AT72,'12. Lists'!$I$47:$K$80,3,FALSE))</f>
        <v/>
      </c>
      <c r="AV72" s="148" t="str">
        <f>IF(D72="","",VLOOKUP(F72,'10. All Habitats + Multipliers'!$C$4:$K$99,8,FALSE))</f>
        <v/>
      </c>
      <c r="AW72" s="146" t="str">
        <f>IF(AV72="","",VLOOKUP(AV72,'12. Lists'!$J$35:$K$38,2,FALSE))</f>
        <v/>
      </c>
      <c r="AX72" s="145" t="str">
        <f>IF(D72="","",VLOOKUP(D72,'11. Condition and Temporal'!$B$6:$K$101,4,FALSE))</f>
        <v/>
      </c>
      <c r="AY72" s="146" t="str">
        <f t="shared" si="33"/>
        <v/>
      </c>
      <c r="AZ72" s="327"/>
      <c r="BA72" s="100">
        <v>7</v>
      </c>
      <c r="BB72" s="102" t="str">
        <f t="shared" si="34"/>
        <v/>
      </c>
      <c r="BC72" s="102" t="str">
        <f t="shared" si="35"/>
        <v/>
      </c>
      <c r="BD72" s="102" t="str">
        <f t="shared" si="36"/>
        <v/>
      </c>
      <c r="BE72" s="102" t="str">
        <f t="shared" si="37"/>
        <v/>
      </c>
      <c r="BF72" s="102" t="str">
        <f t="shared" si="38"/>
        <v/>
      </c>
      <c r="BG72" s="102" t="str">
        <f t="shared" si="39"/>
        <v/>
      </c>
      <c r="BH72" s="102" t="str">
        <f t="shared" si="40"/>
        <v/>
      </c>
      <c r="BI72" s="102" t="str">
        <f t="shared" si="41"/>
        <v/>
      </c>
      <c r="BJ72" s="102" t="str">
        <f t="shared" si="42"/>
        <v/>
      </c>
      <c r="BK72" s="102" t="str">
        <f t="shared" si="43"/>
        <v/>
      </c>
      <c r="BL72" s="102" t="str">
        <f t="shared" si="44"/>
        <v/>
      </c>
      <c r="BM72" s="102" t="str">
        <f t="shared" si="45"/>
        <v/>
      </c>
      <c r="BN72" s="102" t="str">
        <f t="shared" si="46"/>
        <v/>
      </c>
      <c r="BO72" s="102" t="str">
        <f t="shared" si="47"/>
        <v/>
      </c>
      <c r="BP72" s="102" t="str">
        <f t="shared" si="48"/>
        <v/>
      </c>
      <c r="BQ72" s="102" t="str">
        <f t="shared" si="49"/>
        <v/>
      </c>
      <c r="BR72" s="102" t="str">
        <f t="shared" si="50"/>
        <v/>
      </c>
      <c r="BS72" s="102" t="str">
        <f t="shared" si="51"/>
        <v/>
      </c>
      <c r="BT72" s="102" t="str">
        <f t="shared" si="52"/>
        <v/>
      </c>
      <c r="BU72" s="101" t="str">
        <f t="shared" si="53"/>
        <v/>
      </c>
      <c r="BV72" s="296" t="str">
        <f t="shared" si="54"/>
        <v/>
      </c>
      <c r="BW72" s="102" t="s">
        <v>198</v>
      </c>
      <c r="BX72" s="102">
        <f>BH64</f>
        <v>0</v>
      </c>
    </row>
    <row r="73" spans="1:76" s="27" customFormat="1" ht="15.6">
      <c r="B73" s="106">
        <v>8</v>
      </c>
      <c r="C73" s="150" t="str">
        <f t="shared" si="17"/>
        <v/>
      </c>
      <c r="D73" s="151" t="str">
        <f t="shared" si="18"/>
        <v/>
      </c>
      <c r="E73" s="259" t="str">
        <f t="shared" si="23"/>
        <v/>
      </c>
      <c r="F73" s="534"/>
      <c r="G73" s="535"/>
      <c r="H73" s="241" t="str">
        <f t="shared" si="24"/>
        <v/>
      </c>
      <c r="I73" s="326" t="str">
        <f t="shared" si="19"/>
        <v/>
      </c>
      <c r="J73" s="735" t="str">
        <f>IF(F73="","",VLOOKUP(F73,'11. Condition and Temporal'!$B$6:$F$101,5,FALSE))</f>
        <v/>
      </c>
      <c r="K73" s="735"/>
      <c r="L73" s="192" t="str">
        <f t="shared" si="25"/>
        <v/>
      </c>
      <c r="M73" s="553" t="str">
        <f t="shared" si="26"/>
        <v/>
      </c>
      <c r="N73" s="699"/>
      <c r="O73" s="79"/>
      <c r="P73" s="12"/>
      <c r="R73" s="568"/>
      <c r="U73" s="286" t="str">
        <f t="shared" si="27"/>
        <v/>
      </c>
      <c r="V73" s="145" t="str">
        <f t="shared" si="28"/>
        <v/>
      </c>
      <c r="W73" s="146" t="str">
        <f t="shared" si="28"/>
        <v/>
      </c>
      <c r="X73" s="145" t="str">
        <f t="shared" si="28"/>
        <v/>
      </c>
      <c r="Y73" s="146" t="str">
        <f t="shared" si="28"/>
        <v/>
      </c>
      <c r="Z73" s="145" t="str">
        <f t="shared" si="28"/>
        <v/>
      </c>
      <c r="AA73" s="147" t="str">
        <f t="shared" si="28"/>
        <v/>
      </c>
      <c r="AB73" s="146" t="str">
        <f t="shared" si="28"/>
        <v/>
      </c>
      <c r="AC73" s="145" t="str">
        <f t="shared" si="28"/>
        <v/>
      </c>
      <c r="AD73" s="147" t="str">
        <f t="shared" si="29"/>
        <v/>
      </c>
      <c r="AE73" s="146" t="str">
        <f t="shared" si="21"/>
        <v/>
      </c>
      <c r="AF73" s="288" t="str">
        <f t="shared" si="30"/>
        <v/>
      </c>
      <c r="AG73" s="144" t="str">
        <f t="shared" si="31"/>
        <v/>
      </c>
      <c r="AH73" s="145" t="str">
        <f>IF(D73="","",VLOOKUP(F73,'10. All Habitats + Multipliers'!$C$4:$K$99,5,FALSE))</f>
        <v/>
      </c>
      <c r="AI73" s="146" t="str">
        <f>IF(AH73="","",VLOOKUP(AH73,'12. Lists'!$B$47:$D$49,2,FALSE))</f>
        <v/>
      </c>
      <c r="AJ73" s="145" t="str">
        <f t="shared" si="32"/>
        <v/>
      </c>
      <c r="AK73" s="146" t="str">
        <f>IF(AJ73="","",VLOOKUP(AJ73,'12. Lists'!$F$47:$G$51,2,FALSE))</f>
        <v/>
      </c>
      <c r="AL73" s="145" t="str">
        <f>IF(D73="","",VLOOKUP(F73,'10. All Habitats + Multipliers'!$C$4:$K$99,9,FALSE))</f>
        <v/>
      </c>
      <c r="AM73" s="147" t="str">
        <f>IF(AL73="","",VLOOKUP(AL73,'12. Lists'!$B$36:$D$39,2,FALSE))</f>
        <v/>
      </c>
      <c r="AN73" s="146" t="str">
        <f>IF(AL73="","",VLOOKUP(AL73,'12. Lists'!$B$36:$D$39,3,FALSE))</f>
        <v/>
      </c>
      <c r="AO73" s="145" t="str">
        <f t="shared" si="22"/>
        <v/>
      </c>
      <c r="AP73" s="147" t="str">
        <f>IF(AO73="","",VLOOKUP(AO73,'12. Lists'!$F$36:$H$38,2,FALSE))</f>
        <v/>
      </c>
      <c r="AQ73" s="146" t="str">
        <f>IF(AO73="","",VLOOKUP(AO73,'12. Lists'!$F$36:$H$38,3,FALSE))</f>
        <v/>
      </c>
      <c r="AR73" s="145" t="str">
        <f>IF(D73="","",VLOOKUP(F73,'11. Condition and Temporal'!$B$6:$J$101,9,FALSE))</f>
        <v/>
      </c>
      <c r="AS73" s="149" t="str">
        <f>IF(AR73="","",VLOOKUP(AR73,'12. Lists'!$I$47:$K$80,3,FALSE))</f>
        <v/>
      </c>
      <c r="AT73" s="175" t="str">
        <f>IF(D73="","",VLOOKUP(F73,'11. Condition and Temporal'!$B$6:$K$104,10,FALSE))</f>
        <v/>
      </c>
      <c r="AU73" s="149" t="str">
        <f>IF(AT73="","",VLOOKUP(AT73,'12. Lists'!$I$47:$K$80,3,FALSE))</f>
        <v/>
      </c>
      <c r="AV73" s="148" t="str">
        <f>IF(D73="","",VLOOKUP(F73,'10. All Habitats + Multipliers'!$C$4:$K$99,8,FALSE))</f>
        <v/>
      </c>
      <c r="AW73" s="146" t="str">
        <f>IF(AV73="","",VLOOKUP(AV73,'12. Lists'!$J$35:$K$38,2,FALSE))</f>
        <v/>
      </c>
      <c r="AX73" s="145" t="str">
        <f>IF(D73="","",VLOOKUP(D73,'11. Condition and Temporal'!$B$6:$K$101,4,FALSE))</f>
        <v/>
      </c>
      <c r="AY73" s="146" t="str">
        <f t="shared" si="33"/>
        <v/>
      </c>
      <c r="AZ73" s="327"/>
      <c r="BA73" s="100">
        <v>8</v>
      </c>
      <c r="BB73" s="102" t="str">
        <f t="shared" si="34"/>
        <v/>
      </c>
      <c r="BC73" s="102" t="str">
        <f t="shared" si="35"/>
        <v/>
      </c>
      <c r="BD73" s="102" t="str">
        <f t="shared" si="36"/>
        <v/>
      </c>
      <c r="BE73" s="102" t="str">
        <f t="shared" si="37"/>
        <v/>
      </c>
      <c r="BF73" s="102" t="str">
        <f t="shared" si="38"/>
        <v/>
      </c>
      <c r="BG73" s="102" t="str">
        <f t="shared" si="39"/>
        <v/>
      </c>
      <c r="BH73" s="102" t="str">
        <f t="shared" si="40"/>
        <v/>
      </c>
      <c r="BI73" s="102" t="str">
        <f t="shared" si="41"/>
        <v/>
      </c>
      <c r="BJ73" s="102" t="str">
        <f t="shared" si="42"/>
        <v/>
      </c>
      <c r="BK73" s="102" t="str">
        <f t="shared" si="43"/>
        <v/>
      </c>
      <c r="BL73" s="102" t="str">
        <f t="shared" si="44"/>
        <v/>
      </c>
      <c r="BM73" s="102" t="str">
        <f t="shared" si="45"/>
        <v/>
      </c>
      <c r="BN73" s="102" t="str">
        <f t="shared" si="46"/>
        <v/>
      </c>
      <c r="BO73" s="102" t="str">
        <f t="shared" si="47"/>
        <v/>
      </c>
      <c r="BP73" s="102" t="str">
        <f t="shared" si="48"/>
        <v/>
      </c>
      <c r="BQ73" s="102" t="str">
        <f t="shared" si="49"/>
        <v/>
      </c>
      <c r="BR73" s="102" t="str">
        <f t="shared" si="50"/>
        <v/>
      </c>
      <c r="BS73" s="102" t="str">
        <f t="shared" si="51"/>
        <v/>
      </c>
      <c r="BT73" s="102" t="str">
        <f t="shared" si="52"/>
        <v/>
      </c>
      <c r="BU73" s="101" t="str">
        <f t="shared" si="53"/>
        <v/>
      </c>
      <c r="BV73" s="296" t="str">
        <f t="shared" si="54"/>
        <v/>
      </c>
      <c r="BW73" s="102" t="s">
        <v>199</v>
      </c>
      <c r="BX73" s="102">
        <f>BI64</f>
        <v>0</v>
      </c>
    </row>
    <row r="74" spans="1:76" s="27" customFormat="1" ht="15.6">
      <c r="B74" s="106">
        <v>9</v>
      </c>
      <c r="C74" s="150" t="str">
        <f t="shared" si="17"/>
        <v/>
      </c>
      <c r="D74" s="151" t="str">
        <f t="shared" si="18"/>
        <v/>
      </c>
      <c r="E74" s="259" t="str">
        <f t="shared" si="23"/>
        <v/>
      </c>
      <c r="F74" s="534"/>
      <c r="G74" s="535"/>
      <c r="H74" s="241" t="str">
        <f t="shared" si="24"/>
        <v/>
      </c>
      <c r="I74" s="326" t="str">
        <f t="shared" si="19"/>
        <v/>
      </c>
      <c r="J74" s="735" t="str">
        <f>IF(F74="","",VLOOKUP(F74,'11. Condition and Temporal'!$B$6:$F$101,5,FALSE))</f>
        <v/>
      </c>
      <c r="K74" s="735"/>
      <c r="L74" s="192" t="str">
        <f t="shared" si="25"/>
        <v/>
      </c>
      <c r="M74" s="553" t="str">
        <f t="shared" si="26"/>
        <v/>
      </c>
      <c r="N74" s="699"/>
      <c r="O74" s="79"/>
      <c r="P74" s="12"/>
      <c r="R74" s="568"/>
      <c r="U74" s="286" t="str">
        <f t="shared" si="27"/>
        <v/>
      </c>
      <c r="V74" s="145" t="str">
        <f t="shared" si="28"/>
        <v/>
      </c>
      <c r="W74" s="146" t="str">
        <f t="shared" si="28"/>
        <v/>
      </c>
      <c r="X74" s="145" t="str">
        <f t="shared" si="28"/>
        <v/>
      </c>
      <c r="Y74" s="146" t="str">
        <f t="shared" si="28"/>
        <v/>
      </c>
      <c r="Z74" s="145" t="str">
        <f t="shared" si="28"/>
        <v/>
      </c>
      <c r="AA74" s="147" t="str">
        <f t="shared" si="28"/>
        <v/>
      </c>
      <c r="AB74" s="146" t="str">
        <f t="shared" si="28"/>
        <v/>
      </c>
      <c r="AC74" s="145" t="str">
        <f t="shared" si="28"/>
        <v/>
      </c>
      <c r="AD74" s="147" t="str">
        <f t="shared" si="29"/>
        <v/>
      </c>
      <c r="AE74" s="146" t="str">
        <f t="shared" ref="AE74:AE85" si="55">IF(AD74="","",(U74*W74*Y74)*(AB74*AD74)/1000)</f>
        <v/>
      </c>
      <c r="AF74" s="288" t="str">
        <f t="shared" si="30"/>
        <v/>
      </c>
      <c r="AG74" s="144" t="str">
        <f t="shared" si="31"/>
        <v/>
      </c>
      <c r="AH74" s="145" t="str">
        <f>IF(D74="","",VLOOKUP(F74,'10. All Habitats + Multipliers'!$C$4:$K$99,5,FALSE))</f>
        <v/>
      </c>
      <c r="AI74" s="146" t="str">
        <f>IF(AH74="","",VLOOKUP(AH74,'12. Lists'!$B$47:$D$49,2,FALSE))</f>
        <v/>
      </c>
      <c r="AJ74" s="145" t="str">
        <f t="shared" si="32"/>
        <v/>
      </c>
      <c r="AK74" s="146" t="str">
        <f>IF(AJ74="","",VLOOKUP(AJ74,'12. Lists'!$F$47:$G$51,2,FALSE))</f>
        <v/>
      </c>
      <c r="AL74" s="145" t="str">
        <f>IF(D74="","",VLOOKUP(F74,'10. All Habitats + Multipliers'!$C$4:$K$99,9,FALSE))</f>
        <v/>
      </c>
      <c r="AM74" s="147" t="str">
        <f>IF(AL74="","",VLOOKUP(AL74,'12. Lists'!$B$36:$D$39,2,FALSE))</f>
        <v/>
      </c>
      <c r="AN74" s="146" t="str">
        <f>IF(AL74="","",VLOOKUP(AL74,'12. Lists'!$B$36:$D$39,3,FALSE))</f>
        <v/>
      </c>
      <c r="AO74" s="145" t="str">
        <f t="shared" si="22"/>
        <v/>
      </c>
      <c r="AP74" s="147" t="str">
        <f>IF(AO74="","",VLOOKUP(AO74,'12. Lists'!$F$36:$H$38,2,FALSE))</f>
        <v/>
      </c>
      <c r="AQ74" s="146" t="str">
        <f>IF(AO74="","",VLOOKUP(AO74,'12. Lists'!$F$36:$H$38,3,FALSE))</f>
        <v/>
      </c>
      <c r="AR74" s="145" t="str">
        <f>IF(D74="","",VLOOKUP(F74,'11. Condition and Temporal'!$B$6:$J$101,9,FALSE))</f>
        <v/>
      </c>
      <c r="AS74" s="149" t="str">
        <f>IF(AR74="","",VLOOKUP(AR74,'12. Lists'!$I$47:$K$80,3,FALSE))</f>
        <v/>
      </c>
      <c r="AT74" s="175" t="str">
        <f>IF(D74="","",VLOOKUP(F74,'11. Condition and Temporal'!$B$6:$K$104,10,FALSE))</f>
        <v/>
      </c>
      <c r="AU74" s="149" t="str">
        <f>IF(AT74="","",VLOOKUP(AT74,'12. Lists'!$I$47:$K$80,3,FALSE))</f>
        <v/>
      </c>
      <c r="AV74" s="148" t="str">
        <f>IF(D74="","",VLOOKUP(F74,'10. All Habitats + Multipliers'!$C$4:$K$99,8,FALSE))</f>
        <v/>
      </c>
      <c r="AW74" s="146" t="str">
        <f>IF(AV74="","",VLOOKUP(AV74,'12. Lists'!$J$35:$K$38,2,FALSE))</f>
        <v/>
      </c>
      <c r="AX74" s="145" t="str">
        <f>IF(D74="","",VLOOKUP(D74,'11. Condition and Temporal'!$B$6:$K$101,4,FALSE))</f>
        <v/>
      </c>
      <c r="AY74" s="146" t="str">
        <f t="shared" si="33"/>
        <v/>
      </c>
      <c r="AZ74" s="327"/>
      <c r="BA74" s="100">
        <v>9</v>
      </c>
      <c r="BB74" s="102" t="str">
        <f t="shared" si="34"/>
        <v/>
      </c>
      <c r="BC74" s="102" t="str">
        <f t="shared" si="35"/>
        <v/>
      </c>
      <c r="BD74" s="102" t="str">
        <f t="shared" si="36"/>
        <v/>
      </c>
      <c r="BE74" s="102" t="str">
        <f t="shared" si="37"/>
        <v/>
      </c>
      <c r="BF74" s="102" t="str">
        <f t="shared" si="38"/>
        <v/>
      </c>
      <c r="BG74" s="102" t="str">
        <f t="shared" si="39"/>
        <v/>
      </c>
      <c r="BH74" s="102" t="str">
        <f t="shared" si="40"/>
        <v/>
      </c>
      <c r="BI74" s="102" t="str">
        <f t="shared" si="41"/>
        <v/>
      </c>
      <c r="BJ74" s="102" t="str">
        <f t="shared" si="42"/>
        <v/>
      </c>
      <c r="BK74" s="102" t="str">
        <f t="shared" si="43"/>
        <v/>
      </c>
      <c r="BL74" s="102" t="str">
        <f t="shared" si="44"/>
        <v/>
      </c>
      <c r="BM74" s="102" t="str">
        <f t="shared" si="45"/>
        <v/>
      </c>
      <c r="BN74" s="102" t="str">
        <f t="shared" si="46"/>
        <v/>
      </c>
      <c r="BO74" s="102" t="str">
        <f t="shared" si="47"/>
        <v/>
      </c>
      <c r="BP74" s="102" t="str">
        <f t="shared" si="48"/>
        <v/>
      </c>
      <c r="BQ74" s="102" t="str">
        <f t="shared" si="49"/>
        <v/>
      </c>
      <c r="BR74" s="102" t="str">
        <f t="shared" si="50"/>
        <v/>
      </c>
      <c r="BS74" s="102" t="str">
        <f t="shared" si="51"/>
        <v/>
      </c>
      <c r="BT74" s="102" t="str">
        <f t="shared" si="52"/>
        <v/>
      </c>
      <c r="BU74" s="101" t="str">
        <f t="shared" si="53"/>
        <v/>
      </c>
      <c r="BV74" s="296" t="str">
        <f t="shared" si="54"/>
        <v/>
      </c>
      <c r="BW74" s="102" t="s">
        <v>200</v>
      </c>
      <c r="BX74" s="102">
        <f>BJ64</f>
        <v>0</v>
      </c>
    </row>
    <row r="75" spans="1:76" s="27" customFormat="1" ht="15.6">
      <c r="B75" s="106">
        <v>10</v>
      </c>
      <c r="C75" s="150" t="str">
        <f t="shared" si="17"/>
        <v/>
      </c>
      <c r="D75" s="151" t="str">
        <f t="shared" si="18"/>
        <v/>
      </c>
      <c r="E75" s="259" t="str">
        <f t="shared" si="23"/>
        <v/>
      </c>
      <c r="F75" s="534"/>
      <c r="G75" s="535"/>
      <c r="H75" s="241" t="str">
        <f t="shared" si="24"/>
        <v/>
      </c>
      <c r="I75" s="326" t="str">
        <f t="shared" si="19"/>
        <v/>
      </c>
      <c r="J75" s="735" t="str">
        <f>IF(F75="","",VLOOKUP(F75,'11. Condition and Temporal'!$B$6:$F$101,5,FALSE))</f>
        <v/>
      </c>
      <c r="K75" s="735"/>
      <c r="L75" s="192" t="str">
        <f t="shared" si="25"/>
        <v/>
      </c>
      <c r="M75" s="553" t="str">
        <f t="shared" si="26"/>
        <v/>
      </c>
      <c r="N75" s="699"/>
      <c r="O75" s="79"/>
      <c r="P75" s="12"/>
      <c r="R75" s="568"/>
      <c r="U75" s="286" t="str">
        <f t="shared" si="27"/>
        <v/>
      </c>
      <c r="V75" s="145" t="str">
        <f t="shared" si="28"/>
        <v/>
      </c>
      <c r="W75" s="146" t="str">
        <f t="shared" si="28"/>
        <v/>
      </c>
      <c r="X75" s="145" t="str">
        <f t="shared" si="28"/>
        <v/>
      </c>
      <c r="Y75" s="146" t="str">
        <f t="shared" si="28"/>
        <v/>
      </c>
      <c r="Z75" s="145" t="str">
        <f t="shared" si="28"/>
        <v/>
      </c>
      <c r="AA75" s="147" t="str">
        <f t="shared" si="28"/>
        <v/>
      </c>
      <c r="AB75" s="146" t="str">
        <f t="shared" si="28"/>
        <v/>
      </c>
      <c r="AC75" s="145" t="str">
        <f t="shared" si="28"/>
        <v/>
      </c>
      <c r="AD75" s="147" t="str">
        <f t="shared" si="29"/>
        <v/>
      </c>
      <c r="AE75" s="146" t="str">
        <f t="shared" si="55"/>
        <v/>
      </c>
      <c r="AF75" s="288" t="str">
        <f t="shared" si="30"/>
        <v/>
      </c>
      <c r="AG75" s="144" t="str">
        <f t="shared" si="31"/>
        <v/>
      </c>
      <c r="AH75" s="145" t="str">
        <f>IF(D75="","",VLOOKUP(F75,'10. All Habitats + Multipliers'!$C$4:$K$99,5,FALSE))</f>
        <v/>
      </c>
      <c r="AI75" s="146" t="str">
        <f>IF(AH75="","",VLOOKUP(AH75,'12. Lists'!$B$47:$D$49,2,FALSE))</f>
        <v/>
      </c>
      <c r="AJ75" s="145" t="str">
        <f t="shared" si="32"/>
        <v/>
      </c>
      <c r="AK75" s="146" t="str">
        <f>IF(AJ75="","",VLOOKUP(AJ75,'12. Lists'!$F$47:$G$51,2,FALSE))</f>
        <v/>
      </c>
      <c r="AL75" s="145" t="str">
        <f>IF(D75="","",VLOOKUP(F75,'10. All Habitats + Multipliers'!$C$4:$K$99,9,FALSE))</f>
        <v/>
      </c>
      <c r="AM75" s="147" t="str">
        <f>IF(AL75="","",VLOOKUP(AL75,'12. Lists'!$B$36:$D$39,2,FALSE))</f>
        <v/>
      </c>
      <c r="AN75" s="146" t="str">
        <f>IF(AL75="","",VLOOKUP(AL75,'12. Lists'!$B$36:$D$39,3,FALSE))</f>
        <v/>
      </c>
      <c r="AO75" s="145" t="str">
        <f t="shared" si="22"/>
        <v/>
      </c>
      <c r="AP75" s="147" t="str">
        <f>IF(AO75="","",VLOOKUP(AO75,'12. Lists'!$F$36:$H$38,2,FALSE))</f>
        <v/>
      </c>
      <c r="AQ75" s="146" t="str">
        <f>IF(AO75="","",VLOOKUP(AO75,'12. Lists'!$F$36:$H$38,3,FALSE))</f>
        <v/>
      </c>
      <c r="AR75" s="145" t="str">
        <f>IF(D75="","",VLOOKUP(F75,'11. Condition and Temporal'!$B$6:$J$101,9,FALSE))</f>
        <v/>
      </c>
      <c r="AS75" s="149" t="str">
        <f>IF(AR75="","",VLOOKUP(AR75,'12. Lists'!$I$47:$K$80,3,FALSE))</f>
        <v/>
      </c>
      <c r="AT75" s="175" t="str">
        <f>IF(D75="","",VLOOKUP(F75,'11. Condition and Temporal'!$B$6:$K$104,10,FALSE))</f>
        <v/>
      </c>
      <c r="AU75" s="149" t="str">
        <f>IF(AT75="","",VLOOKUP(AT75,'12. Lists'!$I$47:$K$80,3,FALSE))</f>
        <v/>
      </c>
      <c r="AV75" s="148" t="str">
        <f>IF(D75="","",VLOOKUP(F75,'10. All Habitats + Multipliers'!$C$4:$K$99,8,FALSE))</f>
        <v/>
      </c>
      <c r="AW75" s="146" t="str">
        <f>IF(AV75="","",VLOOKUP(AV75,'12. Lists'!$J$35:$K$38,2,FALSE))</f>
        <v/>
      </c>
      <c r="AX75" s="145" t="str">
        <f>IF(D75="","",VLOOKUP(D75,'11. Condition and Temporal'!$B$6:$K$101,4,FALSE))</f>
        <v/>
      </c>
      <c r="AY75" s="146" t="str">
        <f t="shared" si="33"/>
        <v/>
      </c>
      <c r="AZ75" s="327"/>
      <c r="BA75" s="100">
        <v>10</v>
      </c>
      <c r="BB75" s="102" t="str">
        <f t="shared" si="34"/>
        <v/>
      </c>
      <c r="BC75" s="102" t="str">
        <f t="shared" si="35"/>
        <v/>
      </c>
      <c r="BD75" s="102" t="str">
        <f t="shared" si="36"/>
        <v/>
      </c>
      <c r="BE75" s="102" t="str">
        <f t="shared" si="37"/>
        <v/>
      </c>
      <c r="BF75" s="102" t="str">
        <f t="shared" si="38"/>
        <v/>
      </c>
      <c r="BG75" s="102" t="str">
        <f t="shared" si="39"/>
        <v/>
      </c>
      <c r="BH75" s="102" t="str">
        <f t="shared" si="40"/>
        <v/>
      </c>
      <c r="BI75" s="102" t="str">
        <f t="shared" si="41"/>
        <v/>
      </c>
      <c r="BJ75" s="102" t="str">
        <f t="shared" si="42"/>
        <v/>
      </c>
      <c r="BK75" s="102" t="str">
        <f t="shared" si="43"/>
        <v/>
      </c>
      <c r="BL75" s="102" t="str">
        <f t="shared" si="44"/>
        <v/>
      </c>
      <c r="BM75" s="102" t="str">
        <f t="shared" si="45"/>
        <v/>
      </c>
      <c r="BN75" s="102" t="str">
        <f t="shared" si="46"/>
        <v/>
      </c>
      <c r="BO75" s="102" t="str">
        <f t="shared" si="47"/>
        <v/>
      </c>
      <c r="BP75" s="102" t="str">
        <f t="shared" si="48"/>
        <v/>
      </c>
      <c r="BQ75" s="102" t="str">
        <f t="shared" si="49"/>
        <v/>
      </c>
      <c r="BR75" s="102" t="str">
        <f t="shared" si="50"/>
        <v/>
      </c>
      <c r="BS75" s="102" t="str">
        <f t="shared" si="51"/>
        <v/>
      </c>
      <c r="BT75" s="102" t="str">
        <f t="shared" si="52"/>
        <v/>
      </c>
      <c r="BU75" s="101" t="str">
        <f t="shared" si="53"/>
        <v/>
      </c>
      <c r="BV75" s="296" t="str">
        <f t="shared" si="54"/>
        <v/>
      </c>
      <c r="BW75" s="102" t="s">
        <v>201</v>
      </c>
      <c r="BX75" s="102">
        <f>BK64</f>
        <v>0</v>
      </c>
    </row>
    <row r="76" spans="1:76" s="27" customFormat="1" ht="15.6">
      <c r="B76" s="106">
        <v>11</v>
      </c>
      <c r="C76" s="150" t="str">
        <f t="shared" si="17"/>
        <v/>
      </c>
      <c r="D76" s="151" t="str">
        <f t="shared" si="18"/>
        <v/>
      </c>
      <c r="E76" s="259" t="str">
        <f t="shared" si="23"/>
        <v/>
      </c>
      <c r="F76" s="534"/>
      <c r="G76" s="535"/>
      <c r="H76" s="241" t="str">
        <f t="shared" si="24"/>
        <v/>
      </c>
      <c r="I76" s="326" t="str">
        <f t="shared" si="19"/>
        <v/>
      </c>
      <c r="J76" s="735" t="str">
        <f>IF(F76="","",VLOOKUP(F76,'11. Condition and Temporal'!$B$6:$F$101,5,FALSE))</f>
        <v/>
      </c>
      <c r="K76" s="735"/>
      <c r="L76" s="192" t="str">
        <f t="shared" si="25"/>
        <v/>
      </c>
      <c r="M76" s="553" t="str">
        <f t="shared" si="26"/>
        <v/>
      </c>
      <c r="N76" s="699"/>
      <c r="O76" s="79"/>
      <c r="P76" s="12"/>
      <c r="R76" s="568"/>
      <c r="U76" s="286" t="str">
        <f t="shared" si="27"/>
        <v/>
      </c>
      <c r="V76" s="145" t="str">
        <f t="shared" si="28"/>
        <v/>
      </c>
      <c r="W76" s="146" t="str">
        <f t="shared" si="28"/>
        <v/>
      </c>
      <c r="X76" s="145" t="str">
        <f t="shared" si="28"/>
        <v/>
      </c>
      <c r="Y76" s="146" t="str">
        <f t="shared" si="28"/>
        <v/>
      </c>
      <c r="Z76" s="145" t="str">
        <f t="shared" si="28"/>
        <v/>
      </c>
      <c r="AA76" s="147" t="str">
        <f t="shared" si="28"/>
        <v/>
      </c>
      <c r="AB76" s="146" t="str">
        <f t="shared" si="28"/>
        <v/>
      </c>
      <c r="AC76" s="145" t="str">
        <f t="shared" si="28"/>
        <v/>
      </c>
      <c r="AD76" s="147" t="str">
        <f t="shared" si="29"/>
        <v/>
      </c>
      <c r="AE76" s="146" t="str">
        <f t="shared" si="55"/>
        <v/>
      </c>
      <c r="AF76" s="288" t="str">
        <f t="shared" si="30"/>
        <v/>
      </c>
      <c r="AG76" s="144" t="str">
        <f t="shared" si="31"/>
        <v/>
      </c>
      <c r="AH76" s="145" t="str">
        <f>IF(D76="","",VLOOKUP(F76,'10. All Habitats + Multipliers'!$C$4:$K$99,5,FALSE))</f>
        <v/>
      </c>
      <c r="AI76" s="146" t="str">
        <f>IF(AH76="","",VLOOKUP(AH76,'12. Lists'!$B$47:$D$49,2,FALSE))</f>
        <v/>
      </c>
      <c r="AJ76" s="145" t="str">
        <f t="shared" si="32"/>
        <v/>
      </c>
      <c r="AK76" s="146" t="str">
        <f>IF(AJ76="","",VLOOKUP(AJ76,'12. Lists'!$F$47:$G$51,2,FALSE))</f>
        <v/>
      </c>
      <c r="AL76" s="145" t="str">
        <f>IF(D76="","",VLOOKUP(F76,'10. All Habitats + Multipliers'!$C$4:$K$99,9,FALSE))</f>
        <v/>
      </c>
      <c r="AM76" s="147" t="str">
        <f>IF(AL76="","",VLOOKUP(AL76,'12. Lists'!$B$36:$D$39,2,FALSE))</f>
        <v/>
      </c>
      <c r="AN76" s="146" t="str">
        <f>IF(AL76="","",VLOOKUP(AL76,'12. Lists'!$B$36:$D$39,3,FALSE))</f>
        <v/>
      </c>
      <c r="AO76" s="145" t="str">
        <f t="shared" si="22"/>
        <v/>
      </c>
      <c r="AP76" s="147" t="str">
        <f>IF(AO76="","",VLOOKUP(AO76,'12. Lists'!$F$36:$H$38,2,FALSE))</f>
        <v/>
      </c>
      <c r="AQ76" s="146" t="str">
        <f>IF(AO76="","",VLOOKUP(AO76,'12. Lists'!$F$36:$H$38,3,FALSE))</f>
        <v/>
      </c>
      <c r="AR76" s="145" t="str">
        <f>IF(D76="","",VLOOKUP(F76,'11. Condition and Temporal'!$B$6:$J$101,9,FALSE))</f>
        <v/>
      </c>
      <c r="AS76" s="149" t="str">
        <f>IF(AR76="","",VLOOKUP(AR76,'12. Lists'!$I$47:$K$80,3,FALSE))</f>
        <v/>
      </c>
      <c r="AT76" s="175" t="str">
        <f>IF(D76="","",VLOOKUP(F76,'11. Condition and Temporal'!$B$6:$K$104,10,FALSE))</f>
        <v/>
      </c>
      <c r="AU76" s="149" t="str">
        <f>IF(AT76="","",VLOOKUP(AT76,'12. Lists'!$I$47:$K$80,3,FALSE))</f>
        <v/>
      </c>
      <c r="AV76" s="148" t="str">
        <f>IF(D76="","",VLOOKUP(F76,'10. All Habitats + Multipliers'!$C$4:$K$99,8,FALSE))</f>
        <v/>
      </c>
      <c r="AW76" s="146" t="str">
        <f>IF(AV76="","",VLOOKUP(AV76,'12. Lists'!$J$35:$K$38,2,FALSE))</f>
        <v/>
      </c>
      <c r="AX76" s="145" t="str">
        <f>IF(D76="","",VLOOKUP(D76,'11. Condition and Temporal'!$B$6:$K$101,4,FALSE))</f>
        <v/>
      </c>
      <c r="AY76" s="146" t="str">
        <f t="shared" si="33"/>
        <v/>
      </c>
      <c r="AZ76" s="327"/>
      <c r="BA76" s="100">
        <v>11</v>
      </c>
      <c r="BB76" s="102" t="str">
        <f t="shared" si="34"/>
        <v/>
      </c>
      <c r="BC76" s="102" t="str">
        <f t="shared" si="35"/>
        <v/>
      </c>
      <c r="BD76" s="102" t="str">
        <f t="shared" si="36"/>
        <v/>
      </c>
      <c r="BE76" s="102" t="str">
        <f t="shared" si="37"/>
        <v/>
      </c>
      <c r="BF76" s="102" t="str">
        <f t="shared" si="38"/>
        <v/>
      </c>
      <c r="BG76" s="102" t="str">
        <f t="shared" si="39"/>
        <v/>
      </c>
      <c r="BH76" s="102" t="str">
        <f t="shared" si="40"/>
        <v/>
      </c>
      <c r="BI76" s="102" t="str">
        <f t="shared" si="41"/>
        <v/>
      </c>
      <c r="BJ76" s="102" t="str">
        <f t="shared" si="42"/>
        <v/>
      </c>
      <c r="BK76" s="102" t="str">
        <f t="shared" si="43"/>
        <v/>
      </c>
      <c r="BL76" s="102" t="str">
        <f t="shared" si="44"/>
        <v/>
      </c>
      <c r="BM76" s="102" t="str">
        <f t="shared" si="45"/>
        <v/>
      </c>
      <c r="BN76" s="102" t="str">
        <f t="shared" si="46"/>
        <v/>
      </c>
      <c r="BO76" s="102" t="str">
        <f t="shared" si="47"/>
        <v/>
      </c>
      <c r="BP76" s="102" t="str">
        <f t="shared" si="48"/>
        <v/>
      </c>
      <c r="BQ76" s="102" t="str">
        <f t="shared" si="49"/>
        <v/>
      </c>
      <c r="BR76" s="102" t="str">
        <f t="shared" si="50"/>
        <v/>
      </c>
      <c r="BS76" s="102" t="str">
        <f t="shared" si="51"/>
        <v/>
      </c>
      <c r="BT76" s="102" t="str">
        <f t="shared" si="52"/>
        <v/>
      </c>
      <c r="BU76" s="101" t="str">
        <f t="shared" si="53"/>
        <v/>
      </c>
      <c r="BV76" s="296" t="str">
        <f t="shared" si="54"/>
        <v/>
      </c>
      <c r="BW76" s="102" t="s">
        <v>202</v>
      </c>
      <c r="BX76" s="102">
        <f>BL64</f>
        <v>0</v>
      </c>
    </row>
    <row r="77" spans="1:76" s="27" customFormat="1" ht="15.6">
      <c r="B77" s="106">
        <v>12</v>
      </c>
      <c r="C77" s="150" t="str">
        <f t="shared" si="17"/>
        <v/>
      </c>
      <c r="D77" s="151" t="str">
        <f t="shared" si="18"/>
        <v/>
      </c>
      <c r="E77" s="259" t="str">
        <f t="shared" si="23"/>
        <v/>
      </c>
      <c r="F77" s="534"/>
      <c r="G77" s="535"/>
      <c r="H77" s="241" t="str">
        <f t="shared" si="24"/>
        <v/>
      </c>
      <c r="I77" s="326" t="str">
        <f t="shared" si="19"/>
        <v/>
      </c>
      <c r="J77" s="735" t="str">
        <f>IF(F77="","",VLOOKUP(F77,'11. Condition and Temporal'!$B$6:$F$101,5,FALSE))</f>
        <v/>
      </c>
      <c r="K77" s="735"/>
      <c r="L77" s="192" t="str">
        <f t="shared" si="25"/>
        <v/>
      </c>
      <c r="M77" s="553" t="str">
        <f t="shared" si="26"/>
        <v/>
      </c>
      <c r="N77" s="699"/>
      <c r="O77" s="79"/>
      <c r="P77" s="12"/>
      <c r="R77" s="568"/>
      <c r="U77" s="286" t="str">
        <f t="shared" si="27"/>
        <v/>
      </c>
      <c r="V77" s="145" t="str">
        <f t="shared" si="28"/>
        <v/>
      </c>
      <c r="W77" s="146" t="str">
        <f t="shared" si="28"/>
        <v/>
      </c>
      <c r="X77" s="145" t="str">
        <f t="shared" si="28"/>
        <v/>
      </c>
      <c r="Y77" s="146" t="str">
        <f t="shared" si="28"/>
        <v/>
      </c>
      <c r="Z77" s="145" t="str">
        <f t="shared" si="28"/>
        <v/>
      </c>
      <c r="AA77" s="147" t="str">
        <f t="shared" si="28"/>
        <v/>
      </c>
      <c r="AB77" s="146" t="str">
        <f t="shared" si="28"/>
        <v/>
      </c>
      <c r="AC77" s="145" t="str">
        <f t="shared" si="28"/>
        <v/>
      </c>
      <c r="AD77" s="147" t="str">
        <f t="shared" si="29"/>
        <v/>
      </c>
      <c r="AE77" s="146" t="str">
        <f t="shared" si="55"/>
        <v/>
      </c>
      <c r="AF77" s="288" t="str">
        <f t="shared" si="30"/>
        <v/>
      </c>
      <c r="AG77" s="144" t="str">
        <f t="shared" si="31"/>
        <v/>
      </c>
      <c r="AH77" s="145" t="str">
        <f>IF(D77="","",VLOOKUP(F77,'10. All Habitats + Multipliers'!$C$4:$K$99,5,FALSE))</f>
        <v/>
      </c>
      <c r="AI77" s="146" t="str">
        <f>IF(AH77="","",VLOOKUP(AH77,'12. Lists'!$B$47:$D$49,2,FALSE))</f>
        <v/>
      </c>
      <c r="AJ77" s="145" t="str">
        <f t="shared" si="32"/>
        <v/>
      </c>
      <c r="AK77" s="146" t="str">
        <f>IF(AJ77="","",VLOOKUP(AJ77,'12. Lists'!$F$47:$G$51,2,FALSE))</f>
        <v/>
      </c>
      <c r="AL77" s="145" t="str">
        <f>IF(D77="","",VLOOKUP(F77,'10. All Habitats + Multipliers'!$C$4:$K$99,9,FALSE))</f>
        <v/>
      </c>
      <c r="AM77" s="147" t="str">
        <f>IF(AL77="","",VLOOKUP(AL77,'12. Lists'!$B$36:$D$39,2,FALSE))</f>
        <v/>
      </c>
      <c r="AN77" s="146" t="str">
        <f>IF(AL77="","",VLOOKUP(AL77,'12. Lists'!$B$36:$D$39,3,FALSE))</f>
        <v/>
      </c>
      <c r="AO77" s="145" t="str">
        <f t="shared" si="22"/>
        <v/>
      </c>
      <c r="AP77" s="147" t="str">
        <f>IF(AO77="","",VLOOKUP(AO77,'12. Lists'!$F$36:$H$38,2,FALSE))</f>
        <v/>
      </c>
      <c r="AQ77" s="146" t="str">
        <f>IF(AO77="","",VLOOKUP(AO77,'12. Lists'!$F$36:$H$38,3,FALSE))</f>
        <v/>
      </c>
      <c r="AR77" s="145" t="str">
        <f>IF(D77="","",VLOOKUP(F77,'11. Condition and Temporal'!$B$6:$J$101,9,FALSE))</f>
        <v/>
      </c>
      <c r="AS77" s="149" t="str">
        <f>IF(AR77="","",VLOOKUP(AR77,'12. Lists'!$I$47:$K$80,3,FALSE))</f>
        <v/>
      </c>
      <c r="AT77" s="175" t="str">
        <f>IF(D77="","",VLOOKUP(F77,'11. Condition and Temporal'!$B$6:$K$104,10,FALSE))</f>
        <v/>
      </c>
      <c r="AU77" s="149" t="str">
        <f>IF(AT77="","",VLOOKUP(AT77,'12. Lists'!$I$47:$K$80,3,FALSE))</f>
        <v/>
      </c>
      <c r="AV77" s="148" t="str">
        <f>IF(D77="","",VLOOKUP(F77,'10. All Habitats + Multipliers'!$C$4:$K$99,8,FALSE))</f>
        <v/>
      </c>
      <c r="AW77" s="146" t="str">
        <f>IF(AV77="","",VLOOKUP(AV77,'12. Lists'!$J$35:$K$38,2,FALSE))</f>
        <v/>
      </c>
      <c r="AX77" s="145" t="str">
        <f>IF(D77="","",VLOOKUP(D77,'11. Condition and Temporal'!$B$6:$K$101,4,FALSE))</f>
        <v/>
      </c>
      <c r="AY77" s="146" t="str">
        <f t="shared" si="33"/>
        <v/>
      </c>
      <c r="AZ77" s="327"/>
      <c r="BA77" s="100">
        <v>12</v>
      </c>
      <c r="BB77" s="102" t="str">
        <f t="shared" si="34"/>
        <v/>
      </c>
      <c r="BC77" s="102" t="str">
        <f t="shared" si="35"/>
        <v/>
      </c>
      <c r="BD77" s="102" t="str">
        <f t="shared" si="36"/>
        <v/>
      </c>
      <c r="BE77" s="102" t="str">
        <f t="shared" si="37"/>
        <v/>
      </c>
      <c r="BF77" s="102" t="str">
        <f t="shared" si="38"/>
        <v/>
      </c>
      <c r="BG77" s="102" t="str">
        <f t="shared" si="39"/>
        <v/>
      </c>
      <c r="BH77" s="102" t="str">
        <f t="shared" si="40"/>
        <v/>
      </c>
      <c r="BI77" s="102" t="str">
        <f t="shared" si="41"/>
        <v/>
      </c>
      <c r="BJ77" s="102" t="str">
        <f t="shared" si="42"/>
        <v/>
      </c>
      <c r="BK77" s="102" t="str">
        <f t="shared" si="43"/>
        <v/>
      </c>
      <c r="BL77" s="102" t="str">
        <f t="shared" si="44"/>
        <v/>
      </c>
      <c r="BM77" s="102" t="str">
        <f t="shared" si="45"/>
        <v/>
      </c>
      <c r="BN77" s="102" t="str">
        <f t="shared" si="46"/>
        <v/>
      </c>
      <c r="BO77" s="102" t="str">
        <f t="shared" si="47"/>
        <v/>
      </c>
      <c r="BP77" s="102" t="str">
        <f t="shared" si="48"/>
        <v/>
      </c>
      <c r="BQ77" s="102" t="str">
        <f t="shared" si="49"/>
        <v/>
      </c>
      <c r="BR77" s="102" t="str">
        <f t="shared" si="50"/>
        <v/>
      </c>
      <c r="BS77" s="102" t="str">
        <f t="shared" si="51"/>
        <v/>
      </c>
      <c r="BT77" s="102" t="str">
        <f t="shared" si="52"/>
        <v/>
      </c>
      <c r="BU77" s="101" t="str">
        <f t="shared" si="53"/>
        <v/>
      </c>
      <c r="BV77" s="296" t="str">
        <f t="shared" si="54"/>
        <v/>
      </c>
      <c r="BW77" s="102" t="s">
        <v>203</v>
      </c>
      <c r="BX77" s="102">
        <f>BM64</f>
        <v>0</v>
      </c>
    </row>
    <row r="78" spans="1:76" s="27" customFormat="1" ht="15.6">
      <c r="B78" s="106">
        <v>13</v>
      </c>
      <c r="C78" s="150" t="str">
        <f t="shared" si="17"/>
        <v/>
      </c>
      <c r="D78" s="151" t="str">
        <f t="shared" si="18"/>
        <v/>
      </c>
      <c r="E78" s="259" t="str">
        <f t="shared" si="23"/>
        <v/>
      </c>
      <c r="F78" s="534"/>
      <c r="G78" s="535"/>
      <c r="H78" s="241" t="str">
        <f t="shared" si="24"/>
        <v/>
      </c>
      <c r="I78" s="326" t="str">
        <f t="shared" si="19"/>
        <v/>
      </c>
      <c r="J78" s="735" t="str">
        <f>IF(F78="","",VLOOKUP(F78,'11. Condition and Temporal'!$B$6:$F$101,5,FALSE))</f>
        <v/>
      </c>
      <c r="K78" s="735"/>
      <c r="L78" s="192" t="str">
        <f t="shared" si="25"/>
        <v/>
      </c>
      <c r="M78" s="553" t="str">
        <f t="shared" si="26"/>
        <v/>
      </c>
      <c r="N78" s="699"/>
      <c r="O78" s="79"/>
      <c r="P78" s="12"/>
      <c r="R78" s="568"/>
      <c r="U78" s="286" t="str">
        <f t="shared" si="27"/>
        <v/>
      </c>
      <c r="V78" s="145" t="str">
        <f t="shared" si="28"/>
        <v/>
      </c>
      <c r="W78" s="146" t="str">
        <f t="shared" si="28"/>
        <v/>
      </c>
      <c r="X78" s="145" t="str">
        <f t="shared" si="28"/>
        <v/>
      </c>
      <c r="Y78" s="146" t="str">
        <f t="shared" si="28"/>
        <v/>
      </c>
      <c r="Z78" s="145" t="str">
        <f t="shared" si="28"/>
        <v/>
      </c>
      <c r="AA78" s="147" t="str">
        <f t="shared" si="28"/>
        <v/>
      </c>
      <c r="AB78" s="146" t="str">
        <f t="shared" si="28"/>
        <v/>
      </c>
      <c r="AC78" s="145" t="str">
        <f t="shared" si="28"/>
        <v/>
      </c>
      <c r="AD78" s="147" t="str">
        <f t="shared" si="29"/>
        <v/>
      </c>
      <c r="AE78" s="146" t="str">
        <f t="shared" si="55"/>
        <v/>
      </c>
      <c r="AF78" s="288" t="str">
        <f t="shared" si="30"/>
        <v/>
      </c>
      <c r="AG78" s="144" t="str">
        <f t="shared" si="31"/>
        <v/>
      </c>
      <c r="AH78" s="145" t="str">
        <f>IF(D78="","",VLOOKUP(F78,'10. All Habitats + Multipliers'!$C$4:$K$99,5,FALSE))</f>
        <v/>
      </c>
      <c r="AI78" s="146" t="str">
        <f>IF(AH78="","",VLOOKUP(AH78,'12. Lists'!$B$47:$D$49,2,FALSE))</f>
        <v/>
      </c>
      <c r="AJ78" s="145" t="str">
        <f t="shared" si="32"/>
        <v/>
      </c>
      <c r="AK78" s="146" t="str">
        <f>IF(AJ78="","",VLOOKUP(AJ78,'12. Lists'!$F$47:$G$51,2,FALSE))</f>
        <v/>
      </c>
      <c r="AL78" s="145" t="str">
        <f>IF(D78="","",VLOOKUP(F78,'10. All Habitats + Multipliers'!$C$4:$K$99,9,FALSE))</f>
        <v/>
      </c>
      <c r="AM78" s="147" t="str">
        <f>IF(AL78="","",VLOOKUP(AL78,'12. Lists'!$B$36:$D$39,2,FALSE))</f>
        <v/>
      </c>
      <c r="AN78" s="146" t="str">
        <f>IF(AL78="","",VLOOKUP(AL78,'12. Lists'!$B$36:$D$39,3,FALSE))</f>
        <v/>
      </c>
      <c r="AO78" s="145" t="str">
        <f t="shared" si="22"/>
        <v/>
      </c>
      <c r="AP78" s="147" t="str">
        <f>IF(AO78="","",VLOOKUP(AO78,'12. Lists'!$F$36:$H$38,2,FALSE))</f>
        <v/>
      </c>
      <c r="AQ78" s="146" t="str">
        <f>IF(AO78="","",VLOOKUP(AO78,'12. Lists'!$F$36:$H$38,3,FALSE))</f>
        <v/>
      </c>
      <c r="AR78" s="145" t="str">
        <f>IF(D78="","",VLOOKUP(F78,'11. Condition and Temporal'!$B$6:$J$101,9,FALSE))</f>
        <v/>
      </c>
      <c r="AS78" s="149" t="str">
        <f>IF(AR78="","",VLOOKUP(AR78,'12. Lists'!$I$47:$K$80,3,FALSE))</f>
        <v/>
      </c>
      <c r="AT78" s="175" t="str">
        <f>IF(D78="","",VLOOKUP(F78,'11. Condition and Temporal'!$B$6:$K$104,10,FALSE))</f>
        <v/>
      </c>
      <c r="AU78" s="149" t="str">
        <f>IF(AT78="","",VLOOKUP(AT78,'12. Lists'!$I$47:$K$80,3,FALSE))</f>
        <v/>
      </c>
      <c r="AV78" s="148" t="str">
        <f>IF(D78="","",VLOOKUP(F78,'10. All Habitats + Multipliers'!$C$4:$K$99,8,FALSE))</f>
        <v/>
      </c>
      <c r="AW78" s="146" t="str">
        <f>IF(AV78="","",VLOOKUP(AV78,'12. Lists'!$J$35:$K$38,2,FALSE))</f>
        <v/>
      </c>
      <c r="AX78" s="145" t="str">
        <f>IF(D78="","",VLOOKUP(D78,'11. Condition and Temporal'!$B$6:$K$101,4,FALSE))</f>
        <v/>
      </c>
      <c r="AY78" s="146" t="str">
        <f t="shared" si="33"/>
        <v/>
      </c>
      <c r="AZ78" s="327"/>
      <c r="BA78" s="100">
        <v>13</v>
      </c>
      <c r="BB78" s="102" t="str">
        <f t="shared" si="34"/>
        <v/>
      </c>
      <c r="BC78" s="102" t="str">
        <f t="shared" si="35"/>
        <v/>
      </c>
      <c r="BD78" s="102" t="str">
        <f t="shared" si="36"/>
        <v/>
      </c>
      <c r="BE78" s="102" t="str">
        <f t="shared" si="37"/>
        <v/>
      </c>
      <c r="BF78" s="102" t="str">
        <f t="shared" si="38"/>
        <v/>
      </c>
      <c r="BG78" s="102" t="str">
        <f t="shared" si="39"/>
        <v/>
      </c>
      <c r="BH78" s="102" t="str">
        <f t="shared" si="40"/>
        <v/>
      </c>
      <c r="BI78" s="102" t="str">
        <f t="shared" si="41"/>
        <v/>
      </c>
      <c r="BJ78" s="102" t="str">
        <f t="shared" si="42"/>
        <v/>
      </c>
      <c r="BK78" s="102" t="str">
        <f t="shared" si="43"/>
        <v/>
      </c>
      <c r="BL78" s="102" t="str">
        <f t="shared" si="44"/>
        <v/>
      </c>
      <c r="BM78" s="102" t="str">
        <f t="shared" si="45"/>
        <v/>
      </c>
      <c r="BN78" s="102" t="str">
        <f t="shared" si="46"/>
        <v/>
      </c>
      <c r="BO78" s="102" t="str">
        <f t="shared" si="47"/>
        <v/>
      </c>
      <c r="BP78" s="102" t="str">
        <f t="shared" si="48"/>
        <v/>
      </c>
      <c r="BQ78" s="102" t="str">
        <f t="shared" si="49"/>
        <v/>
      </c>
      <c r="BR78" s="102" t="str">
        <f t="shared" si="50"/>
        <v/>
      </c>
      <c r="BS78" s="102" t="str">
        <f t="shared" si="51"/>
        <v/>
      </c>
      <c r="BT78" s="102" t="str">
        <f t="shared" si="52"/>
        <v/>
      </c>
      <c r="BU78" s="101" t="str">
        <f t="shared" si="53"/>
        <v/>
      </c>
      <c r="BV78" s="296" t="str">
        <f t="shared" si="54"/>
        <v/>
      </c>
      <c r="BW78" s="102" t="s">
        <v>204</v>
      </c>
      <c r="BX78" s="102">
        <f>BN64</f>
        <v>0</v>
      </c>
    </row>
    <row r="79" spans="1:76" s="27" customFormat="1" ht="15.6">
      <c r="B79" s="106">
        <v>14</v>
      </c>
      <c r="C79" s="150" t="str">
        <f t="shared" si="17"/>
        <v/>
      </c>
      <c r="D79" s="151" t="str">
        <f t="shared" si="18"/>
        <v/>
      </c>
      <c r="E79" s="259" t="str">
        <f t="shared" si="23"/>
        <v/>
      </c>
      <c r="F79" s="534"/>
      <c r="G79" s="535"/>
      <c r="H79" s="241" t="str">
        <f t="shared" si="24"/>
        <v/>
      </c>
      <c r="I79" s="326" t="str">
        <f t="shared" si="19"/>
        <v/>
      </c>
      <c r="J79" s="735" t="str">
        <f>IF(F79="","",VLOOKUP(F79,'11. Condition and Temporal'!$B$6:$F$101,5,FALSE))</f>
        <v/>
      </c>
      <c r="K79" s="735"/>
      <c r="L79" s="192" t="str">
        <f t="shared" si="25"/>
        <v/>
      </c>
      <c r="M79" s="553" t="str">
        <f t="shared" si="26"/>
        <v/>
      </c>
      <c r="N79" s="699"/>
      <c r="O79" s="79"/>
      <c r="P79" s="12"/>
      <c r="R79" s="568"/>
      <c r="U79" s="286" t="str">
        <f t="shared" si="27"/>
        <v/>
      </c>
      <c r="V79" s="145" t="str">
        <f t="shared" si="28"/>
        <v/>
      </c>
      <c r="W79" s="146" t="str">
        <f t="shared" si="28"/>
        <v/>
      </c>
      <c r="X79" s="145" t="str">
        <f t="shared" si="28"/>
        <v/>
      </c>
      <c r="Y79" s="146" t="str">
        <f t="shared" si="28"/>
        <v/>
      </c>
      <c r="Z79" s="145" t="str">
        <f t="shared" si="28"/>
        <v/>
      </c>
      <c r="AA79" s="147" t="str">
        <f t="shared" si="28"/>
        <v/>
      </c>
      <c r="AB79" s="146" t="str">
        <f t="shared" si="28"/>
        <v/>
      </c>
      <c r="AC79" s="145" t="str">
        <f t="shared" si="28"/>
        <v/>
      </c>
      <c r="AD79" s="147" t="str">
        <f t="shared" si="29"/>
        <v/>
      </c>
      <c r="AE79" s="146" t="str">
        <f t="shared" si="55"/>
        <v/>
      </c>
      <c r="AF79" s="288" t="str">
        <f t="shared" si="30"/>
        <v/>
      </c>
      <c r="AG79" s="144" t="str">
        <f t="shared" si="31"/>
        <v/>
      </c>
      <c r="AH79" s="145" t="str">
        <f>IF(D79="","",VLOOKUP(F79,'10. All Habitats + Multipliers'!$C$4:$K$99,5,FALSE))</f>
        <v/>
      </c>
      <c r="AI79" s="146" t="str">
        <f>IF(AH79="","",VLOOKUP(AH79,'12. Lists'!$B$47:$D$49,2,FALSE))</f>
        <v/>
      </c>
      <c r="AJ79" s="145" t="str">
        <f t="shared" si="32"/>
        <v/>
      </c>
      <c r="AK79" s="146" t="str">
        <f>IF(AJ79="","",VLOOKUP(AJ79,'12. Lists'!$F$47:$G$51,2,FALSE))</f>
        <v/>
      </c>
      <c r="AL79" s="145" t="str">
        <f>IF(D79="","",VLOOKUP(F79,'10. All Habitats + Multipliers'!$C$4:$K$99,9,FALSE))</f>
        <v/>
      </c>
      <c r="AM79" s="147" t="str">
        <f>IF(AL79="","",VLOOKUP(AL79,'12. Lists'!$B$36:$D$39,2,FALSE))</f>
        <v/>
      </c>
      <c r="AN79" s="146" t="str">
        <f>IF(AL79="","",VLOOKUP(AL79,'12. Lists'!$B$36:$D$39,3,FALSE))</f>
        <v/>
      </c>
      <c r="AO79" s="145" t="str">
        <f t="shared" si="22"/>
        <v/>
      </c>
      <c r="AP79" s="147" t="str">
        <f>IF(AO79="","",VLOOKUP(AO79,'12. Lists'!$F$36:$H$38,2,FALSE))</f>
        <v/>
      </c>
      <c r="AQ79" s="146" t="str">
        <f>IF(AO79="","",VLOOKUP(AO79,'12. Lists'!$F$36:$H$38,3,FALSE))</f>
        <v/>
      </c>
      <c r="AR79" s="145" t="str">
        <f>IF(D79="","",VLOOKUP(F79,'11. Condition and Temporal'!$B$6:$J$101,9,FALSE))</f>
        <v/>
      </c>
      <c r="AS79" s="149" t="str">
        <f>IF(AR79="","",VLOOKUP(AR79,'12. Lists'!$I$47:$K$80,3,FALSE))</f>
        <v/>
      </c>
      <c r="AT79" s="175" t="str">
        <f>IF(D79="","",VLOOKUP(F79,'11. Condition and Temporal'!$B$6:$K$104,10,FALSE))</f>
        <v/>
      </c>
      <c r="AU79" s="149" t="str">
        <f>IF(AT79="","",VLOOKUP(AT79,'12. Lists'!$I$47:$K$80,3,FALSE))</f>
        <v/>
      </c>
      <c r="AV79" s="148" t="str">
        <f>IF(D79="","",VLOOKUP(F79,'10. All Habitats + Multipliers'!$C$4:$K$99,8,FALSE))</f>
        <v/>
      </c>
      <c r="AW79" s="146" t="str">
        <f>IF(AV79="","",VLOOKUP(AV79,'12. Lists'!$J$35:$K$38,2,FALSE))</f>
        <v/>
      </c>
      <c r="AX79" s="145" t="str">
        <f>IF(D79="","",VLOOKUP(D79,'11. Condition and Temporal'!$B$6:$K$101,4,FALSE))</f>
        <v/>
      </c>
      <c r="AY79" s="146" t="str">
        <f t="shared" si="33"/>
        <v/>
      </c>
      <c r="AZ79" s="327"/>
      <c r="BA79" s="100">
        <v>14</v>
      </c>
      <c r="BB79" s="102" t="str">
        <f t="shared" si="34"/>
        <v/>
      </c>
      <c r="BC79" s="102" t="str">
        <f t="shared" si="35"/>
        <v/>
      </c>
      <c r="BD79" s="102" t="str">
        <f t="shared" si="36"/>
        <v/>
      </c>
      <c r="BE79" s="102" t="str">
        <f t="shared" si="37"/>
        <v/>
      </c>
      <c r="BF79" s="102" t="str">
        <f t="shared" si="38"/>
        <v/>
      </c>
      <c r="BG79" s="102" t="str">
        <f t="shared" si="39"/>
        <v/>
      </c>
      <c r="BH79" s="102" t="str">
        <f t="shared" si="40"/>
        <v/>
      </c>
      <c r="BI79" s="102" t="str">
        <f t="shared" si="41"/>
        <v/>
      </c>
      <c r="BJ79" s="102" t="str">
        <f t="shared" si="42"/>
        <v/>
      </c>
      <c r="BK79" s="102" t="str">
        <f t="shared" si="43"/>
        <v/>
      </c>
      <c r="BL79" s="102" t="str">
        <f t="shared" si="44"/>
        <v/>
      </c>
      <c r="BM79" s="102" t="str">
        <f t="shared" si="45"/>
        <v/>
      </c>
      <c r="BN79" s="102" t="str">
        <f t="shared" si="46"/>
        <v/>
      </c>
      <c r="BO79" s="102" t="str">
        <f t="shared" si="47"/>
        <v/>
      </c>
      <c r="BP79" s="102" t="str">
        <f t="shared" si="48"/>
        <v/>
      </c>
      <c r="BQ79" s="102" t="str">
        <f t="shared" si="49"/>
        <v/>
      </c>
      <c r="BR79" s="102" t="str">
        <f t="shared" si="50"/>
        <v/>
      </c>
      <c r="BS79" s="102" t="str">
        <f t="shared" si="51"/>
        <v/>
      </c>
      <c r="BT79" s="102" t="str">
        <f t="shared" si="52"/>
        <v/>
      </c>
      <c r="BU79" s="101" t="str">
        <f t="shared" si="53"/>
        <v/>
      </c>
      <c r="BV79" s="296" t="str">
        <f t="shared" si="54"/>
        <v/>
      </c>
      <c r="BW79" s="102" t="s">
        <v>205</v>
      </c>
      <c r="BX79" s="102">
        <f>BO64</f>
        <v>0</v>
      </c>
    </row>
    <row r="80" spans="1:76" s="27" customFormat="1" ht="15.6">
      <c r="B80" s="106">
        <v>15</v>
      </c>
      <c r="C80" s="150" t="str">
        <f t="shared" si="17"/>
        <v/>
      </c>
      <c r="D80" s="151" t="str">
        <f t="shared" si="18"/>
        <v/>
      </c>
      <c r="E80" s="259" t="str">
        <f t="shared" si="23"/>
        <v/>
      </c>
      <c r="F80" s="534"/>
      <c r="G80" s="535"/>
      <c r="H80" s="241" t="str">
        <f t="shared" si="24"/>
        <v/>
      </c>
      <c r="I80" s="326" t="str">
        <f t="shared" si="19"/>
        <v/>
      </c>
      <c r="J80" s="735" t="str">
        <f>IF(F80="","",VLOOKUP(F80,'11. Condition and Temporal'!$B$6:$F$101,5,FALSE))</f>
        <v/>
      </c>
      <c r="K80" s="735"/>
      <c r="L80" s="192" t="str">
        <f t="shared" si="25"/>
        <v/>
      </c>
      <c r="M80" s="553" t="str">
        <f t="shared" si="26"/>
        <v/>
      </c>
      <c r="N80" s="699"/>
      <c r="O80" s="79"/>
      <c r="P80" s="12"/>
      <c r="R80" s="568"/>
      <c r="U80" s="286" t="str">
        <f t="shared" si="27"/>
        <v/>
      </c>
      <c r="V80" s="145" t="str">
        <f t="shared" si="28"/>
        <v/>
      </c>
      <c r="W80" s="146" t="str">
        <f t="shared" si="28"/>
        <v/>
      </c>
      <c r="X80" s="145" t="str">
        <f t="shared" si="28"/>
        <v/>
      </c>
      <c r="Y80" s="146" t="str">
        <f t="shared" si="28"/>
        <v/>
      </c>
      <c r="Z80" s="145" t="str">
        <f t="shared" si="28"/>
        <v/>
      </c>
      <c r="AA80" s="147" t="str">
        <f t="shared" si="28"/>
        <v/>
      </c>
      <c r="AB80" s="146" t="str">
        <f t="shared" si="28"/>
        <v/>
      </c>
      <c r="AC80" s="145" t="str">
        <f t="shared" si="28"/>
        <v/>
      </c>
      <c r="AD80" s="147" t="str">
        <f t="shared" si="29"/>
        <v/>
      </c>
      <c r="AE80" s="146" t="str">
        <f t="shared" si="55"/>
        <v/>
      </c>
      <c r="AF80" s="288" t="str">
        <f t="shared" si="30"/>
        <v/>
      </c>
      <c r="AG80" s="144" t="str">
        <f t="shared" si="31"/>
        <v/>
      </c>
      <c r="AH80" s="145" t="str">
        <f>IF(D80="","",VLOOKUP(F80,'10. All Habitats + Multipliers'!$C$4:$K$99,5,FALSE))</f>
        <v/>
      </c>
      <c r="AI80" s="146" t="str">
        <f>IF(AH80="","",VLOOKUP(AH80,'12. Lists'!$B$47:$D$49,2,FALSE))</f>
        <v/>
      </c>
      <c r="AJ80" s="145" t="str">
        <f t="shared" si="32"/>
        <v/>
      </c>
      <c r="AK80" s="146" t="str">
        <f>IF(AJ80="","",VLOOKUP(AJ80,'12. Lists'!$F$47:$G$51,2,FALSE))</f>
        <v/>
      </c>
      <c r="AL80" s="145" t="str">
        <f>IF(D80="","",VLOOKUP(F80,'10. All Habitats + Multipliers'!$C$4:$K$99,9,FALSE))</f>
        <v/>
      </c>
      <c r="AM80" s="147" t="str">
        <f>IF(AL80="","",VLOOKUP(AL80,'12. Lists'!$B$36:$D$39,2,FALSE))</f>
        <v/>
      </c>
      <c r="AN80" s="146" t="str">
        <f>IF(AL80="","",VLOOKUP(AL80,'12. Lists'!$B$36:$D$39,3,FALSE))</f>
        <v/>
      </c>
      <c r="AO80" s="145" t="str">
        <f t="shared" si="22"/>
        <v/>
      </c>
      <c r="AP80" s="147" t="str">
        <f>IF(AO80="","",VLOOKUP(AO80,'12. Lists'!$F$36:$H$38,2,FALSE))</f>
        <v/>
      </c>
      <c r="AQ80" s="146" t="str">
        <f>IF(AO80="","",VLOOKUP(AO80,'12. Lists'!$F$36:$H$38,3,FALSE))</f>
        <v/>
      </c>
      <c r="AR80" s="145" t="str">
        <f>IF(D80="","",VLOOKUP(F80,'11. Condition and Temporal'!$B$6:$J$101,9,FALSE))</f>
        <v/>
      </c>
      <c r="AS80" s="149" t="str">
        <f>IF(AR80="","",VLOOKUP(AR80,'12. Lists'!$I$47:$K$80,3,FALSE))</f>
        <v/>
      </c>
      <c r="AT80" s="175" t="str">
        <f>IF(D80="","",VLOOKUP(F80,'11. Condition and Temporal'!$B$6:$K$104,10,FALSE))</f>
        <v/>
      </c>
      <c r="AU80" s="149" t="str">
        <f>IF(AT80="","",VLOOKUP(AT80,'12. Lists'!$I$47:$K$80,3,FALSE))</f>
        <v/>
      </c>
      <c r="AV80" s="148" t="str">
        <f>IF(D80="","",VLOOKUP(F80,'10. All Habitats + Multipliers'!$C$4:$K$99,8,FALSE))</f>
        <v/>
      </c>
      <c r="AW80" s="146" t="str">
        <f>IF(AV80="","",VLOOKUP(AV80,'12. Lists'!$J$35:$K$38,2,FALSE))</f>
        <v/>
      </c>
      <c r="AX80" s="145" t="str">
        <f>IF(D80="","",VLOOKUP(D80,'11. Condition and Temporal'!$B$6:$K$101,4,FALSE))</f>
        <v/>
      </c>
      <c r="AY80" s="146" t="str">
        <f t="shared" si="33"/>
        <v/>
      </c>
      <c r="AZ80" s="327"/>
      <c r="BA80" s="100">
        <v>15</v>
      </c>
      <c r="BB80" s="102" t="str">
        <f t="shared" si="34"/>
        <v/>
      </c>
      <c r="BC80" s="102" t="str">
        <f t="shared" si="35"/>
        <v/>
      </c>
      <c r="BD80" s="102" t="str">
        <f t="shared" si="36"/>
        <v/>
      </c>
      <c r="BE80" s="102" t="str">
        <f t="shared" si="37"/>
        <v/>
      </c>
      <c r="BF80" s="102" t="str">
        <f t="shared" si="38"/>
        <v/>
      </c>
      <c r="BG80" s="102" t="str">
        <f t="shared" si="39"/>
        <v/>
      </c>
      <c r="BH80" s="102" t="str">
        <f t="shared" si="40"/>
        <v/>
      </c>
      <c r="BI80" s="102" t="str">
        <f t="shared" si="41"/>
        <v/>
      </c>
      <c r="BJ80" s="102" t="str">
        <f t="shared" si="42"/>
        <v/>
      </c>
      <c r="BK80" s="102" t="str">
        <f t="shared" si="43"/>
        <v/>
      </c>
      <c r="BL80" s="102" t="str">
        <f t="shared" si="44"/>
        <v/>
      </c>
      <c r="BM80" s="102" t="str">
        <f t="shared" si="45"/>
        <v/>
      </c>
      <c r="BN80" s="102" t="str">
        <f t="shared" si="46"/>
        <v/>
      </c>
      <c r="BO80" s="102" t="str">
        <f t="shared" si="47"/>
        <v/>
      </c>
      <c r="BP80" s="102" t="str">
        <f t="shared" si="48"/>
        <v/>
      </c>
      <c r="BQ80" s="102" t="str">
        <f t="shared" si="49"/>
        <v/>
      </c>
      <c r="BR80" s="102" t="str">
        <f t="shared" si="50"/>
        <v/>
      </c>
      <c r="BS80" s="102" t="str">
        <f t="shared" si="51"/>
        <v/>
      </c>
      <c r="BT80" s="102" t="str">
        <f t="shared" si="52"/>
        <v/>
      </c>
      <c r="BU80" s="101" t="str">
        <f t="shared" si="53"/>
        <v/>
      </c>
      <c r="BV80" s="296" t="str">
        <f t="shared" si="54"/>
        <v/>
      </c>
      <c r="BW80" s="102" t="s">
        <v>206</v>
      </c>
      <c r="BX80" s="102">
        <f>BP64</f>
        <v>0</v>
      </c>
    </row>
    <row r="81" spans="1:76" s="27" customFormat="1" ht="15.6">
      <c r="B81" s="106">
        <v>16</v>
      </c>
      <c r="C81" s="150" t="str">
        <f t="shared" si="17"/>
        <v/>
      </c>
      <c r="D81" s="151" t="str">
        <f t="shared" si="18"/>
        <v/>
      </c>
      <c r="E81" s="259" t="str">
        <f t="shared" si="23"/>
        <v/>
      </c>
      <c r="F81" s="534"/>
      <c r="G81" s="535"/>
      <c r="H81" s="241" t="str">
        <f t="shared" si="24"/>
        <v/>
      </c>
      <c r="I81" s="326" t="str">
        <f t="shared" si="19"/>
        <v/>
      </c>
      <c r="J81" s="735" t="str">
        <f>IF(F81="","",VLOOKUP(F81,'11. Condition and Temporal'!$B$6:$F$101,5,FALSE))</f>
        <v/>
      </c>
      <c r="K81" s="735"/>
      <c r="L81" s="192" t="str">
        <f t="shared" si="25"/>
        <v/>
      </c>
      <c r="M81" s="553" t="str">
        <f t="shared" si="26"/>
        <v/>
      </c>
      <c r="N81" s="699"/>
      <c r="O81" s="79"/>
      <c r="P81" s="12"/>
      <c r="R81" s="568"/>
      <c r="U81" s="286" t="str">
        <f t="shared" si="27"/>
        <v/>
      </c>
      <c r="V81" s="145" t="str">
        <f t="shared" si="28"/>
        <v/>
      </c>
      <c r="W81" s="146" t="str">
        <f t="shared" si="28"/>
        <v/>
      </c>
      <c r="X81" s="145" t="str">
        <f t="shared" si="28"/>
        <v/>
      </c>
      <c r="Y81" s="146" t="str">
        <f t="shared" si="28"/>
        <v/>
      </c>
      <c r="Z81" s="145" t="str">
        <f t="shared" si="28"/>
        <v/>
      </c>
      <c r="AA81" s="147" t="str">
        <f t="shared" si="28"/>
        <v/>
      </c>
      <c r="AB81" s="146" t="str">
        <f t="shared" si="28"/>
        <v/>
      </c>
      <c r="AC81" s="145" t="str">
        <f t="shared" si="28"/>
        <v/>
      </c>
      <c r="AD81" s="147" t="str">
        <f t="shared" si="29"/>
        <v/>
      </c>
      <c r="AE81" s="146" t="str">
        <f t="shared" si="55"/>
        <v/>
      </c>
      <c r="AF81" s="288" t="str">
        <f t="shared" si="30"/>
        <v/>
      </c>
      <c r="AG81" s="144" t="str">
        <f t="shared" si="31"/>
        <v/>
      </c>
      <c r="AH81" s="145" t="str">
        <f>IF(D81="","",VLOOKUP(F81,'10. All Habitats + Multipliers'!$C$4:$K$99,5,FALSE))</f>
        <v/>
      </c>
      <c r="AI81" s="146" t="str">
        <f>IF(AH81="","",VLOOKUP(AH81,'12. Lists'!$B$47:$D$49,2,FALSE))</f>
        <v/>
      </c>
      <c r="AJ81" s="145" t="str">
        <f t="shared" si="32"/>
        <v/>
      </c>
      <c r="AK81" s="146" t="str">
        <f>IF(AJ81="","",VLOOKUP(AJ81,'12. Lists'!$F$47:$G$51,2,FALSE))</f>
        <v/>
      </c>
      <c r="AL81" s="145" t="str">
        <f>IF(D81="","",VLOOKUP(F81,'10. All Habitats + Multipliers'!$C$4:$K$99,9,FALSE))</f>
        <v/>
      </c>
      <c r="AM81" s="147" t="str">
        <f>IF(AL81="","",VLOOKUP(AL81,'12. Lists'!$B$36:$D$39,2,FALSE))</f>
        <v/>
      </c>
      <c r="AN81" s="146" t="str">
        <f>IF(AL81="","",VLOOKUP(AL81,'12. Lists'!$B$36:$D$39,3,FALSE))</f>
        <v/>
      </c>
      <c r="AO81" s="145" t="str">
        <f t="shared" si="22"/>
        <v/>
      </c>
      <c r="AP81" s="147" t="str">
        <f>IF(AO81="","",VLOOKUP(AO81,'12. Lists'!$F$36:$H$38,2,FALSE))</f>
        <v/>
      </c>
      <c r="AQ81" s="146" t="str">
        <f>IF(AO81="","",VLOOKUP(AO81,'12. Lists'!$F$36:$H$38,3,FALSE))</f>
        <v/>
      </c>
      <c r="AR81" s="145" t="str">
        <f>IF(D81="","",VLOOKUP(F81,'11. Condition and Temporal'!$B$6:$J$101,9,FALSE))</f>
        <v/>
      </c>
      <c r="AS81" s="149" t="str">
        <f>IF(AR81="","",VLOOKUP(AR81,'12. Lists'!$I$47:$K$80,3,FALSE))</f>
        <v/>
      </c>
      <c r="AT81" s="175" t="str">
        <f>IF(D81="","",VLOOKUP(F81,'11. Condition and Temporal'!$B$6:$K$104,10,FALSE))</f>
        <v/>
      </c>
      <c r="AU81" s="149" t="str">
        <f>IF(AT81="","",VLOOKUP(AT81,'12. Lists'!$I$47:$K$80,3,FALSE))</f>
        <v/>
      </c>
      <c r="AV81" s="148" t="str">
        <f>IF(D81="","",VLOOKUP(F81,'10. All Habitats + Multipliers'!$C$4:$K$99,8,FALSE))</f>
        <v/>
      </c>
      <c r="AW81" s="146" t="str">
        <f>IF(AV81="","",VLOOKUP(AV81,'12. Lists'!$J$35:$K$38,2,FALSE))</f>
        <v/>
      </c>
      <c r="AX81" s="145" t="str">
        <f>IF(D81="","",VLOOKUP(D81,'11. Condition and Temporal'!$B$6:$K$101,4,FALSE))</f>
        <v/>
      </c>
      <c r="AY81" s="146" t="str">
        <f t="shared" si="33"/>
        <v/>
      </c>
      <c r="AZ81" s="327"/>
      <c r="BA81" s="100">
        <v>16</v>
      </c>
      <c r="BB81" s="102" t="str">
        <f t="shared" si="34"/>
        <v/>
      </c>
      <c r="BC81" s="102" t="str">
        <f t="shared" si="35"/>
        <v/>
      </c>
      <c r="BD81" s="102" t="str">
        <f t="shared" si="36"/>
        <v/>
      </c>
      <c r="BE81" s="102" t="str">
        <f t="shared" si="37"/>
        <v/>
      </c>
      <c r="BF81" s="102" t="str">
        <f t="shared" si="38"/>
        <v/>
      </c>
      <c r="BG81" s="102" t="str">
        <f t="shared" si="39"/>
        <v/>
      </c>
      <c r="BH81" s="102" t="str">
        <f t="shared" si="40"/>
        <v/>
      </c>
      <c r="BI81" s="102" t="str">
        <f t="shared" si="41"/>
        <v/>
      </c>
      <c r="BJ81" s="102" t="str">
        <f t="shared" si="42"/>
        <v/>
      </c>
      <c r="BK81" s="102" t="str">
        <f t="shared" si="43"/>
        <v/>
      </c>
      <c r="BL81" s="102" t="str">
        <f t="shared" si="44"/>
        <v/>
      </c>
      <c r="BM81" s="102" t="str">
        <f t="shared" si="45"/>
        <v/>
      </c>
      <c r="BN81" s="102" t="str">
        <f t="shared" si="46"/>
        <v/>
      </c>
      <c r="BO81" s="102" t="str">
        <f t="shared" si="47"/>
        <v/>
      </c>
      <c r="BP81" s="102" t="str">
        <f t="shared" si="48"/>
        <v/>
      </c>
      <c r="BQ81" s="102" t="str">
        <f t="shared" si="49"/>
        <v/>
      </c>
      <c r="BR81" s="102" t="str">
        <f t="shared" si="50"/>
        <v/>
      </c>
      <c r="BS81" s="102" t="str">
        <f t="shared" si="51"/>
        <v/>
      </c>
      <c r="BT81" s="102" t="str">
        <f t="shared" si="52"/>
        <v/>
      </c>
      <c r="BU81" s="101" t="str">
        <f t="shared" si="53"/>
        <v/>
      </c>
      <c r="BV81" s="296" t="str">
        <f t="shared" si="54"/>
        <v/>
      </c>
      <c r="BW81" s="102" t="s">
        <v>207</v>
      </c>
      <c r="BX81" s="102">
        <f>BQ64</f>
        <v>0</v>
      </c>
    </row>
    <row r="82" spans="1:76" s="27" customFormat="1" ht="15.6">
      <c r="B82" s="106">
        <v>17</v>
      </c>
      <c r="C82" s="150" t="str">
        <f t="shared" si="17"/>
        <v/>
      </c>
      <c r="D82" s="151" t="str">
        <f t="shared" si="18"/>
        <v/>
      </c>
      <c r="E82" s="259" t="str">
        <f t="shared" si="23"/>
        <v/>
      </c>
      <c r="F82" s="534"/>
      <c r="G82" s="535"/>
      <c r="H82" s="241" t="str">
        <f t="shared" si="24"/>
        <v/>
      </c>
      <c r="I82" s="326" t="str">
        <f t="shared" si="19"/>
        <v/>
      </c>
      <c r="J82" s="735" t="str">
        <f>IF(F82="","",VLOOKUP(F82,'11. Condition and Temporal'!$B$6:$F$101,5,FALSE))</f>
        <v/>
      </c>
      <c r="K82" s="735"/>
      <c r="L82" s="192" t="str">
        <f t="shared" si="25"/>
        <v/>
      </c>
      <c r="M82" s="553" t="str">
        <f t="shared" si="26"/>
        <v/>
      </c>
      <c r="N82" s="699"/>
      <c r="O82" s="79"/>
      <c r="P82" s="12"/>
      <c r="R82" s="568"/>
      <c r="U82" s="286" t="str">
        <f t="shared" si="27"/>
        <v/>
      </c>
      <c r="V82" s="145" t="str">
        <f t="shared" si="28"/>
        <v/>
      </c>
      <c r="W82" s="146" t="str">
        <f t="shared" si="28"/>
        <v/>
      </c>
      <c r="X82" s="145" t="str">
        <f t="shared" si="28"/>
        <v/>
      </c>
      <c r="Y82" s="146" t="str">
        <f t="shared" si="28"/>
        <v/>
      </c>
      <c r="Z82" s="145" t="str">
        <f t="shared" si="28"/>
        <v/>
      </c>
      <c r="AA82" s="147" t="str">
        <f t="shared" si="28"/>
        <v/>
      </c>
      <c r="AB82" s="146" t="str">
        <f t="shared" si="28"/>
        <v/>
      </c>
      <c r="AC82" s="145" t="str">
        <f t="shared" si="28"/>
        <v/>
      </c>
      <c r="AD82" s="147" t="str">
        <f t="shared" si="29"/>
        <v/>
      </c>
      <c r="AE82" s="146" t="str">
        <f t="shared" si="55"/>
        <v/>
      </c>
      <c r="AF82" s="288" t="str">
        <f t="shared" si="30"/>
        <v/>
      </c>
      <c r="AG82" s="144" t="str">
        <f t="shared" si="31"/>
        <v/>
      </c>
      <c r="AH82" s="145" t="str">
        <f>IF(D82="","",VLOOKUP(F82,'10. All Habitats + Multipliers'!$C$4:$K$99,5,FALSE))</f>
        <v/>
      </c>
      <c r="AI82" s="146" t="str">
        <f>IF(AH82="","",VLOOKUP(AH82,'12. Lists'!$B$47:$D$49,2,FALSE))</f>
        <v/>
      </c>
      <c r="AJ82" s="145" t="str">
        <f t="shared" si="32"/>
        <v/>
      </c>
      <c r="AK82" s="146" t="str">
        <f>IF(AJ82="","",VLOOKUP(AJ82,'12. Lists'!$F$47:$G$51,2,FALSE))</f>
        <v/>
      </c>
      <c r="AL82" s="145" t="str">
        <f>IF(D82="","",VLOOKUP(F82,'10. All Habitats + Multipliers'!$C$4:$K$99,9,FALSE))</f>
        <v/>
      </c>
      <c r="AM82" s="147" t="str">
        <f>IF(AL82="","",VLOOKUP(AL82,'12. Lists'!$B$36:$D$39,2,FALSE))</f>
        <v/>
      </c>
      <c r="AN82" s="146" t="str">
        <f>IF(AL82="","",VLOOKUP(AL82,'12. Lists'!$B$36:$D$39,3,FALSE))</f>
        <v/>
      </c>
      <c r="AO82" s="145" t="str">
        <f t="shared" si="22"/>
        <v/>
      </c>
      <c r="AP82" s="147" t="str">
        <f>IF(AO82="","",VLOOKUP(AO82,'12. Lists'!$F$36:$H$38,2,FALSE))</f>
        <v/>
      </c>
      <c r="AQ82" s="146" t="str">
        <f>IF(AO82="","",VLOOKUP(AO82,'12. Lists'!$F$36:$H$38,3,FALSE))</f>
        <v/>
      </c>
      <c r="AR82" s="145" t="str">
        <f>IF(D82="","",VLOOKUP(F82,'11. Condition and Temporal'!$B$6:$J$101,9,FALSE))</f>
        <v/>
      </c>
      <c r="AS82" s="149" t="str">
        <f>IF(AR82="","",VLOOKUP(AR82,'12. Lists'!$I$47:$K$80,3,FALSE))</f>
        <v/>
      </c>
      <c r="AT82" s="175" t="str">
        <f>IF(D82="","",VLOOKUP(F82,'11. Condition and Temporal'!$B$6:$K$104,10,FALSE))</f>
        <v/>
      </c>
      <c r="AU82" s="149" t="str">
        <f>IF(AT82="","",VLOOKUP(AT82,'12. Lists'!$I$47:$K$80,3,FALSE))</f>
        <v/>
      </c>
      <c r="AV82" s="148" t="str">
        <f>IF(D82="","",VLOOKUP(F82,'10. All Habitats + Multipliers'!$C$4:$K$99,8,FALSE))</f>
        <v/>
      </c>
      <c r="AW82" s="146" t="str">
        <f>IF(AV82="","",VLOOKUP(AV82,'12. Lists'!$J$35:$K$38,2,FALSE))</f>
        <v/>
      </c>
      <c r="AX82" s="145" t="str">
        <f>IF(D82="","",VLOOKUP(D82,'11. Condition and Temporal'!$B$6:$K$101,4,FALSE))</f>
        <v/>
      </c>
      <c r="AY82" s="146" t="str">
        <f t="shared" si="33"/>
        <v/>
      </c>
      <c r="AZ82" s="327"/>
      <c r="BA82" s="100">
        <v>17</v>
      </c>
      <c r="BB82" s="102" t="str">
        <f t="shared" si="34"/>
        <v/>
      </c>
      <c r="BC82" s="102" t="str">
        <f t="shared" si="35"/>
        <v/>
      </c>
      <c r="BD82" s="102" t="str">
        <f t="shared" si="36"/>
        <v/>
      </c>
      <c r="BE82" s="102" t="str">
        <f t="shared" si="37"/>
        <v/>
      </c>
      <c r="BF82" s="102" t="str">
        <f t="shared" si="38"/>
        <v/>
      </c>
      <c r="BG82" s="102" t="str">
        <f t="shared" si="39"/>
        <v/>
      </c>
      <c r="BH82" s="102" t="str">
        <f t="shared" si="40"/>
        <v/>
      </c>
      <c r="BI82" s="102" t="str">
        <f t="shared" si="41"/>
        <v/>
      </c>
      <c r="BJ82" s="102" t="str">
        <f t="shared" si="42"/>
        <v/>
      </c>
      <c r="BK82" s="102" t="str">
        <f t="shared" si="43"/>
        <v/>
      </c>
      <c r="BL82" s="102" t="str">
        <f t="shared" si="44"/>
        <v/>
      </c>
      <c r="BM82" s="102" t="str">
        <f t="shared" si="45"/>
        <v/>
      </c>
      <c r="BN82" s="102" t="str">
        <f t="shared" si="46"/>
        <v/>
      </c>
      <c r="BO82" s="102" t="str">
        <f t="shared" si="47"/>
        <v/>
      </c>
      <c r="BP82" s="102" t="str">
        <f t="shared" si="48"/>
        <v/>
      </c>
      <c r="BQ82" s="102" t="str">
        <f t="shared" si="49"/>
        <v/>
      </c>
      <c r="BR82" s="102" t="str">
        <f t="shared" si="50"/>
        <v/>
      </c>
      <c r="BS82" s="102" t="str">
        <f t="shared" si="51"/>
        <v/>
      </c>
      <c r="BT82" s="102" t="str">
        <f t="shared" si="52"/>
        <v/>
      </c>
      <c r="BU82" s="101" t="str">
        <f t="shared" si="53"/>
        <v/>
      </c>
      <c r="BV82" s="296" t="str">
        <f t="shared" si="54"/>
        <v/>
      </c>
      <c r="BW82" s="102" t="s">
        <v>208</v>
      </c>
      <c r="BX82" s="102">
        <f>BR64</f>
        <v>0</v>
      </c>
    </row>
    <row r="83" spans="1:76" s="27" customFormat="1" ht="15.6">
      <c r="B83" s="106">
        <v>18</v>
      </c>
      <c r="C83" s="150" t="str">
        <f t="shared" si="17"/>
        <v/>
      </c>
      <c r="D83" s="151" t="str">
        <f t="shared" si="18"/>
        <v/>
      </c>
      <c r="E83" s="259" t="str">
        <f t="shared" si="23"/>
        <v/>
      </c>
      <c r="F83" s="534"/>
      <c r="G83" s="535"/>
      <c r="H83" s="241" t="str">
        <f t="shared" si="24"/>
        <v/>
      </c>
      <c r="I83" s="326" t="str">
        <f t="shared" si="19"/>
        <v/>
      </c>
      <c r="J83" s="735" t="str">
        <f>IF(F83="","",VLOOKUP(F83,'11. Condition and Temporal'!$B$6:$F$101,5,FALSE))</f>
        <v/>
      </c>
      <c r="K83" s="735"/>
      <c r="L83" s="192" t="str">
        <f t="shared" si="25"/>
        <v/>
      </c>
      <c r="M83" s="553" t="str">
        <f t="shared" si="26"/>
        <v/>
      </c>
      <c r="N83" s="699"/>
      <c r="O83" s="79"/>
      <c r="P83" s="12"/>
      <c r="R83" s="568"/>
      <c r="U83" s="286" t="str">
        <f t="shared" si="27"/>
        <v/>
      </c>
      <c r="V83" s="145" t="str">
        <f t="shared" ref="V83:AC85" si="56">IF($D83="","",U28)</f>
        <v/>
      </c>
      <c r="W83" s="146" t="str">
        <f t="shared" si="56"/>
        <v/>
      </c>
      <c r="X83" s="145" t="str">
        <f t="shared" si="56"/>
        <v/>
      </c>
      <c r="Y83" s="146" t="str">
        <f t="shared" si="56"/>
        <v/>
      </c>
      <c r="Z83" s="145" t="str">
        <f t="shared" si="56"/>
        <v/>
      </c>
      <c r="AA83" s="147" t="str">
        <f t="shared" si="56"/>
        <v/>
      </c>
      <c r="AB83" s="146" t="str">
        <f t="shared" si="56"/>
        <v/>
      </c>
      <c r="AC83" s="145" t="str">
        <f t="shared" si="56"/>
        <v/>
      </c>
      <c r="AD83" s="147" t="str">
        <f t="shared" si="29"/>
        <v/>
      </c>
      <c r="AE83" s="146" t="str">
        <f t="shared" si="55"/>
        <v/>
      </c>
      <c r="AF83" s="288" t="str">
        <f t="shared" si="30"/>
        <v/>
      </c>
      <c r="AG83" s="144" t="str">
        <f t="shared" si="31"/>
        <v/>
      </c>
      <c r="AH83" s="145" t="str">
        <f>IF(D83="","",VLOOKUP(F83,'10. All Habitats + Multipliers'!$C$4:$K$99,5,FALSE))</f>
        <v/>
      </c>
      <c r="AI83" s="146" t="str">
        <f>IF(AH83="","",VLOOKUP(AH83,'12. Lists'!$B$47:$D$49,2,FALSE))</f>
        <v/>
      </c>
      <c r="AJ83" s="145" t="str">
        <f t="shared" si="32"/>
        <v/>
      </c>
      <c r="AK83" s="146" t="str">
        <f>IF(AJ83="","",VLOOKUP(AJ83,'12. Lists'!$F$47:$G$51,2,FALSE))</f>
        <v/>
      </c>
      <c r="AL83" s="145" t="str">
        <f>IF(D83="","",VLOOKUP(F83,'10. All Habitats + Multipliers'!$C$4:$K$99,9,FALSE))</f>
        <v/>
      </c>
      <c r="AM83" s="147" t="str">
        <f>IF(AL83="","",VLOOKUP(AL83,'12. Lists'!$B$36:$D$39,2,FALSE))</f>
        <v/>
      </c>
      <c r="AN83" s="146" t="str">
        <f>IF(AL83="","",VLOOKUP(AL83,'12. Lists'!$B$36:$D$39,3,FALSE))</f>
        <v/>
      </c>
      <c r="AO83" s="145" t="str">
        <f t="shared" si="22"/>
        <v/>
      </c>
      <c r="AP83" s="147" t="str">
        <f>IF(AO83="","",VLOOKUP(AO83,'12. Lists'!$F$36:$H$38,2,FALSE))</f>
        <v/>
      </c>
      <c r="AQ83" s="146" t="str">
        <f>IF(AO83="","",VLOOKUP(AO83,'12. Lists'!$F$36:$H$38,3,FALSE))</f>
        <v/>
      </c>
      <c r="AR83" s="145" t="str">
        <f>IF(D83="","",VLOOKUP(F83,'11. Condition and Temporal'!$B$6:$J$101,9,FALSE))</f>
        <v/>
      </c>
      <c r="AS83" s="149" t="str">
        <f>IF(AR83="","",VLOOKUP(AR83,'12. Lists'!$I$47:$K$80,3,FALSE))</f>
        <v/>
      </c>
      <c r="AT83" s="175" t="str">
        <f>IF(D83="","",VLOOKUP(F83,'11. Condition and Temporal'!$B$6:$K$104,10,FALSE))</f>
        <v/>
      </c>
      <c r="AU83" s="149" t="str">
        <f>IF(AT83="","",VLOOKUP(AT83,'12. Lists'!$I$47:$K$80,3,FALSE))</f>
        <v/>
      </c>
      <c r="AV83" s="148" t="str">
        <f>IF(D83="","",VLOOKUP(F83,'10. All Habitats + Multipliers'!$C$4:$K$99,8,FALSE))</f>
        <v/>
      </c>
      <c r="AW83" s="146" t="str">
        <f>IF(AV83="","",VLOOKUP(AV83,'12. Lists'!$J$35:$K$38,2,FALSE))</f>
        <v/>
      </c>
      <c r="AX83" s="145" t="str">
        <f>IF(D83="","",VLOOKUP(D83,'11. Condition and Temporal'!$B$6:$K$101,4,FALSE))</f>
        <v/>
      </c>
      <c r="AY83" s="146" t="str">
        <f t="shared" si="33"/>
        <v/>
      </c>
      <c r="AZ83" s="327"/>
      <c r="BA83" s="100">
        <v>18</v>
      </c>
      <c r="BB83" s="102" t="str">
        <f t="shared" si="34"/>
        <v/>
      </c>
      <c r="BC83" s="102" t="str">
        <f t="shared" si="35"/>
        <v/>
      </c>
      <c r="BD83" s="102" t="str">
        <f t="shared" si="36"/>
        <v/>
      </c>
      <c r="BE83" s="102" t="str">
        <f t="shared" si="37"/>
        <v/>
      </c>
      <c r="BF83" s="102" t="str">
        <f t="shared" si="38"/>
        <v/>
      </c>
      <c r="BG83" s="102" t="str">
        <f t="shared" si="39"/>
        <v/>
      </c>
      <c r="BH83" s="102" t="str">
        <f t="shared" si="40"/>
        <v/>
      </c>
      <c r="BI83" s="102" t="str">
        <f t="shared" si="41"/>
        <v/>
      </c>
      <c r="BJ83" s="102" t="str">
        <f t="shared" si="42"/>
        <v/>
      </c>
      <c r="BK83" s="102" t="str">
        <f t="shared" si="43"/>
        <v/>
      </c>
      <c r="BL83" s="102" t="str">
        <f t="shared" si="44"/>
        <v/>
      </c>
      <c r="BM83" s="102" t="str">
        <f t="shared" si="45"/>
        <v/>
      </c>
      <c r="BN83" s="102" t="str">
        <f t="shared" si="46"/>
        <v/>
      </c>
      <c r="BO83" s="102" t="str">
        <f t="shared" si="47"/>
        <v/>
      </c>
      <c r="BP83" s="102" t="str">
        <f t="shared" si="48"/>
        <v/>
      </c>
      <c r="BQ83" s="102" t="str">
        <f t="shared" si="49"/>
        <v/>
      </c>
      <c r="BR83" s="102" t="str">
        <f t="shared" si="50"/>
        <v/>
      </c>
      <c r="BS83" s="102" t="str">
        <f t="shared" si="51"/>
        <v/>
      </c>
      <c r="BT83" s="102" t="str">
        <f t="shared" si="52"/>
        <v/>
      </c>
      <c r="BU83" s="101" t="str">
        <f t="shared" si="53"/>
        <v/>
      </c>
      <c r="BV83" s="296" t="str">
        <f t="shared" si="54"/>
        <v/>
      </c>
      <c r="BW83" s="102" t="s">
        <v>209</v>
      </c>
      <c r="BX83" s="102">
        <f>BS64</f>
        <v>0</v>
      </c>
    </row>
    <row r="84" spans="1:76" s="27" customFormat="1" ht="15.6">
      <c r="B84" s="106">
        <v>19</v>
      </c>
      <c r="C84" s="150" t="str">
        <f t="shared" si="17"/>
        <v/>
      </c>
      <c r="D84" s="151" t="str">
        <f t="shared" si="18"/>
        <v/>
      </c>
      <c r="E84" s="259" t="str">
        <f t="shared" si="23"/>
        <v/>
      </c>
      <c r="F84" s="534"/>
      <c r="G84" s="535"/>
      <c r="H84" s="241" t="str">
        <f t="shared" si="24"/>
        <v/>
      </c>
      <c r="I84" s="326" t="str">
        <f t="shared" si="19"/>
        <v/>
      </c>
      <c r="J84" s="735" t="str">
        <f>IF(F84="","",VLOOKUP(F84,'11. Condition and Temporal'!$B$6:$F$101,5,FALSE))</f>
        <v/>
      </c>
      <c r="K84" s="735"/>
      <c r="L84" s="192" t="str">
        <f t="shared" si="25"/>
        <v/>
      </c>
      <c r="M84" s="553" t="str">
        <f t="shared" si="26"/>
        <v/>
      </c>
      <c r="N84" s="699"/>
      <c r="O84" s="79"/>
      <c r="P84" s="12"/>
      <c r="R84" s="568"/>
      <c r="U84" s="286" t="str">
        <f t="shared" si="27"/>
        <v/>
      </c>
      <c r="V84" s="145" t="str">
        <f t="shared" si="56"/>
        <v/>
      </c>
      <c r="W84" s="146" t="str">
        <f t="shared" si="56"/>
        <v/>
      </c>
      <c r="X84" s="145" t="str">
        <f t="shared" si="56"/>
        <v/>
      </c>
      <c r="Y84" s="146" t="str">
        <f t="shared" si="56"/>
        <v/>
      </c>
      <c r="Z84" s="145" t="str">
        <f t="shared" si="56"/>
        <v/>
      </c>
      <c r="AA84" s="147" t="str">
        <f t="shared" si="56"/>
        <v/>
      </c>
      <c r="AB84" s="146" t="str">
        <f t="shared" si="56"/>
        <v/>
      </c>
      <c r="AC84" s="145" t="str">
        <f t="shared" si="56"/>
        <v/>
      </c>
      <c r="AD84" s="147" t="str">
        <f t="shared" si="29"/>
        <v/>
      </c>
      <c r="AE84" s="146" t="str">
        <f t="shared" si="55"/>
        <v/>
      </c>
      <c r="AF84" s="288" t="str">
        <f t="shared" si="30"/>
        <v/>
      </c>
      <c r="AG84" s="144" t="str">
        <f t="shared" si="31"/>
        <v/>
      </c>
      <c r="AH84" s="145" t="str">
        <f>IF(D84="","",VLOOKUP(F84,'10. All Habitats + Multipliers'!$C$4:$K$99,5,FALSE))</f>
        <v/>
      </c>
      <c r="AI84" s="146" t="str">
        <f>IF(AH84="","",VLOOKUP(AH84,'12. Lists'!$B$47:$D$49,2,FALSE))</f>
        <v/>
      </c>
      <c r="AJ84" s="145" t="str">
        <f t="shared" si="32"/>
        <v/>
      </c>
      <c r="AK84" s="146" t="str">
        <f>IF(AJ84="","",VLOOKUP(AJ84,'12. Lists'!$F$47:$G$51,2,FALSE))</f>
        <v/>
      </c>
      <c r="AL84" s="145" t="str">
        <f>IF(D84="","",VLOOKUP(F84,'10. All Habitats + Multipliers'!$C$4:$K$99,9,FALSE))</f>
        <v/>
      </c>
      <c r="AM84" s="147" t="str">
        <f>IF(AL84="","",VLOOKUP(AL84,'12. Lists'!$B$36:$D$39,2,FALSE))</f>
        <v/>
      </c>
      <c r="AN84" s="146" t="str">
        <f>IF(AL84="","",VLOOKUP(AL84,'12. Lists'!$B$36:$D$39,3,FALSE))</f>
        <v/>
      </c>
      <c r="AO84" s="145" t="str">
        <f t="shared" si="22"/>
        <v/>
      </c>
      <c r="AP84" s="147" t="str">
        <f>IF(AO84="","",VLOOKUP(AO84,'12. Lists'!$F$36:$H$38,2,FALSE))</f>
        <v/>
      </c>
      <c r="AQ84" s="146" t="str">
        <f>IF(AO84="","",VLOOKUP(AO84,'12. Lists'!$F$36:$H$38,3,FALSE))</f>
        <v/>
      </c>
      <c r="AR84" s="145" t="str">
        <f>IF(D84="","",VLOOKUP(F84,'11. Condition and Temporal'!$B$6:$J$101,9,FALSE))</f>
        <v/>
      </c>
      <c r="AS84" s="149" t="str">
        <f>IF(AR84="","",VLOOKUP(AR84,'12. Lists'!$I$47:$K$80,3,FALSE))</f>
        <v/>
      </c>
      <c r="AT84" s="175" t="str">
        <f>IF(D84="","",VLOOKUP(F84,'11. Condition and Temporal'!$B$6:$K$104,10,FALSE))</f>
        <v/>
      </c>
      <c r="AU84" s="149" t="str">
        <f>IF(AT84="","",VLOOKUP(AT84,'12. Lists'!$I$47:$K$80,3,FALSE))</f>
        <v/>
      </c>
      <c r="AV84" s="148" t="str">
        <f>IF(D84="","",VLOOKUP(F84,'10. All Habitats + Multipliers'!$C$4:$K$99,8,FALSE))</f>
        <v/>
      </c>
      <c r="AW84" s="146" t="str">
        <f>IF(AV84="","",VLOOKUP(AV84,'12. Lists'!$J$35:$K$38,2,FALSE))</f>
        <v/>
      </c>
      <c r="AX84" s="145" t="str">
        <f>IF(D84="","",VLOOKUP(D84,'11. Condition and Temporal'!$B$6:$K$101,4,FALSE))</f>
        <v/>
      </c>
      <c r="AY84" s="146" t="str">
        <f t="shared" si="33"/>
        <v/>
      </c>
      <c r="AZ84" s="327"/>
      <c r="BA84" s="100">
        <v>19</v>
      </c>
      <c r="BB84" s="102" t="str">
        <f t="shared" si="34"/>
        <v/>
      </c>
      <c r="BC84" s="102" t="str">
        <f t="shared" si="35"/>
        <v/>
      </c>
      <c r="BD84" s="102" t="str">
        <f t="shared" si="36"/>
        <v/>
      </c>
      <c r="BE84" s="102" t="str">
        <f t="shared" si="37"/>
        <v/>
      </c>
      <c r="BF84" s="102" t="str">
        <f t="shared" si="38"/>
        <v/>
      </c>
      <c r="BG84" s="102" t="str">
        <f t="shared" si="39"/>
        <v/>
      </c>
      <c r="BH84" s="102" t="str">
        <f t="shared" si="40"/>
        <v/>
      </c>
      <c r="BI84" s="102" t="str">
        <f t="shared" si="41"/>
        <v/>
      </c>
      <c r="BJ84" s="102" t="str">
        <f t="shared" si="42"/>
        <v/>
      </c>
      <c r="BK84" s="102" t="str">
        <f t="shared" si="43"/>
        <v/>
      </c>
      <c r="BL84" s="102" t="str">
        <f t="shared" si="44"/>
        <v/>
      </c>
      <c r="BM84" s="102" t="str">
        <f t="shared" si="45"/>
        <v/>
      </c>
      <c r="BN84" s="102" t="str">
        <f t="shared" si="46"/>
        <v/>
      </c>
      <c r="BO84" s="102" t="str">
        <f t="shared" si="47"/>
        <v/>
      </c>
      <c r="BP84" s="102" t="str">
        <f t="shared" si="48"/>
        <v/>
      </c>
      <c r="BQ84" s="102" t="str">
        <f t="shared" si="49"/>
        <v/>
      </c>
      <c r="BR84" s="102" t="str">
        <f t="shared" si="50"/>
        <v/>
      </c>
      <c r="BS84" s="102" t="str">
        <f t="shared" si="51"/>
        <v/>
      </c>
      <c r="BT84" s="102" t="str">
        <f t="shared" si="52"/>
        <v/>
      </c>
      <c r="BU84" s="101" t="str">
        <f t="shared" si="53"/>
        <v/>
      </c>
      <c r="BV84" s="296" t="str">
        <f t="shared" si="54"/>
        <v/>
      </c>
      <c r="BW84" s="102" t="s">
        <v>210</v>
      </c>
      <c r="BX84" s="102">
        <f>BT64</f>
        <v>0</v>
      </c>
    </row>
    <row r="85" spans="1:76" s="27" customFormat="1" ht="16.149999999999999" thickBot="1">
      <c r="B85" s="108">
        <v>20</v>
      </c>
      <c r="C85" s="180" t="str">
        <f t="shared" si="17"/>
        <v/>
      </c>
      <c r="D85" s="181" t="str">
        <f t="shared" si="18"/>
        <v/>
      </c>
      <c r="E85" s="261" t="str">
        <f t="shared" si="23"/>
        <v/>
      </c>
      <c r="F85" s="538"/>
      <c r="G85" s="539"/>
      <c r="H85" s="365" t="str">
        <f t="shared" si="24"/>
        <v/>
      </c>
      <c r="I85" s="366" t="str">
        <f t="shared" si="19"/>
        <v/>
      </c>
      <c r="J85" s="736" t="str">
        <f>IF(F85="","",VLOOKUP(F85,'11. Condition and Temporal'!$B$6:$F$101,5,FALSE))</f>
        <v/>
      </c>
      <c r="K85" s="736"/>
      <c r="L85" s="192" t="str">
        <f t="shared" si="25"/>
        <v/>
      </c>
      <c r="M85" s="737" t="str">
        <f t="shared" si="26"/>
        <v/>
      </c>
      <c r="N85" s="738"/>
      <c r="O85" s="80"/>
      <c r="P85" s="14"/>
      <c r="R85" s="568"/>
      <c r="U85" s="286" t="str">
        <f t="shared" si="27"/>
        <v/>
      </c>
      <c r="V85" s="145" t="str">
        <f t="shared" si="56"/>
        <v/>
      </c>
      <c r="W85" s="146" t="str">
        <f t="shared" si="56"/>
        <v/>
      </c>
      <c r="X85" s="145" t="str">
        <f t="shared" si="56"/>
        <v/>
      </c>
      <c r="Y85" s="146" t="str">
        <f t="shared" si="56"/>
        <v/>
      </c>
      <c r="Z85" s="145" t="str">
        <f t="shared" si="56"/>
        <v/>
      </c>
      <c r="AA85" s="147" t="str">
        <f t="shared" si="56"/>
        <v/>
      </c>
      <c r="AB85" s="146" t="str">
        <f t="shared" si="56"/>
        <v/>
      </c>
      <c r="AC85" s="145" t="str">
        <f t="shared" si="56"/>
        <v/>
      </c>
      <c r="AD85" s="147" t="str">
        <f t="shared" si="29"/>
        <v/>
      </c>
      <c r="AE85" s="146" t="str">
        <f t="shared" si="55"/>
        <v/>
      </c>
      <c r="AF85" s="288" t="str">
        <f t="shared" si="30"/>
        <v/>
      </c>
      <c r="AG85" s="144" t="str">
        <f t="shared" si="31"/>
        <v/>
      </c>
      <c r="AH85" s="145" t="str">
        <f>IF(D85="","",VLOOKUP(F85,'10. All Habitats + Multipliers'!$C$4:$K$99,5,FALSE))</f>
        <v/>
      </c>
      <c r="AI85" s="146" t="str">
        <f>IF(AH85="","",VLOOKUP(AH85,'12. Lists'!$B$47:$D$49,2,FALSE))</f>
        <v/>
      </c>
      <c r="AJ85" s="145" t="str">
        <f t="shared" si="32"/>
        <v/>
      </c>
      <c r="AK85" s="146" t="str">
        <f>IF(AJ85="","",VLOOKUP(AJ85,'12. Lists'!$F$47:$G$51,2,FALSE))</f>
        <v/>
      </c>
      <c r="AL85" s="145" t="str">
        <f>IF(D85="","",VLOOKUP(F85,'10. All Habitats + Multipliers'!$C$4:$K$99,9,FALSE))</f>
        <v/>
      </c>
      <c r="AM85" s="147" t="str">
        <f>IF(AL85="","",VLOOKUP(AL85,'12. Lists'!$B$36:$D$39,2,FALSE))</f>
        <v/>
      </c>
      <c r="AN85" s="146" t="str">
        <f>IF(AL85="","",VLOOKUP(AL85,'12. Lists'!$B$36:$D$39,3,FALSE))</f>
        <v/>
      </c>
      <c r="AO85" s="145" t="str">
        <f t="shared" si="22"/>
        <v/>
      </c>
      <c r="AP85" s="147" t="str">
        <f>IF(AO85="","",VLOOKUP(AO85,'12. Lists'!$F$36:$H$38,2,FALSE))</f>
        <v/>
      </c>
      <c r="AQ85" s="146" t="str">
        <f>IF(AO85="","",VLOOKUP(AO85,'12. Lists'!$F$36:$H$38,3,FALSE))</f>
        <v/>
      </c>
      <c r="AR85" s="145" t="str">
        <f>IF(D85="","",VLOOKUP(F85,'11. Condition and Temporal'!$B$6:$J$101,9,FALSE))</f>
        <v/>
      </c>
      <c r="AS85" s="149" t="str">
        <f>IF(AR85="","",VLOOKUP(AR85,'12. Lists'!$I$47:$K$80,3,FALSE))</f>
        <v/>
      </c>
      <c r="AT85" s="175" t="str">
        <f>IF(D85="","",VLOOKUP(F85,'11. Condition and Temporal'!$B$6:$K$104,10,FALSE))</f>
        <v/>
      </c>
      <c r="AU85" s="149" t="str">
        <f>IF(AT85="","",VLOOKUP(AT85,'12. Lists'!$I$47:$K$80,3,FALSE))</f>
        <v/>
      </c>
      <c r="AV85" s="148" t="str">
        <f>IF(D85="","",VLOOKUP(F85,'10. All Habitats + Multipliers'!$C$4:$K$99,8,FALSE))</f>
        <v/>
      </c>
      <c r="AW85" s="146" t="str">
        <f>IF(AV85="","",VLOOKUP(AV85,'12. Lists'!$J$35:$K$38,2,FALSE))</f>
        <v/>
      </c>
      <c r="AX85" s="145" t="str">
        <f>IF(D85="","",VLOOKUP(D85,'11. Condition and Temporal'!$B$6:$K$101,4,FALSE))</f>
        <v/>
      </c>
      <c r="AY85" s="146" t="str">
        <f t="shared" si="33"/>
        <v/>
      </c>
      <c r="AZ85" s="327"/>
      <c r="BA85" s="116">
        <v>20</v>
      </c>
      <c r="BB85" s="102" t="str">
        <f t="shared" si="34"/>
        <v/>
      </c>
      <c r="BC85" s="102" t="str">
        <f t="shared" si="35"/>
        <v/>
      </c>
      <c r="BD85" s="102" t="str">
        <f t="shared" si="36"/>
        <v/>
      </c>
      <c r="BE85" s="102" t="str">
        <f t="shared" si="37"/>
        <v/>
      </c>
      <c r="BF85" s="102" t="str">
        <f t="shared" si="38"/>
        <v/>
      </c>
      <c r="BG85" s="102" t="str">
        <f t="shared" si="39"/>
        <v/>
      </c>
      <c r="BH85" s="102" t="str">
        <f t="shared" si="40"/>
        <v/>
      </c>
      <c r="BI85" s="102" t="str">
        <f t="shared" si="41"/>
        <v/>
      </c>
      <c r="BJ85" s="102" t="str">
        <f t="shared" si="42"/>
        <v/>
      </c>
      <c r="BK85" s="102" t="str">
        <f t="shared" si="43"/>
        <v/>
      </c>
      <c r="BL85" s="102" t="str">
        <f t="shared" si="44"/>
        <v/>
      </c>
      <c r="BM85" s="102" t="str">
        <f t="shared" si="45"/>
        <v/>
      </c>
      <c r="BN85" s="102" t="str">
        <f t="shared" si="46"/>
        <v/>
      </c>
      <c r="BO85" s="102" t="str">
        <f t="shared" si="47"/>
        <v/>
      </c>
      <c r="BP85" s="102" t="str">
        <f t="shared" si="48"/>
        <v/>
      </c>
      <c r="BQ85" s="102" t="str">
        <f t="shared" si="49"/>
        <v/>
      </c>
      <c r="BR85" s="102" t="str">
        <f t="shared" si="50"/>
        <v/>
      </c>
      <c r="BS85" s="102" t="str">
        <f t="shared" si="51"/>
        <v/>
      </c>
      <c r="BT85" s="102" t="str">
        <f t="shared" si="52"/>
        <v/>
      </c>
      <c r="BU85" s="101" t="str">
        <f t="shared" si="53"/>
        <v/>
      </c>
      <c r="BV85" s="296" t="str">
        <f t="shared" si="54"/>
        <v/>
      </c>
      <c r="BW85" s="102" t="s">
        <v>211</v>
      </c>
      <c r="BX85" s="102">
        <f>BU64</f>
        <v>0</v>
      </c>
    </row>
    <row r="86" spans="1:76" s="27" customFormat="1" ht="15" thickBot="1">
      <c r="H86" s="189" t="s">
        <v>262</v>
      </c>
      <c r="I86" s="367">
        <f>SUM(I66:I85)</f>
        <v>0</v>
      </c>
      <c r="J86" s="368"/>
      <c r="K86" s="369"/>
      <c r="L86" s="215">
        <f>SUM(L66:L85)</f>
        <v>0</v>
      </c>
      <c r="M86" s="657">
        <f>SUM(M66:N85)</f>
        <v>0</v>
      </c>
      <c r="N86" s="527"/>
      <c r="R86" s="568"/>
    </row>
    <row r="87" spans="1:76" s="27" customFormat="1">
      <c r="C87" s="28"/>
      <c r="R87" s="568"/>
    </row>
    <row r="88" spans="1:76" s="27" customFormat="1">
      <c r="R88" s="568"/>
    </row>
    <row r="89" spans="1:76" s="27" customFormat="1" ht="19.149999999999999" customHeight="1">
      <c r="R89" s="568"/>
    </row>
    <row r="90" spans="1:76" s="27" customFormat="1">
      <c r="R90" s="568"/>
    </row>
    <row r="91" spans="1:76" s="27" customFormat="1">
      <c r="A91" s="572" t="s">
        <v>228</v>
      </c>
      <c r="B91" s="572"/>
      <c r="C91" s="572"/>
      <c r="D91" s="572"/>
      <c r="E91" s="572"/>
      <c r="F91" s="572"/>
      <c r="G91" s="572"/>
      <c r="H91" s="572"/>
      <c r="I91" s="572"/>
      <c r="J91" s="572"/>
      <c r="K91" s="572"/>
      <c r="L91" s="572"/>
      <c r="M91" s="572"/>
      <c r="N91" s="572"/>
      <c r="O91" s="572"/>
      <c r="P91" s="572"/>
      <c r="Q91" s="572"/>
      <c r="R91" s="568"/>
    </row>
    <row r="92" spans="1:76" s="27" customFormat="1">
      <c r="A92" s="572"/>
      <c r="B92" s="572"/>
      <c r="C92" s="572"/>
      <c r="D92" s="572"/>
      <c r="E92" s="572"/>
      <c r="F92" s="572"/>
      <c r="G92" s="572"/>
      <c r="H92" s="572"/>
      <c r="I92" s="572"/>
      <c r="J92" s="572"/>
      <c r="K92" s="572"/>
      <c r="L92" s="572"/>
      <c r="M92" s="572"/>
      <c r="N92" s="572"/>
      <c r="O92" s="572"/>
      <c r="P92" s="572"/>
      <c r="Q92" s="572"/>
      <c r="R92" s="568"/>
    </row>
    <row r="93" spans="1:76" s="27" customFormat="1">
      <c r="A93" s="572"/>
      <c r="B93" s="572"/>
      <c r="C93" s="572"/>
      <c r="D93" s="572"/>
      <c r="E93" s="572"/>
      <c r="F93" s="572"/>
      <c r="G93" s="572"/>
      <c r="H93" s="572"/>
      <c r="I93" s="572"/>
      <c r="J93" s="572"/>
      <c r="K93" s="572"/>
      <c r="L93" s="572"/>
      <c r="M93" s="572"/>
      <c r="N93" s="572"/>
      <c r="O93" s="572"/>
      <c r="P93" s="572"/>
      <c r="Q93" s="572"/>
      <c r="R93" s="568"/>
    </row>
    <row r="94" spans="1:76" s="27" customFormat="1">
      <c r="R94" s="568"/>
    </row>
    <row r="95" spans="1:76" s="27" customFormat="1" ht="21">
      <c r="B95" s="62" t="s">
        <v>229</v>
      </c>
      <c r="D95" s="28"/>
      <c r="E95" s="28"/>
      <c r="F95" s="28"/>
      <c r="G95" s="28"/>
      <c r="R95" s="568"/>
    </row>
    <row r="96" spans="1:76" s="27" customFormat="1" ht="15" thickBot="1">
      <c r="R96" s="568"/>
    </row>
    <row r="97" spans="2:18" s="27" customFormat="1" ht="36.6" customHeight="1">
      <c r="B97" s="585" t="s">
        <v>230</v>
      </c>
      <c r="C97" s="586"/>
      <c r="D97" s="587"/>
      <c r="E97" s="566" t="str">
        <f>IF(SUM(J103:J104)&gt;0,"Error - Trading Rules Not Satisfied - Insufficent Medium Distinctivness Units Created","Trading Rules Satisfied")</f>
        <v>Trading Rules Satisfied</v>
      </c>
      <c r="F97" s="566"/>
      <c r="G97" s="566"/>
      <c r="H97" s="566"/>
      <c r="I97" s="567"/>
      <c r="J97" s="230">
        <f>IFERROR(FIND("Error",E97),0)</f>
        <v>0</v>
      </c>
      <c r="R97" s="568"/>
    </row>
    <row r="98" spans="2:18" s="27" customFormat="1" ht="36" customHeight="1" thickBot="1">
      <c r="B98" s="573" t="s">
        <v>231</v>
      </c>
      <c r="C98" s="574"/>
      <c r="D98" s="575"/>
      <c r="E98" s="564" t="str">
        <f>IF(SUM(J107:J109)&gt;0,"Error - Trading Rules Not Satisfied - Insufficent Units Created Within Habitat Groups","Trading Rules Satisfied")</f>
        <v>Trading Rules Satisfied</v>
      </c>
      <c r="F98" s="564"/>
      <c r="G98" s="564"/>
      <c r="H98" s="564"/>
      <c r="I98" s="565"/>
      <c r="J98" s="230">
        <f>IFERROR(FIND("Error",E98),0)</f>
        <v>0</v>
      </c>
      <c r="R98" s="568"/>
    </row>
    <row r="99" spans="2:18" s="27" customFormat="1">
      <c r="R99" s="568"/>
    </row>
    <row r="100" spans="2:18" s="27" customFormat="1" ht="21">
      <c r="B100" s="62" t="s">
        <v>232</v>
      </c>
      <c r="R100" s="568"/>
    </row>
    <row r="101" spans="2:18" s="27" customFormat="1" ht="15" thickBot="1">
      <c r="R101" s="568"/>
    </row>
    <row r="102" spans="2:18" s="27" customFormat="1" ht="36.6" customHeight="1">
      <c r="B102" s="625" t="s">
        <v>233</v>
      </c>
      <c r="C102" s="626"/>
      <c r="D102" s="626"/>
      <c r="E102" s="350" t="s">
        <v>234</v>
      </c>
      <c r="F102" s="350" t="s">
        <v>235</v>
      </c>
      <c r="G102" s="350" t="s">
        <v>236</v>
      </c>
      <c r="H102" s="350" t="s">
        <v>237</v>
      </c>
      <c r="I102" s="154" t="s">
        <v>238</v>
      </c>
      <c r="J102" s="230" t="s">
        <v>267</v>
      </c>
      <c r="R102" s="568"/>
    </row>
    <row r="103" spans="2:18" s="27" customFormat="1" ht="15.6" customHeight="1">
      <c r="B103" s="627" t="s">
        <v>270</v>
      </c>
      <c r="C103" s="628"/>
      <c r="D103" s="629"/>
      <c r="E103" s="155" t="s">
        <v>240</v>
      </c>
      <c r="F103" s="156">
        <f>SUMIFS($L$11:$L$30,$C$11:$C$30,$B103,$U$11:$U$30,$E103)</f>
        <v>0</v>
      </c>
      <c r="G103" s="429">
        <f>SUMIFS($L$39:$L$58,$C$39:$C$58,$B103,$U$39:$U$58,$E103)+SUMIFS($L$66:$L$85,$C$66:$C$85,B103,$AH$66:$AH$85,E103)+SUMIFS($AE$11:$AE$30,$C$11:$C$30,B103,$U$11:$U$30,E103)</f>
        <v>0</v>
      </c>
      <c r="H103" s="156">
        <f t="shared" ref="H103:H104" si="57">G103-F103</f>
        <v>0</v>
      </c>
      <c r="I103" s="157" t="s">
        <v>241</v>
      </c>
      <c r="J103" s="230">
        <f t="shared" ref="J103:J104" si="58">IF(I103="No",1,0)</f>
        <v>0</v>
      </c>
      <c r="R103" s="568"/>
    </row>
    <row r="104" spans="2:18" s="27" customFormat="1" ht="15.6" customHeight="1" thickBot="1">
      <c r="B104" s="642"/>
      <c r="C104" s="643"/>
      <c r="D104" s="700"/>
      <c r="E104" s="361" t="s">
        <v>242</v>
      </c>
      <c r="F104" s="362">
        <f>SUMIFS($L$11:$L$30,$C$11:$C$30,$B103,$U$11:$U$30,$E104)</f>
        <v>0</v>
      </c>
      <c r="G104" s="362">
        <f>SUMIFS($L$39:$L$58,$C$39:$C$58,$B103,$U$39:$U$58,$E104)+SUMIFS($L$66:$L$85,$C$66:$C$85,B103,$AH$66:$AH$85,E104)+SUMIFS($AE$11:$AE$30,$C$11:$C$30,B103,$U$11:$U$30,E104)</f>
        <v>0</v>
      </c>
      <c r="H104" s="362">
        <f t="shared" si="57"/>
        <v>0</v>
      </c>
      <c r="I104" s="363" t="str">
        <f t="shared" ref="I104" si="59">IF(F104=0,"N/A",IF(H104&lt;0,"No","Yes"))</f>
        <v>N/A</v>
      </c>
      <c r="J104" s="230">
        <f t="shared" si="58"/>
        <v>0</v>
      </c>
      <c r="R104" s="568"/>
    </row>
    <row r="105" spans="2:18" s="27" customFormat="1" ht="15.6" customHeight="1" thickBot="1">
      <c r="J105" s="230"/>
      <c r="M105" s="28"/>
      <c r="R105" s="568"/>
    </row>
    <row r="106" spans="2:18" s="27" customFormat="1" ht="36">
      <c r="B106" s="585" t="s">
        <v>234</v>
      </c>
      <c r="C106" s="586"/>
      <c r="D106" s="586"/>
      <c r="E106" s="587"/>
      <c r="F106" s="160" t="s">
        <v>235</v>
      </c>
      <c r="G106" s="160" t="s">
        <v>236</v>
      </c>
      <c r="H106" s="160" t="s">
        <v>237</v>
      </c>
      <c r="I106" s="161" t="s">
        <v>238</v>
      </c>
      <c r="J106" s="230"/>
      <c r="M106" s="28"/>
      <c r="R106" s="568"/>
    </row>
    <row r="107" spans="2:18" s="27" customFormat="1" ht="30.6" customHeight="1">
      <c r="B107" s="636" t="s">
        <v>249</v>
      </c>
      <c r="C107" s="637"/>
      <c r="D107" s="637"/>
      <c r="E107" s="638"/>
      <c r="F107" s="156">
        <f>SUMIFS($L$11:$L$30,$U$11:$U$30,"Medium")</f>
        <v>0</v>
      </c>
      <c r="G107" s="229">
        <f>IF(I59+I86+P1=0,0,SUMIFS($L$39:$L$58,$U$39:$U$58,"Medium")+SUMIFS($L$66:$L$85,$AH$66:$AH$85,"Medium")+SUMIFS($AE$11:$AE$30,$U$11:$U$30,"Medium"))</f>
        <v>0</v>
      </c>
      <c r="H107" s="156">
        <f>G107-F107</f>
        <v>0</v>
      </c>
      <c r="I107" s="343" t="str">
        <f>IF(H107&gt;=0,"Yes","No")</f>
        <v>Yes</v>
      </c>
      <c r="J107" s="230">
        <f>IF(I107="No",1,0)</f>
        <v>0</v>
      </c>
      <c r="R107" s="568" t="s">
        <v>73</v>
      </c>
    </row>
    <row r="108" spans="2:18" s="27" customFormat="1" ht="30.6" customHeight="1">
      <c r="B108" s="636" t="s">
        <v>250</v>
      </c>
      <c r="C108" s="637"/>
      <c r="D108" s="637"/>
      <c r="E108" s="638"/>
      <c r="F108" s="156">
        <f>SUMIFS($L$11:$L$30,$U$11:$U$30,"Low")</f>
        <v>0</v>
      </c>
      <c r="G108" s="156">
        <f>IF(I59+I86+P1=0,0,SUMIFS($L$39:$L$58,$U$39:$U$58,"Low")+SUMIFS($N$66:$N$85,$AH$66:$AH$85,"Low")+SUMIFS($AE$11:$AE$30,$U$11:$U$30,"Low"))</f>
        <v>0</v>
      </c>
      <c r="H108" s="156">
        <f>G108-F108</f>
        <v>0</v>
      </c>
      <c r="I108" s="343" t="str">
        <f>IF(H108+H107&gt;=0,"Yes","No")</f>
        <v>Yes</v>
      </c>
      <c r="J108" s="230">
        <f>IF(I108="No",1,0)</f>
        <v>0</v>
      </c>
      <c r="R108" s="568"/>
    </row>
    <row r="109" spans="2:18" s="27" customFormat="1" ht="29.45" customHeight="1" thickBot="1">
      <c r="B109" s="639" t="s">
        <v>251</v>
      </c>
      <c r="C109" s="640"/>
      <c r="D109" s="640"/>
      <c r="E109" s="641"/>
      <c r="F109" s="633">
        <f>H107+H108</f>
        <v>0</v>
      </c>
      <c r="G109" s="634"/>
      <c r="H109" s="635"/>
      <c r="I109" s="344" t="str">
        <f>IF(F109&gt;=0,"Yes","No")</f>
        <v>Yes</v>
      </c>
      <c r="J109" s="230">
        <f>IF(I109="No",1,0)</f>
        <v>0</v>
      </c>
      <c r="R109" s="568"/>
    </row>
    <row r="110" spans="2:18" s="27" customFormat="1">
      <c r="R110" s="568"/>
    </row>
    <row r="111" spans="2:18" s="27" customFormat="1">
      <c r="R111" s="568"/>
    </row>
    <row r="112" spans="2:18" s="27" customFormat="1">
      <c r="R112" s="568"/>
    </row>
    <row r="113" spans="18:18" s="27" customFormat="1">
      <c r="R113" s="568"/>
    </row>
    <row r="114" spans="18:18" s="27" customFormat="1">
      <c r="R114" s="568"/>
    </row>
    <row r="115" spans="18:18" s="27" customFormat="1">
      <c r="R115" s="568"/>
    </row>
    <row r="116" spans="18:18" s="27" customFormat="1">
      <c r="R116" s="568"/>
    </row>
    <row r="117" spans="18:18" s="27" customFormat="1">
      <c r="R117" s="568"/>
    </row>
    <row r="118" spans="18:18" s="27" customFormat="1">
      <c r="R118" s="568"/>
    </row>
    <row r="119" spans="18:18" s="27" customFormat="1">
      <c r="R119" s="568"/>
    </row>
    <row r="120" spans="18:18" s="27" customFormat="1">
      <c r="R120" s="568"/>
    </row>
    <row r="121" spans="18:18" s="27" customFormat="1">
      <c r="R121" s="568"/>
    </row>
    <row r="122" spans="18:18" s="27" customFormat="1">
      <c r="R122" s="568"/>
    </row>
    <row r="123" spans="18:18" s="27" customFormat="1">
      <c r="R123" s="568"/>
    </row>
    <row r="124" spans="18:18" s="27" customFormat="1">
      <c r="R124" s="568"/>
    </row>
    <row r="125" spans="18:18" s="27" customFormat="1">
      <c r="R125" s="568"/>
    </row>
    <row r="126" spans="18:18" s="27" customFormat="1">
      <c r="R126" s="568"/>
    </row>
    <row r="127" spans="18:18" s="27" customFormat="1">
      <c r="R127" s="568"/>
    </row>
    <row r="128" spans="18:18" s="27" customFormat="1">
      <c r="R128" s="568"/>
    </row>
    <row r="129" spans="18:18" s="27" customFormat="1">
      <c r="R129" s="568"/>
    </row>
    <row r="130" spans="18:18" s="27" customFormat="1">
      <c r="R130" s="568"/>
    </row>
    <row r="131" spans="18:18" s="27" customFormat="1">
      <c r="R131" s="568"/>
    </row>
    <row r="132" spans="18:18" s="27" customFormat="1">
      <c r="R132" s="568"/>
    </row>
    <row r="133" spans="18:18" s="27" customFormat="1">
      <c r="R133" s="568"/>
    </row>
    <row r="134" spans="18:18" s="27" customFormat="1">
      <c r="R134" s="568"/>
    </row>
    <row r="135" spans="18:18" s="27" customFormat="1">
      <c r="R135" s="568"/>
    </row>
    <row r="136" spans="18:18" s="27" customFormat="1">
      <c r="R136" s="568"/>
    </row>
    <row r="137" spans="18:18" s="27" customFormat="1">
      <c r="R137" s="568"/>
    </row>
    <row r="138" spans="18:18" s="27" customFormat="1">
      <c r="R138" s="568"/>
    </row>
  </sheetData>
  <sheetProtection algorithmName="SHA-512" hashValue="A1May5yX1VG1DbCvNdGeq4pL6AE02k7+UBWlbasdeYG3wVuzqSvWoCfZ6b+RsSrpHIN/Pw5/hu2w4y8KhzO5yA==" saltValue="0BF+SDLyXVUwO78y3zKL2A==" spinCount="100000" sheet="1" formatRows="0"/>
  <mergeCells count="228">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U9:V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I32:N32"/>
    <mergeCell ref="R34:R62"/>
    <mergeCell ref="O37:P37"/>
    <mergeCell ref="F39:G39"/>
    <mergeCell ref="I39:K39"/>
    <mergeCell ref="L39:N39"/>
    <mergeCell ref="D28:E28"/>
    <mergeCell ref="F28:H28"/>
    <mergeCell ref="D29:E29"/>
    <mergeCell ref="F29:H29"/>
    <mergeCell ref="D30:E30"/>
    <mergeCell ref="F30:H30"/>
    <mergeCell ref="F42:G42"/>
    <mergeCell ref="I42:K42"/>
    <mergeCell ref="L42:N42"/>
    <mergeCell ref="F43:G43"/>
    <mergeCell ref="I43:K43"/>
    <mergeCell ref="L43:N43"/>
    <mergeCell ref="F40:G40"/>
    <mergeCell ref="I40:K40"/>
    <mergeCell ref="L40:N40"/>
    <mergeCell ref="F41:G41"/>
    <mergeCell ref="I41:K41"/>
    <mergeCell ref="L41:N41"/>
    <mergeCell ref="U37:V37"/>
    <mergeCell ref="W37:X37"/>
    <mergeCell ref="Y37:AA37"/>
    <mergeCell ref="AB37:AD37"/>
    <mergeCell ref="AE37:AF37"/>
    <mergeCell ref="AG37:AH37"/>
    <mergeCell ref="B37:B38"/>
    <mergeCell ref="C37:D37"/>
    <mergeCell ref="E37:G37"/>
    <mergeCell ref="H37:H38"/>
    <mergeCell ref="I37:K38"/>
    <mergeCell ref="L37:N38"/>
    <mergeCell ref="F38:G38"/>
    <mergeCell ref="F46:G46"/>
    <mergeCell ref="I46:K46"/>
    <mergeCell ref="L46:N46"/>
    <mergeCell ref="F47:G47"/>
    <mergeCell ref="I47:K47"/>
    <mergeCell ref="L47:N47"/>
    <mergeCell ref="F44:G44"/>
    <mergeCell ref="I44:K44"/>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F54:G54"/>
    <mergeCell ref="I54:K54"/>
    <mergeCell ref="L54:N54"/>
    <mergeCell ref="F55:G55"/>
    <mergeCell ref="I55:K55"/>
    <mergeCell ref="L55:N55"/>
    <mergeCell ref="F52:G52"/>
    <mergeCell ref="I52:K52"/>
    <mergeCell ref="L52:N52"/>
    <mergeCell ref="F53:G53"/>
    <mergeCell ref="I53:K53"/>
    <mergeCell ref="L53:N53"/>
    <mergeCell ref="F58:G58"/>
    <mergeCell ref="I58:K58"/>
    <mergeCell ref="L58:N58"/>
    <mergeCell ref="F56:G56"/>
    <mergeCell ref="I56:K56"/>
    <mergeCell ref="L56:N56"/>
    <mergeCell ref="F57:G57"/>
    <mergeCell ref="I57:K57"/>
    <mergeCell ref="L57:N57"/>
    <mergeCell ref="AG64:AW64"/>
    <mergeCell ref="I59:K59"/>
    <mergeCell ref="L59:N59"/>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71:N71"/>
    <mergeCell ref="U64:AE64"/>
    <mergeCell ref="AF64:AF65"/>
    <mergeCell ref="J76:K76"/>
    <mergeCell ref="J77:K77"/>
    <mergeCell ref="M76:N76"/>
    <mergeCell ref="M77:N77"/>
    <mergeCell ref="J74:K74"/>
    <mergeCell ref="J75:K75"/>
    <mergeCell ref="M74:N74"/>
    <mergeCell ref="M75:N75"/>
    <mergeCell ref="F74:G74"/>
    <mergeCell ref="F75:G75"/>
    <mergeCell ref="F76:G76"/>
    <mergeCell ref="F77:G77"/>
    <mergeCell ref="J80:K80"/>
    <mergeCell ref="J81:K81"/>
    <mergeCell ref="M80:N80"/>
    <mergeCell ref="M81:N81"/>
    <mergeCell ref="J78:K78"/>
    <mergeCell ref="J79:K79"/>
    <mergeCell ref="M78:N78"/>
    <mergeCell ref="M79:N79"/>
    <mergeCell ref="F78:G78"/>
    <mergeCell ref="F79:G79"/>
    <mergeCell ref="F80:G80"/>
    <mergeCell ref="F81:G81"/>
    <mergeCell ref="J85:K85"/>
    <mergeCell ref="M84:N84"/>
    <mergeCell ref="M85:N85"/>
    <mergeCell ref="J82:K82"/>
    <mergeCell ref="J83:K83"/>
    <mergeCell ref="M82:N82"/>
    <mergeCell ref="M83:N83"/>
    <mergeCell ref="F82:G82"/>
    <mergeCell ref="F83:G83"/>
    <mergeCell ref="F84:G84"/>
    <mergeCell ref="F85:G85"/>
    <mergeCell ref="F73:G73"/>
    <mergeCell ref="M86:N86"/>
    <mergeCell ref="R107:R138"/>
    <mergeCell ref="B108:E108"/>
    <mergeCell ref="B109:E109"/>
    <mergeCell ref="F109:H109"/>
    <mergeCell ref="L64:L65"/>
    <mergeCell ref="M64:N65"/>
    <mergeCell ref="M66:N66"/>
    <mergeCell ref="M67:N67"/>
    <mergeCell ref="M68:N68"/>
    <mergeCell ref="M69:N69"/>
    <mergeCell ref="B106:E106"/>
    <mergeCell ref="B107:E107"/>
    <mergeCell ref="B98:D98"/>
    <mergeCell ref="E98:I98"/>
    <mergeCell ref="R99:R106"/>
    <mergeCell ref="B102:D102"/>
    <mergeCell ref="B103:D104"/>
    <mergeCell ref="A91:Q93"/>
    <mergeCell ref="B97:D97"/>
    <mergeCell ref="E97:I97"/>
    <mergeCell ref="R89:R98"/>
    <mergeCell ref="J84:K84"/>
    <mergeCell ref="B64:B65"/>
    <mergeCell ref="F65:G65"/>
    <mergeCell ref="F66:G66"/>
    <mergeCell ref="F67:G67"/>
    <mergeCell ref="F68:G68"/>
    <mergeCell ref="F69:G69"/>
    <mergeCell ref="F70:G70"/>
    <mergeCell ref="F71:G71"/>
    <mergeCell ref="F72:G72"/>
  </mergeCells>
  <conditionalFormatting sqref="AG11:AG30">
    <cfRule type="cellIs" dxfId="183" priority="149" operator="equal">
      <formula>"Unacceptable Loss"</formula>
    </cfRule>
  </conditionalFormatting>
  <conditionalFormatting sqref="X11:X30">
    <cfRule type="cellIs" dxfId="182" priority="150" operator="equal">
      <formula>"Not Possible"</formula>
    </cfRule>
  </conditionalFormatting>
  <conditionalFormatting sqref="AG11:AG30">
    <cfRule type="cellIs" dxfId="181" priority="148" operator="equal">
      <formula>"Unacceptable Loss"</formula>
    </cfRule>
  </conditionalFormatting>
  <conditionalFormatting sqref="AG11:AG30">
    <cfRule type="cellIs" dxfId="180" priority="147" operator="equal">
      <formula>"Unacceptable Loss"</formula>
    </cfRule>
  </conditionalFormatting>
  <conditionalFormatting sqref="I31">
    <cfRule type="cellIs" dxfId="179" priority="125" operator="greaterThan">
      <formula>5000</formula>
    </cfRule>
  </conditionalFormatting>
  <conditionalFormatting sqref="I103:I104">
    <cfRule type="containsText" dxfId="178" priority="123" operator="containsText" text="Yes">
      <formula>NOT(ISERROR(SEARCH("Yes",I103)))</formula>
    </cfRule>
    <cfRule type="containsText" dxfId="177" priority="124" operator="containsText" text="No">
      <formula>NOT(ISERROR(SEARCH("No",I103)))</formula>
    </cfRule>
  </conditionalFormatting>
  <conditionalFormatting sqref="I107:I108">
    <cfRule type="containsText" dxfId="176" priority="121" operator="containsText" text="Yes">
      <formula>NOT(ISERROR(SEARCH("Yes",I107)))</formula>
    </cfRule>
    <cfRule type="containsText" dxfId="175" priority="122" operator="containsText" text="No">
      <formula>NOT(ISERROR(SEARCH("No",I107)))</formula>
    </cfRule>
  </conditionalFormatting>
  <conditionalFormatting sqref="E97:E98">
    <cfRule type="containsText" dxfId="174" priority="119" operator="containsText" text="Trading Rules Satisfied">
      <formula>NOT(ISERROR(SEARCH("Trading Rules Satisfied",E97)))</formula>
    </cfRule>
    <cfRule type="containsText" dxfId="173" priority="120" operator="containsText" text="Error - Trading Rules Not Satisfied">
      <formula>NOT(ISERROR(SEARCH("Error - Trading Rules Not Satisfied",E97)))</formula>
    </cfRule>
  </conditionalFormatting>
  <conditionalFormatting sqref="I109">
    <cfRule type="containsText" dxfId="172" priority="117" operator="containsText" text="Yes">
      <formula>NOT(ISERROR(SEARCH("Yes",I109)))</formula>
    </cfRule>
    <cfRule type="containsText" dxfId="171" priority="118" operator="containsText" text="No">
      <formula>NOT(ISERROR(SEARCH("No",I109)))</formula>
    </cfRule>
  </conditionalFormatting>
  <conditionalFormatting sqref="O6 J2">
    <cfRule type="containsText" dxfId="170" priority="98" operator="containsText" text="Errors Present On Sheet">
      <formula>NOT(ISERROR(SEARCH("Errors Present On Sheet",J2)))</formula>
    </cfRule>
  </conditionalFormatting>
  <conditionalFormatting sqref="X39:X58">
    <cfRule type="cellIs" dxfId="169" priority="97" operator="equal">
      <formula>"Not Possible"</formula>
    </cfRule>
  </conditionalFormatting>
  <conditionalFormatting sqref="I86">
    <cfRule type="expression" dxfId="168" priority="96">
      <formula>"p18=""Avoid"""</formula>
    </cfRule>
  </conditionalFormatting>
  <conditionalFormatting sqref="I86">
    <cfRule type="cellIs" dxfId="167" priority="95" operator="equal">
      <formula>"Any loss Unacceptable"</formula>
    </cfRule>
  </conditionalFormatting>
  <conditionalFormatting sqref="I86">
    <cfRule type="cellIs" dxfId="166" priority="94" operator="equal">
      <formula>"Any loss Unacceptable"</formula>
    </cfRule>
  </conditionalFormatting>
  <conditionalFormatting sqref="L86">
    <cfRule type="expression" dxfId="165" priority="93">
      <formula>"p18=""Avoid"""</formula>
    </cfRule>
  </conditionalFormatting>
  <conditionalFormatting sqref="L86">
    <cfRule type="cellIs" dxfId="164" priority="92" operator="equal">
      <formula>"Any loss Unacceptable"</formula>
    </cfRule>
  </conditionalFormatting>
  <conditionalFormatting sqref="L86">
    <cfRule type="cellIs" dxfId="163" priority="91" operator="equal">
      <formula>"Any loss Unacceptable"</formula>
    </cfRule>
  </conditionalFormatting>
  <conditionalFormatting sqref="F39">
    <cfRule type="containsBlanks" dxfId="162" priority="151" stopIfTrue="1">
      <formula>LEN(TRIM(F39))=0</formula>
    </cfRule>
    <cfRule type="expression" dxfId="161" priority="152">
      <formula>ISNUMBER(SEARCH(F39,E39,1))</formula>
    </cfRule>
  </conditionalFormatting>
  <conditionalFormatting sqref="K11:K30">
    <cfRule type="expression" dxfId="160" priority="80">
      <formula>$AI11="Enhancement not possible"</formula>
    </cfRule>
  </conditionalFormatting>
  <conditionalFormatting sqref="I32:N32">
    <cfRule type="containsText" dxfId="159" priority="78" operator="containsText" text="error">
      <formula>NOT(ISERROR(SEARCH("error",I32)))</formula>
    </cfRule>
    <cfRule type="containsText" dxfId="158" priority="79" operator="containsText" text="acceptable">
      <formula>NOT(ISERROR(SEARCH("acceptable",I32)))</formula>
    </cfRule>
  </conditionalFormatting>
  <conditionalFormatting sqref="J2">
    <cfRule type="containsText" dxfId="157" priority="75" operator="containsText" text="Technical">
      <formula>NOT(ISERROR(SEARCH("Technical",J2)))</formula>
    </cfRule>
  </conditionalFormatting>
  <conditionalFormatting sqref="F40:F42">
    <cfRule type="containsBlanks" dxfId="156" priority="153" stopIfTrue="1">
      <formula>LEN(TRIM(F40))=0</formula>
    </cfRule>
    <cfRule type="expression" dxfId="155" priority="154">
      <formula>ISNUMBER(SEARCH(F40,E40,1))</formula>
    </cfRule>
  </conditionalFormatting>
  <conditionalFormatting sqref="F43:F58">
    <cfRule type="containsBlanks" dxfId="154" priority="72" stopIfTrue="1">
      <formula>LEN(TRIM(F43))=0</formula>
    </cfRule>
    <cfRule type="expression" dxfId="153" priority="73">
      <formula>ISNUMBER(SEARCH(F43,E43,1))</formula>
    </cfRule>
  </conditionalFormatting>
  <conditionalFormatting sqref="AK66:AK85">
    <cfRule type="cellIs" dxfId="152" priority="50" operator="equal">
      <formula>"Not Possible"</formula>
    </cfRule>
  </conditionalFormatting>
  <conditionalFormatting sqref="F66:G85">
    <cfRule type="expression" dxfId="151" priority="48">
      <formula>$D66=""</formula>
    </cfRule>
  </conditionalFormatting>
  <conditionalFormatting sqref="E66:E85">
    <cfRule type="cellIs" dxfId="150" priority="49" operator="equal">
      <formula>"Enhancement not possible"</formula>
    </cfRule>
  </conditionalFormatting>
  <conditionalFormatting sqref="M66:M85">
    <cfRule type="cellIs" dxfId="149" priority="47" operator="equal">
      <formula>"Unacceptable Loss"</formula>
    </cfRule>
  </conditionalFormatting>
  <conditionalFormatting sqref="M66:M85">
    <cfRule type="cellIs" dxfId="148" priority="45" operator="equal">
      <formula>"Compensation Agreed"</formula>
    </cfRule>
    <cfRule type="cellIs" dxfId="147" priority="46" operator="equal">
      <formula>"Unacceptable Loss"</formula>
    </cfRule>
  </conditionalFormatting>
  <conditionalFormatting sqref="M66:M85">
    <cfRule type="cellIs" dxfId="146" priority="44" operator="equal">
      <formula>"Unacceptable Loss"</formula>
    </cfRule>
  </conditionalFormatting>
  <conditionalFormatting sqref="M66:M85">
    <cfRule type="cellIs" dxfId="145" priority="43" operator="equal">
      <formula>"Unacceptable Loss"</formula>
    </cfRule>
  </conditionalFormatting>
  <conditionalFormatting sqref="M66:M85">
    <cfRule type="cellIs" dxfId="144" priority="41" operator="equal">
      <formula>"Compensation Agreed"</formula>
    </cfRule>
    <cfRule type="cellIs" dxfId="143" priority="42" operator="equal">
      <formula>"Unacceptable Loss"</formula>
    </cfRule>
  </conditionalFormatting>
  <conditionalFormatting sqref="M66:M85">
    <cfRule type="cellIs" dxfId="142" priority="40" operator="equal">
      <formula>"Unacceptable Loss"</formula>
    </cfRule>
  </conditionalFormatting>
  <conditionalFormatting sqref="M66:M85">
    <cfRule type="cellIs" dxfId="141" priority="39" operator="equal">
      <formula>"Alternative Compensation"</formula>
    </cfRule>
  </conditionalFormatting>
  <conditionalFormatting sqref="L11:M30">
    <cfRule type="expression" dxfId="140" priority="38">
      <formula>"p18=""Avoid"""</formula>
    </cfRule>
  </conditionalFormatting>
  <conditionalFormatting sqref="L11:M30">
    <cfRule type="cellIs" dxfId="139" priority="37" operator="equal">
      <formula>"Any loss Unacceptable"</formula>
    </cfRule>
  </conditionalFormatting>
  <conditionalFormatting sqref="L11:M30">
    <cfRule type="cellIs" dxfId="138" priority="36" operator="equal">
      <formula>"Any loss Unacceptable"</formula>
    </cfRule>
  </conditionalFormatting>
  <conditionalFormatting sqref="N11:N30">
    <cfRule type="containsText" dxfId="137" priority="22" operator="containsText" text="value">
      <formula>NOT(ISERROR(SEARCH("value",N11)))</formula>
    </cfRule>
    <cfRule type="cellIs" dxfId="136" priority="32" operator="equal">
      <formula>"Unacceptable Loss"</formula>
    </cfRule>
  </conditionalFormatting>
  <conditionalFormatting sqref="N11:N30">
    <cfRule type="cellIs" dxfId="135" priority="35" operator="equal">
      <formula>"Unacceptable Loss"</formula>
    </cfRule>
  </conditionalFormatting>
  <conditionalFormatting sqref="N11:N30">
    <cfRule type="cellIs" dxfId="134" priority="33" operator="equal">
      <formula>"Compensation Agreed"</formula>
    </cfRule>
    <cfRule type="cellIs" dxfId="133" priority="34" operator="equal">
      <formula>"Unacceptable Loss"</formula>
    </cfRule>
  </conditionalFormatting>
  <conditionalFormatting sqref="N11:N30">
    <cfRule type="cellIs" dxfId="132" priority="31" operator="equal">
      <formula>"Unacceptable Loss"</formula>
    </cfRule>
  </conditionalFormatting>
  <conditionalFormatting sqref="N11:N30">
    <cfRule type="cellIs" dxfId="131" priority="29" operator="equal">
      <formula>"Compensation Agreed"</formula>
    </cfRule>
    <cfRule type="cellIs" dxfId="130" priority="30" operator="equal">
      <formula>"Unacceptable Loss"</formula>
    </cfRule>
  </conditionalFormatting>
  <conditionalFormatting sqref="N11:N30">
    <cfRule type="cellIs" dxfId="129" priority="28" operator="equal">
      <formula>"Unacceptable Loss"</formula>
    </cfRule>
  </conditionalFormatting>
  <conditionalFormatting sqref="N11:N30">
    <cfRule type="cellIs" dxfId="128" priority="27" operator="equal">
      <formula>"Alternative Compensation"</formula>
    </cfRule>
  </conditionalFormatting>
  <conditionalFormatting sqref="M11:M30">
    <cfRule type="containsText" dxfId="127" priority="26" operator="containsText" text="error">
      <formula>NOT(ISERROR(SEARCH("error",M11)))</formula>
    </cfRule>
  </conditionalFormatting>
  <conditionalFormatting sqref="N11:N30">
    <cfRule type="containsText" dxfId="126" priority="25" operator="containsText" text="error">
      <formula>NOT(ISERROR(SEARCH("error",N11)))</formula>
    </cfRule>
  </conditionalFormatting>
  <conditionalFormatting sqref="L11:L30">
    <cfRule type="containsText" dxfId="125" priority="24" operator="containsText" text="value">
      <formula>NOT(ISERROR(SEARCH("value",L11)))</formula>
    </cfRule>
  </conditionalFormatting>
  <conditionalFormatting sqref="L11:L30">
    <cfRule type="containsText" dxfId="124" priority="23" operator="containsText" text="error">
      <formula>NOT(ISERROR(SEARCH("error",L11)))</formula>
    </cfRule>
  </conditionalFormatting>
  <conditionalFormatting sqref="L39:M58">
    <cfRule type="cellIs" dxfId="123" priority="21" operator="equal">
      <formula>"Unacceptable Loss"</formula>
    </cfRule>
  </conditionalFormatting>
  <conditionalFormatting sqref="L39:M58">
    <cfRule type="cellIs" dxfId="122" priority="19" operator="equal">
      <formula>"Compensation Agreed"</formula>
    </cfRule>
    <cfRule type="cellIs" dxfId="121" priority="20" operator="equal">
      <formula>"Unacceptable Loss"</formula>
    </cfRule>
  </conditionalFormatting>
  <conditionalFormatting sqref="L39:M58">
    <cfRule type="cellIs" dxfId="120" priority="18" operator="equal">
      <formula>"Unacceptable Loss"</formula>
    </cfRule>
  </conditionalFormatting>
  <conditionalFormatting sqref="L39:M58">
    <cfRule type="cellIs" dxfId="119" priority="17" operator="equal">
      <formula>"Unacceptable Loss"</formula>
    </cfRule>
  </conditionalFormatting>
  <conditionalFormatting sqref="L39:M58">
    <cfRule type="cellIs" dxfId="118" priority="15" operator="equal">
      <formula>"Compensation Agreed"</formula>
    </cfRule>
    <cfRule type="cellIs" dxfId="117" priority="16" operator="equal">
      <formula>"Unacceptable Loss"</formula>
    </cfRule>
  </conditionalFormatting>
  <conditionalFormatting sqref="L39:M58">
    <cfRule type="cellIs" dxfId="116" priority="14" operator="equal">
      <formula>"Unacceptable Loss"</formula>
    </cfRule>
  </conditionalFormatting>
  <conditionalFormatting sqref="L39:M58">
    <cfRule type="cellIs" dxfId="115" priority="13" operator="equal">
      <formula>"Alternative Compensation"</formula>
    </cfRule>
  </conditionalFormatting>
  <conditionalFormatting sqref="L39:N58">
    <cfRule type="containsText" dxfId="114" priority="11" operator="containsText" text="error">
      <formula>NOT(ISERROR(SEARCH("error",L39)))</formula>
    </cfRule>
    <cfRule type="containsText" dxfId="113" priority="12" operator="containsText" text="value">
      <formula>NOT(ISERROR(SEARCH("value",L39)))</formula>
    </cfRule>
  </conditionalFormatting>
  <conditionalFormatting sqref="L66:L85">
    <cfRule type="cellIs" dxfId="112" priority="10" operator="equal">
      <formula>"Unacceptable Loss"</formula>
    </cfRule>
  </conditionalFormatting>
  <conditionalFormatting sqref="L66:L85">
    <cfRule type="cellIs" dxfId="111" priority="8" operator="equal">
      <formula>"Compensation Agreed"</formula>
    </cfRule>
    <cfRule type="cellIs" dxfId="110" priority="9" operator="equal">
      <formula>"Unacceptable Loss"</formula>
    </cfRule>
  </conditionalFormatting>
  <conditionalFormatting sqref="L66:L85">
    <cfRule type="cellIs" dxfId="109" priority="7" operator="equal">
      <formula>"Unacceptable Loss"</formula>
    </cfRule>
  </conditionalFormatting>
  <conditionalFormatting sqref="L66:L85">
    <cfRule type="cellIs" dxfId="108" priority="6" operator="equal">
      <formula>"Unacceptable Loss"</formula>
    </cfRule>
  </conditionalFormatting>
  <conditionalFormatting sqref="L66:L85">
    <cfRule type="cellIs" dxfId="107" priority="4" operator="equal">
      <formula>"Compensation Agreed"</formula>
    </cfRule>
    <cfRule type="cellIs" dxfId="106" priority="5" operator="equal">
      <formula>"Unacceptable Loss"</formula>
    </cfRule>
  </conditionalFormatting>
  <conditionalFormatting sqref="L66:L85">
    <cfRule type="cellIs" dxfId="105" priority="3" operator="equal">
      <formula>"Unacceptable Loss"</formula>
    </cfRule>
  </conditionalFormatting>
  <conditionalFormatting sqref="L66:L85">
    <cfRule type="cellIs" dxfId="104" priority="2" operator="equal">
      <formula>"Alternative Compensation"</formula>
    </cfRule>
  </conditionalFormatting>
  <conditionalFormatting sqref="L66:L85">
    <cfRule type="containsText" dxfId="103" priority="1" operator="containsText" text="value">
      <formula>NOT(ISERROR(SEARCH("value",L66)))</formula>
    </cfRule>
  </conditionalFormatting>
  <dataValidations count="2">
    <dataValidation type="list" allowBlank="1" showInputMessage="1" showErrorMessage="1" sqref="D39:D58 D11:E30"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'12. Lists'!$F$36:$F$37</xm:f>
          </x14:formula1>
          <xm:sqref>H39:H58 F11:H30 H66:H85</xm:sqref>
        </x14:dataValidation>
        <x14:dataValidation type="list" allowBlank="1" showInputMessage="1" showErrorMessage="1" xr:uid="{3093539A-51A3-4FE7-A4D0-FB77CE23015D}">
          <x14:formula1>
            <xm:f>'12.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6600"/>
    <pageSetUpPr fitToPage="1"/>
  </sheetPr>
  <dimension ref="A1:AE62"/>
  <sheetViews>
    <sheetView zoomScale="70" zoomScaleNormal="70" workbookViewId="0">
      <selection activeCell="D17" sqref="D17"/>
    </sheetView>
  </sheetViews>
  <sheetFormatPr defaultColWidth="0" defaultRowHeight="14.45" zeroHeight="1"/>
  <cols>
    <col min="1" max="1" width="4.7109375" customWidth="1"/>
    <col min="2" max="2" width="30.5703125" customWidth="1"/>
    <col min="3" max="3" width="38" customWidth="1"/>
    <col min="4" max="4" width="76.42578125" customWidth="1"/>
    <col min="5" max="5" width="19.5703125" customWidth="1"/>
    <col min="6" max="6" width="29.140625" hidden="1" customWidth="1"/>
    <col min="7" max="8" width="10.7109375" hidden="1" customWidth="1"/>
    <col min="9" max="9" width="15" hidden="1" customWidth="1"/>
    <col min="10" max="10" width="10.28515625" hidden="1" customWidth="1"/>
    <col min="11" max="15" width="8.85546875" hidden="1" customWidth="1"/>
    <col min="16" max="16" width="11.5703125" hidden="1" customWidth="1"/>
    <col min="17" max="17" width="8.85546875" hidden="1" customWidth="1"/>
    <col min="18" max="18" width="11.140625" hidden="1" customWidth="1"/>
    <col min="19" max="23" width="8.85546875" hidden="1" customWidth="1"/>
    <col min="24" max="31" width="0" hidden="1" customWidth="1"/>
    <col min="32" max="16384" width="8.85546875" hidden="1"/>
  </cols>
  <sheetData>
    <row r="1" spans="1:23" ht="15" thickBot="1">
      <c r="A1" s="27"/>
      <c r="B1" s="27"/>
      <c r="C1" s="27"/>
      <c r="D1" s="27"/>
      <c r="E1" s="27"/>
      <c r="F1" s="27"/>
      <c r="G1" s="27"/>
      <c r="H1" s="27"/>
      <c r="I1" s="27"/>
      <c r="J1" s="27"/>
      <c r="K1" s="27"/>
      <c r="L1" s="27"/>
      <c r="M1" s="27"/>
      <c r="N1" s="27"/>
      <c r="O1" s="27"/>
      <c r="P1" s="27"/>
      <c r="Q1" s="27"/>
      <c r="R1" s="27"/>
      <c r="S1" s="27"/>
      <c r="T1" s="27"/>
      <c r="U1" s="27"/>
      <c r="V1" s="27"/>
      <c r="W1" s="27"/>
    </row>
    <row r="2" spans="1:23" ht="24.6" customHeight="1">
      <c r="A2" s="27"/>
      <c r="B2" s="758" t="s">
        <v>45</v>
      </c>
      <c r="C2" s="759"/>
      <c r="D2" s="236" t="str">
        <f>IF('2. Site Details'!D5="","Enter site name on 2. Site Details",'2. Site Details'!D5)</f>
        <v>Land off Barnsley Rd, Darton</v>
      </c>
      <c r="E2" s="27"/>
      <c r="F2" s="55"/>
      <c r="G2" s="55"/>
      <c r="H2" s="55"/>
      <c r="I2" s="55"/>
      <c r="J2" s="55"/>
      <c r="K2" s="55"/>
      <c r="L2" s="55"/>
      <c r="M2" s="55"/>
      <c r="N2" s="55"/>
      <c r="O2" s="55"/>
      <c r="P2" s="55"/>
      <c r="Q2" s="55"/>
      <c r="R2" s="55"/>
      <c r="S2" s="55"/>
      <c r="T2" s="55"/>
      <c r="U2" s="55"/>
      <c r="V2" s="55"/>
      <c r="W2" s="27"/>
    </row>
    <row r="3" spans="1:23" ht="24.6" customHeight="1" thickBot="1">
      <c r="A3" s="27"/>
      <c r="B3" s="775" t="s">
        <v>16</v>
      </c>
      <c r="C3" s="776"/>
      <c r="D3" s="235" t="s">
        <v>273</v>
      </c>
      <c r="E3" s="55"/>
      <c r="F3" s="55"/>
      <c r="G3" s="774"/>
      <c r="H3" s="774"/>
      <c r="I3" s="774"/>
      <c r="J3" s="774"/>
      <c r="K3" s="774"/>
      <c r="L3" s="774"/>
      <c r="M3" s="774"/>
      <c r="N3" s="774"/>
      <c r="O3" s="55"/>
      <c r="P3" s="55"/>
      <c r="Q3" s="55"/>
      <c r="R3" s="55"/>
      <c r="S3" s="55"/>
      <c r="T3" s="55"/>
      <c r="U3" s="55"/>
      <c r="V3" s="55"/>
      <c r="W3" s="27"/>
    </row>
    <row r="4" spans="1:23" ht="34.15" customHeight="1" thickBot="1">
      <c r="A4" s="27"/>
      <c r="B4" s="61" t="s">
        <v>273</v>
      </c>
      <c r="C4" s="27"/>
      <c r="D4" s="27"/>
      <c r="E4" s="55"/>
      <c r="F4" s="55"/>
      <c r="G4" s="55"/>
      <c r="H4" s="55"/>
      <c r="I4" s="55"/>
      <c r="J4" s="55"/>
      <c r="K4" s="55"/>
      <c r="L4" s="55"/>
      <c r="M4" s="55"/>
      <c r="N4" s="55"/>
      <c r="O4" s="55"/>
      <c r="P4" s="55"/>
      <c r="Q4" s="55"/>
      <c r="R4" s="55"/>
      <c r="S4" s="55"/>
      <c r="T4" s="55"/>
      <c r="U4" s="55"/>
      <c r="V4" s="55"/>
      <c r="W4" s="27"/>
    </row>
    <row r="5" spans="1:23" ht="24.6" customHeight="1" thickBot="1">
      <c r="A5" s="27"/>
      <c r="B5" s="488" t="s">
        <v>274</v>
      </c>
      <c r="C5" s="489"/>
      <c r="D5" s="250" t="str">
        <f>'9. Detailed Results'!G5</f>
        <v>BNG Targets Met</v>
      </c>
      <c r="E5" s="55"/>
      <c r="F5" s="55"/>
      <c r="G5" s="55"/>
      <c r="H5" s="55"/>
      <c r="I5" s="55"/>
      <c r="J5" s="55"/>
      <c r="K5" s="55"/>
      <c r="L5" s="55"/>
      <c r="M5" s="55"/>
      <c r="N5" s="55"/>
      <c r="O5" s="55"/>
      <c r="P5" s="55"/>
      <c r="Q5" s="55"/>
      <c r="R5" s="55"/>
      <c r="S5" s="55"/>
      <c r="T5" s="55"/>
      <c r="U5" s="55"/>
      <c r="V5" s="55"/>
      <c r="W5" s="27"/>
    </row>
    <row r="6" spans="1:23" ht="24.6" customHeight="1" thickBot="1">
      <c r="A6" s="27"/>
      <c r="B6" s="27"/>
      <c r="C6" s="27"/>
      <c r="D6" s="255"/>
      <c r="E6" s="55"/>
      <c r="F6" s="55"/>
      <c r="G6" s="55"/>
      <c r="H6" s="55"/>
      <c r="I6" s="55"/>
      <c r="J6" s="55"/>
      <c r="K6" s="55"/>
      <c r="L6" s="55"/>
      <c r="M6" s="55"/>
      <c r="N6" s="55"/>
      <c r="O6" s="55"/>
      <c r="P6" s="55"/>
      <c r="Q6" s="55"/>
      <c r="R6" s="55"/>
      <c r="S6" s="55"/>
      <c r="T6" s="55"/>
      <c r="U6" s="55"/>
      <c r="V6" s="55"/>
      <c r="W6" s="27"/>
    </row>
    <row r="7" spans="1:23" ht="24.6" customHeight="1" thickBot="1">
      <c r="A7" s="27"/>
      <c r="B7" s="488" t="s">
        <v>275</v>
      </c>
      <c r="C7" s="771"/>
      <c r="D7" s="251" t="str">
        <f>'9. Detailed Results'!G7</f>
        <v>Submit metric to LPA</v>
      </c>
      <c r="E7" s="55"/>
      <c r="F7" s="31"/>
      <c r="G7" s="31"/>
      <c r="H7" s="31"/>
      <c r="I7" s="31"/>
      <c r="J7" s="31"/>
      <c r="K7" s="31"/>
      <c r="L7" s="31"/>
      <c r="M7" s="31"/>
      <c r="N7" s="31"/>
      <c r="O7" s="31"/>
      <c r="P7" s="59"/>
      <c r="Q7" s="31"/>
      <c r="R7" s="55"/>
      <c r="S7" s="55"/>
      <c r="T7" s="55"/>
      <c r="U7" s="55"/>
      <c r="V7" s="55"/>
      <c r="W7" s="27"/>
    </row>
    <row r="8" spans="1:23" ht="24.6" customHeight="1" thickBot="1">
      <c r="A8" s="27"/>
      <c r="B8" s="27"/>
      <c r="C8" s="27"/>
      <c r="D8" s="255"/>
      <c r="E8" s="55"/>
      <c r="F8" s="31"/>
      <c r="G8" s="31"/>
      <c r="H8" s="31"/>
      <c r="I8" s="31"/>
      <c r="J8" s="31"/>
      <c r="K8" s="31"/>
      <c r="L8" s="31"/>
      <c r="M8" s="31"/>
      <c r="N8" s="31"/>
      <c r="O8" s="31"/>
      <c r="P8" s="59"/>
      <c r="Q8" s="31"/>
      <c r="R8" s="55"/>
      <c r="S8" s="55"/>
      <c r="T8" s="55"/>
      <c r="U8" s="55"/>
      <c r="V8" s="55"/>
      <c r="W8" s="27"/>
    </row>
    <row r="9" spans="1:23" ht="24.6" customHeight="1">
      <c r="A9" s="27"/>
      <c r="B9" s="762" t="s">
        <v>276</v>
      </c>
      <c r="C9" s="243" t="s">
        <v>277</v>
      </c>
      <c r="D9" s="252">
        <f>'5. Area Habitats'!P5</f>
        <v>0.30303811708510398</v>
      </c>
      <c r="E9" s="246">
        <f>'9. Detailed Results'!L31</f>
        <v>0.25547411708510392</v>
      </c>
      <c r="F9" s="31"/>
      <c r="G9" s="31"/>
      <c r="H9" s="31"/>
      <c r="I9" s="31"/>
      <c r="J9" s="31"/>
      <c r="K9" s="31"/>
      <c r="L9" s="31"/>
      <c r="M9" s="31"/>
      <c r="N9" s="31"/>
      <c r="O9" s="31"/>
      <c r="P9" s="59"/>
      <c r="Q9" s="31"/>
      <c r="R9" s="55"/>
      <c r="S9" s="55"/>
      <c r="T9" s="55"/>
      <c r="U9" s="55"/>
      <c r="V9" s="55"/>
      <c r="W9" s="27"/>
    </row>
    <row r="10" spans="1:23" ht="24.6" customHeight="1">
      <c r="A10" s="27"/>
      <c r="B10" s="763"/>
      <c r="C10" s="244" t="s">
        <v>278</v>
      </c>
      <c r="D10" s="253">
        <f>'6. Hedges &amp; Lines of Trees'!P5</f>
        <v>0.31565178586632003</v>
      </c>
      <c r="E10" s="246">
        <f>'9. Detailed Results'!L32</f>
        <v>0.31565178586632003</v>
      </c>
      <c r="F10" s="31"/>
      <c r="G10" s="31"/>
      <c r="H10" s="31"/>
      <c r="I10" s="31"/>
      <c r="J10" s="31"/>
      <c r="K10" s="31"/>
      <c r="L10" s="31"/>
      <c r="M10" s="31"/>
      <c r="N10" s="31"/>
      <c r="O10" s="31"/>
      <c r="P10" s="59"/>
      <c r="Q10" s="31"/>
      <c r="R10" s="55"/>
      <c r="S10" s="55"/>
      <c r="T10" s="55"/>
      <c r="U10" s="55"/>
      <c r="V10" s="55"/>
      <c r="W10" s="27"/>
    </row>
    <row r="11" spans="1:23" ht="24.6" customHeight="1" thickBot="1">
      <c r="A11" s="27"/>
      <c r="B11" s="764"/>
      <c r="C11" s="245" t="s">
        <v>279</v>
      </c>
      <c r="D11" s="254">
        <f>'7. Watercourses'!P5</f>
        <v>0</v>
      </c>
      <c r="E11" s="246">
        <f>'9. Detailed Results'!L33</f>
        <v>0</v>
      </c>
      <c r="F11" s="31"/>
      <c r="G11" s="31"/>
      <c r="H11" s="31"/>
      <c r="I11" s="31"/>
      <c r="J11" s="31"/>
      <c r="K11" s="31"/>
      <c r="L11" s="31"/>
      <c r="M11" s="31"/>
      <c r="N11" s="31"/>
      <c r="O11" s="31"/>
      <c r="P11" s="59"/>
      <c r="Q11" s="31"/>
      <c r="R11" s="55"/>
      <c r="S11" s="55"/>
      <c r="T11" s="55"/>
      <c r="U11" s="55"/>
      <c r="V11" s="55"/>
      <c r="W11" s="27"/>
    </row>
    <row r="12" spans="1:23" ht="24.6" customHeight="1" thickBot="1">
      <c r="A12" s="27"/>
      <c r="B12" s="29"/>
      <c r="C12" s="195"/>
      <c r="D12" s="42"/>
      <c r="E12" s="55"/>
      <c r="F12" s="31"/>
      <c r="G12" s="31"/>
      <c r="H12" s="31"/>
      <c r="I12" s="31"/>
      <c r="J12" s="31"/>
      <c r="K12" s="31"/>
      <c r="L12" s="31"/>
      <c r="M12" s="31"/>
      <c r="N12" s="31"/>
      <c r="O12" s="31"/>
      <c r="P12" s="59"/>
      <c r="Q12" s="31"/>
      <c r="R12" s="55"/>
      <c r="S12" s="55"/>
      <c r="T12" s="55"/>
      <c r="U12" s="55"/>
      <c r="V12" s="55"/>
      <c r="W12" s="27"/>
    </row>
    <row r="13" spans="1:23" ht="24.6" customHeight="1">
      <c r="A13" s="27"/>
      <c r="B13" s="625" t="s">
        <v>280</v>
      </c>
      <c r="C13" s="243" t="s">
        <v>277</v>
      </c>
      <c r="D13" s="256">
        <f>'9. Detailed Results'!H35</f>
        <v>0.63711655261353961</v>
      </c>
      <c r="E13" s="55"/>
      <c r="F13" s="31"/>
      <c r="G13" s="31"/>
      <c r="H13" s="31"/>
      <c r="I13" s="31"/>
      <c r="J13" s="31"/>
      <c r="K13" s="31"/>
      <c r="L13" s="31"/>
      <c r="M13" s="31"/>
      <c r="N13" s="31"/>
      <c r="O13" s="31"/>
      <c r="P13" s="59"/>
      <c r="Q13" s="31"/>
      <c r="R13" s="55"/>
      <c r="S13" s="55"/>
      <c r="T13" s="55"/>
      <c r="U13" s="55"/>
      <c r="V13" s="55"/>
      <c r="W13" s="27"/>
    </row>
    <row r="14" spans="1:23" ht="24.6" customHeight="1">
      <c r="A14" s="27"/>
      <c r="B14" s="760"/>
      <c r="C14" s="244" t="s">
        <v>278</v>
      </c>
      <c r="D14" s="257" t="str">
        <f>'9. Detailed Results'!H36</f>
        <v>% target not appropriate</v>
      </c>
      <c r="E14" s="55"/>
      <c r="F14" s="31"/>
      <c r="G14" s="31"/>
      <c r="H14" s="31"/>
      <c r="I14" s="31"/>
      <c r="J14" s="31"/>
      <c r="K14" s="31"/>
      <c r="L14" s="31"/>
      <c r="M14" s="31"/>
      <c r="N14" s="31"/>
      <c r="O14" s="31"/>
      <c r="P14" s="59"/>
      <c r="Q14" s="31"/>
      <c r="R14" s="55"/>
      <c r="S14" s="55"/>
      <c r="T14" s="55"/>
      <c r="U14" s="55"/>
      <c r="V14" s="55"/>
      <c r="W14" s="27"/>
    </row>
    <row r="15" spans="1:23" ht="24.6" customHeight="1" thickBot="1">
      <c r="A15" s="27"/>
      <c r="B15" s="761"/>
      <c r="C15" s="245" t="s">
        <v>279</v>
      </c>
      <c r="D15" s="258" t="str">
        <f>'9. Detailed Results'!H37</f>
        <v>% target not appropriate</v>
      </c>
      <c r="E15" s="55"/>
      <c r="F15" s="31"/>
      <c r="G15" s="31"/>
      <c r="H15" s="31"/>
      <c r="I15" s="31"/>
      <c r="J15" s="31"/>
      <c r="K15" s="31"/>
      <c r="L15" s="31"/>
      <c r="M15" s="31"/>
      <c r="N15" s="31"/>
      <c r="O15" s="31"/>
      <c r="P15" s="59"/>
      <c r="Q15" s="31"/>
      <c r="R15" s="55"/>
      <c r="S15" s="55"/>
      <c r="T15" s="55"/>
      <c r="U15" s="55"/>
      <c r="V15" s="55"/>
      <c r="W15" s="27"/>
    </row>
    <row r="16" spans="1:23" ht="24.6" customHeight="1" thickBot="1">
      <c r="A16" s="27"/>
      <c r="B16" s="27"/>
      <c r="C16" s="27"/>
      <c r="D16" s="255"/>
      <c r="E16" s="55"/>
      <c r="F16" s="31"/>
      <c r="G16" s="31"/>
      <c r="H16" s="31"/>
      <c r="I16" s="31"/>
      <c r="J16" s="31"/>
      <c r="K16" s="31"/>
      <c r="L16" s="31"/>
      <c r="M16" s="31"/>
      <c r="N16" s="31"/>
      <c r="O16" s="31"/>
      <c r="P16" s="59"/>
      <c r="Q16" s="31"/>
      <c r="R16" s="55"/>
      <c r="S16" s="55"/>
      <c r="T16" s="55"/>
      <c r="U16" s="55"/>
      <c r="V16" s="55"/>
      <c r="W16" s="27"/>
    </row>
    <row r="17" spans="1:23" ht="24.6" customHeight="1">
      <c r="A17" s="27"/>
      <c r="B17" s="769" t="s">
        <v>281</v>
      </c>
      <c r="C17" s="770"/>
      <c r="D17" s="299">
        <f>'9. Detailed Results'!G9</f>
        <v>0</v>
      </c>
      <c r="E17" s="55"/>
      <c r="F17" s="31"/>
      <c r="G17" s="31"/>
      <c r="H17" s="31"/>
      <c r="I17" s="31"/>
      <c r="J17" s="31"/>
      <c r="K17" s="31"/>
      <c r="L17" s="31"/>
      <c r="M17" s="31"/>
      <c r="N17" s="31"/>
      <c r="O17" s="31"/>
      <c r="P17" s="59"/>
      <c r="Q17" s="31"/>
      <c r="R17" s="55"/>
      <c r="S17" s="55"/>
      <c r="T17" s="55"/>
      <c r="U17" s="55"/>
      <c r="V17" s="55"/>
      <c r="W17" s="27"/>
    </row>
    <row r="18" spans="1:23" ht="24.6" customHeight="1">
      <c r="A18" s="27"/>
      <c r="B18" s="767" t="s">
        <v>282</v>
      </c>
      <c r="C18" s="768"/>
      <c r="D18" s="300">
        <f>'9. Detailed Results'!G10</f>
        <v>0</v>
      </c>
      <c r="E18" s="55"/>
      <c r="F18" s="237"/>
      <c r="G18" s="31"/>
      <c r="H18" s="31"/>
      <c r="I18" s="31"/>
      <c r="J18" s="31"/>
      <c r="K18" s="31"/>
      <c r="L18" s="31"/>
      <c r="M18" s="31"/>
      <c r="N18" s="31"/>
      <c r="O18" s="31"/>
      <c r="P18" s="59"/>
      <c r="Q18" s="31"/>
      <c r="R18" s="55"/>
      <c r="S18" s="55"/>
      <c r="T18" s="55"/>
      <c r="U18" s="55"/>
      <c r="V18" s="55"/>
      <c r="W18" s="27"/>
    </row>
    <row r="19" spans="1:23" ht="24.6" customHeight="1" thickBot="1">
      <c r="A19" s="27"/>
      <c r="B19" s="765" t="s">
        <v>283</v>
      </c>
      <c r="C19" s="766"/>
      <c r="D19" s="298">
        <f>'9. Detailed Results'!G11</f>
        <v>0</v>
      </c>
      <c r="E19" s="55"/>
      <c r="F19" s="31"/>
      <c r="G19" s="31"/>
      <c r="H19" s="31"/>
      <c r="I19" s="31"/>
      <c r="J19" s="31"/>
      <c r="K19" s="31"/>
      <c r="L19" s="31"/>
      <c r="M19" s="31"/>
      <c r="N19" s="31"/>
      <c r="O19" s="31"/>
      <c r="P19" s="59"/>
      <c r="Q19" s="31"/>
      <c r="R19" s="55"/>
      <c r="S19" s="55"/>
      <c r="T19" s="55"/>
      <c r="U19" s="55"/>
      <c r="V19" s="55"/>
      <c r="W19" s="27"/>
    </row>
    <row r="20" spans="1:23" ht="10.15" customHeight="1">
      <c r="A20" s="27"/>
      <c r="B20" s="27"/>
      <c r="C20" s="27"/>
      <c r="D20" s="255"/>
      <c r="E20" s="55"/>
      <c r="F20" s="31"/>
      <c r="G20" s="31"/>
      <c r="H20" s="31"/>
      <c r="I20" s="31"/>
      <c r="J20" s="31"/>
      <c r="K20" s="31"/>
      <c r="L20" s="31"/>
      <c r="M20" s="31"/>
      <c r="N20" s="31"/>
      <c r="O20" s="31"/>
      <c r="P20" s="59"/>
      <c r="Q20" s="31"/>
      <c r="R20" s="55"/>
      <c r="S20" s="55"/>
      <c r="T20" s="55"/>
      <c r="U20" s="55"/>
      <c r="V20" s="55"/>
      <c r="W20" s="27"/>
    </row>
    <row r="21" spans="1:23" ht="19.899999999999999" customHeight="1">
      <c r="A21" s="27"/>
      <c r="B21" s="61" t="s">
        <v>284</v>
      </c>
      <c r="C21" s="27"/>
      <c r="D21" s="255"/>
      <c r="E21" s="55"/>
      <c r="F21" s="31"/>
      <c r="G21" s="31"/>
      <c r="H21" s="31"/>
      <c r="I21" s="31"/>
      <c r="J21" s="31"/>
      <c r="K21" s="31"/>
      <c r="L21" s="31"/>
      <c r="M21" s="31"/>
      <c r="N21" s="31"/>
      <c r="O21" s="31"/>
      <c r="P21" s="59"/>
      <c r="Q21" s="31"/>
      <c r="R21" s="55"/>
      <c r="S21" s="55"/>
      <c r="T21" s="55"/>
      <c r="U21" s="55"/>
      <c r="V21" s="55"/>
      <c r="W21" s="27"/>
    </row>
    <row r="22" spans="1:23" ht="9" customHeight="1" thickBot="1">
      <c r="A22" s="27"/>
      <c r="B22" s="27"/>
      <c r="C22" s="27"/>
      <c r="D22" s="255"/>
      <c r="E22" s="55"/>
      <c r="F22" s="27"/>
      <c r="G22" s="31"/>
      <c r="H22" s="31"/>
      <c r="I22" s="31"/>
      <c r="J22" s="31"/>
      <c r="K22" s="31"/>
      <c r="L22" s="31"/>
      <c r="M22" s="31"/>
      <c r="N22" s="31"/>
      <c r="O22" s="31"/>
      <c r="P22" s="59"/>
      <c r="Q22" s="31"/>
      <c r="R22" s="55"/>
      <c r="S22" s="55"/>
      <c r="T22" s="55"/>
      <c r="U22" s="55"/>
      <c r="V22" s="55"/>
      <c r="W22" s="27"/>
    </row>
    <row r="23" spans="1:23" ht="23.45" customHeight="1">
      <c r="A23" s="27"/>
      <c r="B23" s="625" t="s">
        <v>233</v>
      </c>
      <c r="C23" s="626"/>
      <c r="D23" s="248" t="s">
        <v>285</v>
      </c>
      <c r="E23" s="55"/>
      <c r="F23" s="31"/>
      <c r="G23" s="31"/>
      <c r="H23" s="31"/>
      <c r="I23" s="31"/>
      <c r="J23" s="31"/>
      <c r="K23" s="31"/>
      <c r="L23" s="31"/>
      <c r="M23" s="31"/>
      <c r="N23" s="31"/>
      <c r="O23" s="31"/>
      <c r="P23" s="59"/>
      <c r="Q23" s="31"/>
      <c r="R23" s="27"/>
      <c r="S23" s="27"/>
      <c r="T23" s="27"/>
      <c r="U23" s="27"/>
      <c r="V23" s="27"/>
      <c r="W23" s="27"/>
    </row>
    <row r="24" spans="1:23" s="60" customFormat="1" ht="23.45" customHeight="1">
      <c r="A24" s="31"/>
      <c r="B24" s="756" t="s">
        <v>239</v>
      </c>
      <c r="C24" s="757"/>
      <c r="D24" s="253">
        <f>'9. Detailed Results'!N47</f>
        <v>0</v>
      </c>
      <c r="E24" s="55"/>
      <c r="F24" s="27"/>
      <c r="G24" s="27"/>
      <c r="H24" s="27"/>
      <c r="I24" s="27"/>
      <c r="J24" s="27"/>
      <c r="K24" s="27"/>
      <c r="L24" s="27"/>
      <c r="M24" s="27"/>
      <c r="N24" s="27"/>
      <c r="O24" s="31"/>
      <c r="P24" s="59"/>
      <c r="Q24" s="31"/>
      <c r="R24" s="31"/>
      <c r="S24" s="31"/>
      <c r="T24" s="31"/>
      <c r="U24" s="31"/>
      <c r="V24" s="31"/>
      <c r="W24" s="31"/>
    </row>
    <row r="25" spans="1:23" s="60" customFormat="1" ht="23.45" customHeight="1">
      <c r="A25" s="31"/>
      <c r="B25" s="756" t="s">
        <v>112</v>
      </c>
      <c r="C25" s="757"/>
      <c r="D25" s="253">
        <f>'9. Detailed Results'!N48</f>
        <v>0</v>
      </c>
      <c r="E25" s="55"/>
      <c r="F25" s="27"/>
      <c r="G25" s="27"/>
      <c r="H25" s="27"/>
      <c r="I25" s="27"/>
      <c r="J25" s="27"/>
      <c r="K25" s="27"/>
      <c r="L25" s="27"/>
      <c r="M25" s="27"/>
      <c r="N25" s="27"/>
      <c r="O25" s="31"/>
      <c r="P25" s="59"/>
      <c r="Q25" s="31"/>
      <c r="R25" s="31"/>
      <c r="S25" s="31"/>
      <c r="T25" s="31"/>
      <c r="U25" s="31"/>
      <c r="V25" s="31"/>
      <c r="W25" s="31"/>
    </row>
    <row r="26" spans="1:23" ht="23.45" customHeight="1">
      <c r="A26" s="27"/>
      <c r="B26" s="756" t="s">
        <v>115</v>
      </c>
      <c r="C26" s="757"/>
      <c r="D26" s="253">
        <f>'9. Detailed Results'!N49</f>
        <v>0</v>
      </c>
      <c r="E26" s="55"/>
      <c r="F26" s="27"/>
      <c r="G26" s="27"/>
      <c r="H26" s="27"/>
      <c r="I26" s="27"/>
      <c r="J26" s="27"/>
      <c r="K26" s="27"/>
      <c r="L26" s="27"/>
      <c r="M26" s="27"/>
      <c r="N26" s="27"/>
      <c r="O26" s="27"/>
      <c r="P26" s="59"/>
      <c r="Q26" s="31"/>
      <c r="R26" s="31"/>
      <c r="S26" s="31"/>
      <c r="T26" s="31"/>
      <c r="U26" s="31"/>
      <c r="V26" s="31"/>
      <c r="W26" s="27"/>
    </row>
    <row r="27" spans="1:23" ht="23.45" customHeight="1">
      <c r="A27" s="27"/>
      <c r="B27" s="756" t="s">
        <v>243</v>
      </c>
      <c r="C27" s="757"/>
      <c r="D27" s="253">
        <f>'9. Detailed Results'!N50</f>
        <v>0</v>
      </c>
      <c r="E27" s="55"/>
      <c r="F27" s="27"/>
      <c r="G27" s="27"/>
      <c r="H27" s="27"/>
      <c r="I27" s="27"/>
      <c r="J27" s="27"/>
      <c r="K27" s="27"/>
      <c r="L27" s="27"/>
      <c r="M27" s="27"/>
      <c r="N27" s="27"/>
      <c r="O27" s="27"/>
      <c r="P27" s="59"/>
      <c r="Q27" s="31"/>
      <c r="R27" s="31"/>
      <c r="S27" s="31"/>
      <c r="T27" s="31"/>
      <c r="U27" s="31"/>
      <c r="V27" s="31"/>
      <c r="W27" s="27"/>
    </row>
    <row r="28" spans="1:23" ht="23.45" customHeight="1">
      <c r="A28" s="27"/>
      <c r="B28" s="756" t="s">
        <v>244</v>
      </c>
      <c r="C28" s="757"/>
      <c r="D28" s="253">
        <f>'9. Detailed Results'!N51</f>
        <v>0</v>
      </c>
      <c r="E28" s="55"/>
      <c r="F28" s="27"/>
      <c r="G28" s="27"/>
      <c r="H28" s="27"/>
      <c r="I28" s="27"/>
      <c r="J28" s="27"/>
      <c r="K28" s="27"/>
      <c r="L28" s="27"/>
      <c r="M28" s="27"/>
      <c r="N28" s="27"/>
      <c r="O28" s="27"/>
      <c r="P28" s="59"/>
      <c r="Q28" s="31"/>
      <c r="R28" s="31"/>
      <c r="S28" s="31"/>
      <c r="T28" s="31"/>
      <c r="U28" s="31"/>
      <c r="V28" s="31"/>
      <c r="W28" s="27"/>
    </row>
    <row r="29" spans="1:23" ht="23.45" customHeight="1">
      <c r="A29" s="27"/>
      <c r="B29" s="756" t="s">
        <v>245</v>
      </c>
      <c r="C29" s="757"/>
      <c r="D29" s="253">
        <f>'9. Detailed Results'!N52</f>
        <v>0</v>
      </c>
      <c r="E29" s="55"/>
      <c r="F29" s="27"/>
      <c r="G29" s="27"/>
      <c r="H29" s="27"/>
      <c r="I29" s="27"/>
      <c r="J29" s="27"/>
      <c r="K29" s="27"/>
      <c r="L29" s="27"/>
      <c r="M29" s="27"/>
      <c r="N29" s="27"/>
      <c r="O29" s="27"/>
      <c r="P29" s="59"/>
      <c r="Q29" s="31"/>
      <c r="R29" s="31"/>
      <c r="S29" s="31"/>
      <c r="T29" s="31"/>
      <c r="U29" s="31"/>
      <c r="V29" s="31"/>
      <c r="W29" s="27"/>
    </row>
    <row r="30" spans="1:23" ht="23.45" customHeight="1">
      <c r="A30" s="27"/>
      <c r="B30" s="756" t="s">
        <v>246</v>
      </c>
      <c r="C30" s="757"/>
      <c r="D30" s="253">
        <f>'9. Detailed Results'!N53</f>
        <v>0</v>
      </c>
      <c r="E30" s="55"/>
      <c r="F30" s="27"/>
      <c r="G30" s="27"/>
      <c r="H30" s="27"/>
      <c r="I30" s="27"/>
      <c r="J30" s="27"/>
      <c r="K30" s="27"/>
      <c r="L30" s="27"/>
      <c r="M30" s="27"/>
      <c r="N30" s="27"/>
      <c r="O30" s="27"/>
      <c r="P30" s="59"/>
      <c r="Q30" s="31"/>
      <c r="R30" s="31"/>
      <c r="S30" s="31"/>
      <c r="T30" s="31"/>
      <c r="U30" s="31"/>
      <c r="V30" s="31"/>
      <c r="W30" s="27"/>
    </row>
    <row r="31" spans="1:23" ht="23.45" customHeight="1">
      <c r="A31" s="27"/>
      <c r="B31" s="756" t="s">
        <v>117</v>
      </c>
      <c r="C31" s="757"/>
      <c r="D31" s="253">
        <f>'9. Detailed Results'!N54</f>
        <v>0</v>
      </c>
      <c r="E31" s="55"/>
      <c r="F31" s="27"/>
      <c r="G31" s="27"/>
      <c r="H31" s="27"/>
      <c r="I31" s="27"/>
      <c r="J31" s="27"/>
      <c r="K31" s="27"/>
      <c r="L31" s="27"/>
      <c r="M31" s="27"/>
      <c r="N31" s="27"/>
      <c r="O31" s="27"/>
      <c r="P31" s="59"/>
      <c r="Q31" s="31"/>
      <c r="R31" s="31"/>
      <c r="S31" s="31"/>
      <c r="T31" s="31"/>
      <c r="U31" s="31"/>
      <c r="V31" s="31"/>
      <c r="W31" s="27"/>
    </row>
    <row r="32" spans="1:23" ht="23.45" customHeight="1">
      <c r="A32" s="27"/>
      <c r="B32" s="756" t="s">
        <v>247</v>
      </c>
      <c r="C32" s="757"/>
      <c r="D32" s="253">
        <f>'9. Detailed Results'!N55</f>
        <v>0</v>
      </c>
      <c r="E32" s="55"/>
      <c r="F32" s="29"/>
      <c r="G32" s="29"/>
      <c r="H32" s="29"/>
      <c r="I32" s="29"/>
      <c r="J32" s="29"/>
      <c r="K32" s="29"/>
      <c r="L32" s="30"/>
      <c r="M32" s="30"/>
      <c r="N32" s="27"/>
      <c r="O32" s="27"/>
      <c r="P32" s="59"/>
      <c r="Q32" s="31"/>
      <c r="R32" s="31"/>
      <c r="S32" s="31"/>
      <c r="T32" s="31"/>
      <c r="U32" s="31"/>
      <c r="V32" s="31"/>
      <c r="W32" s="27"/>
    </row>
    <row r="33" spans="1:23" ht="23.45" customHeight="1">
      <c r="A33" s="27"/>
      <c r="B33" s="756" t="s">
        <v>248</v>
      </c>
      <c r="C33" s="757"/>
      <c r="D33" s="253">
        <f>'9. Detailed Results'!N56</f>
        <v>0</v>
      </c>
      <c r="E33" s="55"/>
      <c r="F33" s="27"/>
      <c r="G33" s="27"/>
      <c r="H33" s="27"/>
      <c r="I33" s="27"/>
      <c r="J33" s="27"/>
      <c r="K33" s="27"/>
      <c r="L33" s="27"/>
      <c r="M33" s="27"/>
      <c r="N33" s="27"/>
      <c r="O33" s="27"/>
      <c r="P33" s="27"/>
      <c r="Q33" s="27"/>
      <c r="R33" s="27"/>
      <c r="S33" s="27"/>
      <c r="T33" s="27"/>
      <c r="U33" s="27"/>
      <c r="V33" s="27"/>
      <c r="W33" s="27"/>
    </row>
    <row r="34" spans="1:23" ht="23.45" customHeight="1">
      <c r="A34" s="27"/>
      <c r="B34" s="756" t="s">
        <v>260</v>
      </c>
      <c r="C34" s="757"/>
      <c r="D34" s="253">
        <f>'9. Detailed Results'!N57</f>
        <v>0</v>
      </c>
      <c r="E34" s="55"/>
      <c r="F34" s="27"/>
      <c r="G34" s="27"/>
      <c r="H34" s="27"/>
      <c r="I34" s="27"/>
      <c r="J34" s="27"/>
      <c r="K34" s="27"/>
      <c r="L34" s="27"/>
      <c r="M34" s="27"/>
      <c r="N34" s="27"/>
      <c r="O34" s="27"/>
      <c r="P34" s="27"/>
      <c r="Q34" s="27"/>
      <c r="R34" s="27"/>
      <c r="S34" s="27"/>
      <c r="T34" s="27"/>
      <c r="U34" s="27"/>
      <c r="V34" s="27"/>
      <c r="W34" s="27"/>
    </row>
    <row r="35" spans="1:23" s="60" customFormat="1" ht="23.45" customHeight="1">
      <c r="A35" s="31"/>
      <c r="B35" s="756" t="s">
        <v>268</v>
      </c>
      <c r="C35" s="757"/>
      <c r="D35" s="253">
        <f>'9. Detailed Results'!N58</f>
        <v>0</v>
      </c>
      <c r="E35" s="55"/>
      <c r="F35" s="61"/>
      <c r="G35" s="31"/>
      <c r="H35" s="31"/>
      <c r="I35" s="31"/>
      <c r="J35" s="31"/>
      <c r="K35" s="31"/>
      <c r="L35" s="31"/>
      <c r="M35" s="31"/>
      <c r="N35" s="31"/>
      <c r="O35" s="31"/>
      <c r="P35" s="31"/>
      <c r="Q35" s="31"/>
      <c r="R35" s="31"/>
      <c r="S35" s="31"/>
      <c r="T35" s="31"/>
      <c r="U35" s="31"/>
      <c r="V35" s="31"/>
      <c r="W35" s="31"/>
    </row>
    <row r="36" spans="1:23" s="60" customFormat="1" ht="23.45" customHeight="1">
      <c r="A36" s="31"/>
      <c r="B36" s="756" t="s">
        <v>270</v>
      </c>
      <c r="C36" s="757"/>
      <c r="D36" s="253">
        <f>'9. Detailed Results'!N59</f>
        <v>0</v>
      </c>
      <c r="E36" s="55"/>
      <c r="F36" s="61"/>
      <c r="G36" s="31"/>
      <c r="H36" s="31"/>
      <c r="I36" s="31"/>
      <c r="J36" s="31"/>
      <c r="K36" s="31"/>
      <c r="L36" s="31"/>
      <c r="M36" s="31"/>
      <c r="N36" s="31"/>
      <c r="O36" s="31"/>
      <c r="P36" s="31"/>
      <c r="Q36" s="31"/>
      <c r="R36" s="31"/>
      <c r="S36" s="31"/>
      <c r="T36" s="31"/>
      <c r="U36" s="31"/>
      <c r="V36" s="31"/>
      <c r="W36" s="31"/>
    </row>
    <row r="37" spans="1:23" ht="23.45" customHeight="1" thickBot="1">
      <c r="A37" s="27"/>
      <c r="B37" s="777" t="s">
        <v>227</v>
      </c>
      <c r="C37" s="778"/>
      <c r="D37" s="298">
        <f>SUM(D24:D36)</f>
        <v>0</v>
      </c>
      <c r="E37" s="55"/>
      <c r="F37" s="61"/>
      <c r="G37" s="31"/>
      <c r="H37" s="31"/>
      <c r="I37" s="31"/>
      <c r="J37" s="31"/>
      <c r="K37" s="31"/>
      <c r="L37" s="27"/>
      <c r="M37" s="27"/>
      <c r="N37" s="27"/>
      <c r="O37" s="27"/>
      <c r="P37" s="174"/>
      <c r="Q37" s="174"/>
      <c r="R37" s="174"/>
      <c r="S37" s="174"/>
      <c r="T37" s="174"/>
      <c r="U37" s="174"/>
      <c r="V37" s="174"/>
      <c r="W37" s="174"/>
    </row>
    <row r="38" spans="1:23" ht="18" customHeight="1">
      <c r="A38" s="27"/>
      <c r="B38" s="27"/>
      <c r="C38" s="31"/>
      <c r="D38" s="31"/>
      <c r="E38" s="55"/>
      <c r="F38" s="61"/>
      <c r="G38" s="31"/>
      <c r="H38" s="31"/>
      <c r="I38" s="31"/>
      <c r="J38" s="31"/>
      <c r="K38" s="31"/>
      <c r="L38" s="27"/>
      <c r="M38" s="27"/>
      <c r="N38" s="27"/>
      <c r="O38" s="27"/>
      <c r="P38" s="174"/>
      <c r="Q38" s="174"/>
      <c r="R38" s="174"/>
      <c r="S38" s="174"/>
      <c r="T38" s="174"/>
      <c r="U38" s="174"/>
      <c r="V38" s="174"/>
      <c r="W38" s="174"/>
    </row>
    <row r="39" spans="1:23" ht="18.600000000000001" customHeight="1">
      <c r="A39" s="27"/>
      <c r="B39" s="27"/>
      <c r="C39" s="31"/>
      <c r="D39" s="31"/>
      <c r="E39" s="55"/>
      <c r="F39" s="61"/>
      <c r="G39" s="31"/>
      <c r="H39" s="31"/>
      <c r="I39" s="31"/>
      <c r="J39" s="31"/>
      <c r="K39" s="31"/>
      <c r="L39" s="27"/>
      <c r="M39" s="27"/>
      <c r="N39" s="27"/>
      <c r="O39" s="27"/>
      <c r="P39" s="27"/>
      <c r="Q39" s="27"/>
      <c r="R39" s="27"/>
      <c r="S39" s="27"/>
      <c r="T39" s="27"/>
      <c r="U39" s="27"/>
      <c r="V39" s="27"/>
      <c r="W39" s="27"/>
    </row>
    <row r="40" spans="1:23" ht="18.600000000000001" hidden="1" customHeight="1">
      <c r="A40" s="27"/>
      <c r="B40" s="27"/>
      <c r="C40" s="31"/>
      <c r="D40" s="31"/>
      <c r="E40" s="31"/>
      <c r="F40" s="61"/>
      <c r="G40" s="31"/>
      <c r="H40" s="31"/>
      <c r="I40" s="31"/>
      <c r="J40" s="31"/>
      <c r="K40" s="31"/>
      <c r="L40" s="27"/>
      <c r="M40" s="27"/>
      <c r="N40" s="27"/>
      <c r="O40" s="27"/>
      <c r="P40" s="28"/>
      <c r="Q40" s="27"/>
      <c r="R40" s="27"/>
      <c r="S40" s="27"/>
      <c r="T40" s="27"/>
      <c r="U40" s="27"/>
      <c r="V40" s="27"/>
      <c r="W40" s="27"/>
    </row>
    <row r="41" spans="1:23" ht="18.600000000000001" hidden="1" customHeight="1">
      <c r="A41" s="27"/>
      <c r="B41" s="27"/>
      <c r="C41" s="31"/>
      <c r="D41" s="31"/>
      <c r="E41" s="31"/>
      <c r="F41" s="61"/>
      <c r="G41" s="31"/>
      <c r="H41" s="31"/>
      <c r="I41" s="31"/>
      <c r="J41" s="31"/>
      <c r="K41" s="31"/>
      <c r="L41" s="27"/>
      <c r="M41" s="27"/>
      <c r="N41" s="27"/>
      <c r="O41" s="27"/>
      <c r="P41" s="27"/>
      <c r="Q41" s="27"/>
      <c r="R41" s="27"/>
      <c r="S41" s="27"/>
      <c r="T41" s="27"/>
      <c r="U41" s="27"/>
      <c r="V41" s="27"/>
      <c r="W41" s="27"/>
    </row>
    <row r="42" spans="1:23" ht="18" hidden="1" customHeight="1">
      <c r="A42" s="27"/>
      <c r="B42" s="27"/>
      <c r="C42" s="31"/>
      <c r="D42" s="31"/>
      <c r="E42" s="31"/>
      <c r="F42" s="61"/>
      <c r="G42" s="31"/>
      <c r="H42" s="31"/>
      <c r="I42" s="31"/>
      <c r="J42" s="31"/>
      <c r="K42" s="31"/>
      <c r="L42" s="27"/>
      <c r="M42" s="27"/>
      <c r="N42" s="27"/>
      <c r="O42" s="27"/>
      <c r="P42" s="27"/>
      <c r="Q42" s="27"/>
      <c r="R42" s="27"/>
      <c r="S42" s="27"/>
      <c r="T42" s="27"/>
      <c r="U42" s="27"/>
      <c r="V42" s="27"/>
      <c r="W42" s="27"/>
    </row>
    <row r="43" spans="1:23" ht="18.600000000000001" hidden="1" customHeight="1">
      <c r="A43" s="27"/>
      <c r="B43" s="27"/>
      <c r="C43" s="31"/>
      <c r="D43" s="31"/>
      <c r="E43" s="31"/>
      <c r="F43" s="61"/>
      <c r="G43" s="31"/>
      <c r="H43" s="31"/>
      <c r="I43" s="31"/>
      <c r="J43" s="31"/>
      <c r="K43" s="31"/>
      <c r="L43" s="27"/>
      <c r="M43" s="27"/>
      <c r="N43" s="27"/>
      <c r="O43" s="27"/>
      <c r="P43" s="27"/>
      <c r="Q43" s="27"/>
      <c r="R43" s="27"/>
      <c r="S43" s="27"/>
      <c r="T43" s="27"/>
      <c r="U43" s="27"/>
      <c r="V43" s="27"/>
      <c r="W43" s="27"/>
    </row>
    <row r="44" spans="1:23" ht="18.600000000000001" hidden="1" customHeight="1">
      <c r="A44" s="27"/>
      <c r="B44" s="27"/>
      <c r="C44" s="31"/>
      <c r="D44" s="31"/>
      <c r="E44" s="31"/>
      <c r="F44" s="61"/>
      <c r="G44" s="31"/>
      <c r="H44" s="31"/>
      <c r="I44" s="31"/>
      <c r="J44" s="31"/>
      <c r="K44" s="31"/>
      <c r="L44" s="27"/>
      <c r="M44" s="27"/>
      <c r="N44" s="27"/>
      <c r="O44" s="27"/>
      <c r="P44" s="27"/>
      <c r="Q44" s="27"/>
      <c r="R44" s="27"/>
      <c r="S44" s="27"/>
      <c r="T44" s="27"/>
      <c r="U44" s="27"/>
      <c r="V44" s="27"/>
      <c r="W44" s="27"/>
    </row>
    <row r="45" spans="1:23" ht="18" hidden="1" customHeight="1">
      <c r="A45" s="27"/>
      <c r="B45" s="27"/>
      <c r="C45" s="31"/>
      <c r="D45" s="31"/>
      <c r="E45" s="31"/>
      <c r="F45" s="61"/>
      <c r="G45" s="31"/>
      <c r="H45" s="31"/>
      <c r="I45" s="31"/>
      <c r="J45" s="31"/>
      <c r="K45" s="31"/>
      <c r="L45" s="27"/>
      <c r="M45" s="27"/>
      <c r="N45" s="27"/>
      <c r="O45" s="27"/>
      <c r="P45" s="27"/>
      <c r="Q45" s="27"/>
      <c r="R45" s="27"/>
      <c r="S45" s="27"/>
      <c r="T45" s="27"/>
      <c r="U45" s="27"/>
      <c r="V45" s="27"/>
      <c r="W45" s="27"/>
    </row>
    <row r="46" spans="1:23" ht="18.600000000000001" hidden="1" customHeight="1">
      <c r="A46" s="27"/>
      <c r="B46" s="27"/>
      <c r="C46" s="31"/>
      <c r="D46" s="31"/>
      <c r="E46" s="31"/>
      <c r="F46" s="61"/>
      <c r="G46" s="31"/>
      <c r="H46" s="31"/>
      <c r="I46" s="31"/>
      <c r="J46" s="31"/>
      <c r="K46" s="31"/>
      <c r="L46" s="27"/>
      <c r="M46" s="27"/>
      <c r="N46" s="27"/>
      <c r="O46" s="27"/>
      <c r="P46" s="27"/>
      <c r="Q46" s="27"/>
      <c r="R46" s="27"/>
      <c r="S46" s="27"/>
      <c r="T46" s="27"/>
      <c r="U46" s="27"/>
      <c r="V46" s="27"/>
      <c r="W46" s="27"/>
    </row>
    <row r="47" spans="1:23" ht="18.600000000000001" hidden="1" customHeight="1">
      <c r="A47" s="27"/>
      <c r="B47" s="27"/>
      <c r="C47" s="31"/>
      <c r="D47" s="31"/>
      <c r="E47" s="31"/>
      <c r="F47" s="61"/>
      <c r="G47" s="31"/>
      <c r="H47" s="31"/>
      <c r="I47" s="31"/>
      <c r="J47" s="31"/>
      <c r="K47" s="31"/>
      <c r="L47" s="27"/>
      <c r="M47" s="27"/>
      <c r="N47" s="27"/>
      <c r="O47" s="27"/>
      <c r="P47" s="27"/>
      <c r="Q47" s="27"/>
      <c r="R47" s="27"/>
      <c r="S47" s="27"/>
      <c r="T47" s="27"/>
      <c r="U47" s="27"/>
      <c r="V47" s="27"/>
      <c r="W47" s="27"/>
    </row>
    <row r="48" spans="1:23" ht="18.600000000000001" hidden="1" customHeight="1">
      <c r="A48" s="27"/>
      <c r="B48" s="27"/>
      <c r="C48" s="31"/>
      <c r="D48" s="31"/>
      <c r="E48" s="31"/>
      <c r="F48" s="61"/>
      <c r="G48" s="31"/>
      <c r="H48" s="31"/>
      <c r="I48" s="31"/>
      <c r="J48" s="31"/>
      <c r="K48" s="31"/>
      <c r="L48" s="27"/>
      <c r="M48" s="27"/>
      <c r="N48" s="27"/>
      <c r="O48" s="27"/>
      <c r="P48" s="27"/>
      <c r="Q48" s="27"/>
      <c r="R48" s="27"/>
      <c r="S48" s="27"/>
      <c r="T48" s="27"/>
      <c r="U48" s="27"/>
      <c r="V48" s="27"/>
      <c r="W48" s="27"/>
    </row>
    <row r="49" spans="1:23" ht="18.600000000000001" hidden="1" customHeight="1">
      <c r="A49" s="27"/>
      <c r="B49" s="27"/>
      <c r="C49" s="31"/>
      <c r="D49" s="31"/>
      <c r="E49" s="31"/>
      <c r="F49" s="61"/>
      <c r="G49" s="31"/>
      <c r="H49" s="31"/>
      <c r="I49" s="31"/>
      <c r="J49" s="31"/>
      <c r="K49" s="31"/>
      <c r="L49" s="27"/>
      <c r="M49" s="27"/>
      <c r="N49" s="27"/>
      <c r="O49" s="27"/>
      <c r="P49" s="27"/>
      <c r="Q49" s="27"/>
      <c r="R49" s="27"/>
      <c r="S49" s="27"/>
      <c r="T49" s="27"/>
      <c r="U49" s="27"/>
      <c r="V49" s="27"/>
      <c r="W49" s="27"/>
    </row>
    <row r="50" spans="1:23" ht="15.6" hidden="1" customHeight="1">
      <c r="A50" s="27"/>
      <c r="B50" s="27"/>
      <c r="C50" s="31"/>
      <c r="D50" s="31"/>
      <c r="E50" s="31"/>
      <c r="F50" s="61"/>
      <c r="G50" s="31"/>
      <c r="H50" s="31"/>
      <c r="I50" s="31"/>
      <c r="J50" s="31"/>
      <c r="K50" s="31"/>
      <c r="L50" s="27"/>
      <c r="M50" s="27"/>
      <c r="N50" s="27"/>
      <c r="O50" s="27"/>
      <c r="P50" s="27"/>
      <c r="Q50" s="27"/>
      <c r="R50" s="27"/>
      <c r="S50" s="27"/>
      <c r="T50" s="27"/>
      <c r="U50" s="27"/>
      <c r="V50" s="27"/>
      <c r="W50" s="27"/>
    </row>
    <row r="51" spans="1:23" ht="18" hidden="1" customHeight="1">
      <c r="A51" s="27"/>
      <c r="B51" s="27"/>
      <c r="C51" s="31"/>
      <c r="D51" s="31"/>
      <c r="E51" s="31"/>
      <c r="F51" s="61"/>
      <c r="G51" s="31"/>
      <c r="H51" s="31"/>
      <c r="I51" s="31"/>
      <c r="J51" s="31"/>
      <c r="K51" s="31"/>
      <c r="L51" s="27"/>
      <c r="M51" s="27"/>
      <c r="N51" s="27"/>
      <c r="O51" s="27"/>
      <c r="P51" s="27"/>
      <c r="Q51" s="27"/>
      <c r="R51" s="27"/>
      <c r="S51" s="27"/>
      <c r="T51" s="27"/>
      <c r="U51" s="27"/>
      <c r="V51" s="27"/>
      <c r="W51" s="27"/>
    </row>
    <row r="52" spans="1:23" ht="14.45" hidden="1" customHeight="1">
      <c r="A52" s="27"/>
      <c r="B52" s="27"/>
      <c r="C52" s="31"/>
      <c r="D52" s="31"/>
      <c r="E52" s="27"/>
      <c r="F52" s="165"/>
      <c r="G52" s="165"/>
      <c r="H52" s="165"/>
      <c r="I52" s="165"/>
      <c r="J52" s="27"/>
      <c r="K52" s="27"/>
      <c r="L52" s="27"/>
      <c r="M52" s="27"/>
      <c r="N52" s="27"/>
      <c r="O52" s="27"/>
      <c r="P52" s="27"/>
      <c r="Q52" s="27"/>
      <c r="R52" s="27"/>
      <c r="S52" s="27"/>
      <c r="T52" s="27"/>
      <c r="U52" s="27"/>
      <c r="V52" s="27"/>
      <c r="W52" s="27"/>
    </row>
    <row r="53" spans="1:23" ht="14.45" hidden="1" customHeight="1">
      <c r="A53" s="27"/>
      <c r="B53" s="772" t="s">
        <v>286</v>
      </c>
      <c r="C53" s="231">
        <v>26000</v>
      </c>
      <c r="D53" s="31"/>
      <c r="E53" s="27"/>
      <c r="F53" s="165"/>
      <c r="G53" s="165"/>
      <c r="H53" s="165"/>
      <c r="I53" s="165"/>
      <c r="J53" s="27"/>
      <c r="K53" s="27"/>
      <c r="L53" s="27"/>
      <c r="M53" s="27"/>
      <c r="N53" s="27"/>
      <c r="O53" s="27"/>
      <c r="P53" s="27"/>
      <c r="Q53" s="27"/>
      <c r="R53" s="27"/>
      <c r="S53" s="27"/>
      <c r="T53" s="27"/>
      <c r="U53" s="27"/>
      <c r="V53" s="27"/>
      <c r="W53" s="27"/>
    </row>
    <row r="54" spans="1:23" ht="14.45" hidden="1" customHeight="1">
      <c r="A54" s="27"/>
      <c r="B54" s="772"/>
      <c r="C54" s="230"/>
      <c r="D54" s="27"/>
      <c r="E54" s="27"/>
      <c r="F54" s="165"/>
      <c r="G54" s="165"/>
      <c r="H54" s="165"/>
      <c r="I54" s="165"/>
      <c r="J54" s="27"/>
      <c r="K54" s="27"/>
      <c r="L54" s="27"/>
      <c r="M54" s="27"/>
      <c r="N54" s="27"/>
      <c r="O54" s="27"/>
      <c r="P54" s="27"/>
      <c r="Q54" s="27"/>
      <c r="R54" s="27"/>
      <c r="S54" s="27"/>
      <c r="T54" s="27"/>
      <c r="U54" s="27"/>
      <c r="V54" s="27"/>
      <c r="W54" s="27"/>
    </row>
    <row r="55" spans="1:23" ht="14.45" hidden="1" customHeight="1">
      <c r="A55" s="27"/>
      <c r="B55" s="773"/>
      <c r="C55" s="27"/>
      <c r="D55" s="27"/>
      <c r="E55" s="27"/>
      <c r="F55" s="165"/>
      <c r="G55" s="165"/>
      <c r="H55" s="165"/>
      <c r="I55" s="165"/>
      <c r="J55" s="27"/>
      <c r="K55" s="27"/>
      <c r="L55" s="27"/>
      <c r="M55" s="27"/>
      <c r="N55" s="27"/>
      <c r="O55" s="27"/>
      <c r="P55" s="27"/>
      <c r="Q55" s="27"/>
      <c r="R55" s="27"/>
      <c r="S55" s="27"/>
      <c r="T55" s="27"/>
      <c r="U55" s="27"/>
      <c r="V55" s="27"/>
      <c r="W55" s="27"/>
    </row>
    <row r="56" spans="1:23" ht="14.45" hidden="1" customHeight="1">
      <c r="A56" s="27"/>
      <c r="B56" s="773"/>
      <c r="C56" s="27"/>
      <c r="D56" s="27"/>
      <c r="E56" s="27"/>
      <c r="F56" s="165"/>
      <c r="G56" s="165"/>
      <c r="H56" s="165"/>
      <c r="I56" s="165"/>
      <c r="J56" s="27"/>
      <c r="K56" s="27"/>
      <c r="L56" s="27"/>
      <c r="M56" s="27"/>
      <c r="N56" s="27"/>
      <c r="O56" s="27"/>
      <c r="P56" s="27"/>
      <c r="Q56" s="27"/>
      <c r="R56" s="27"/>
      <c r="S56" s="27"/>
      <c r="T56" s="27"/>
      <c r="U56" s="27"/>
      <c r="V56" s="27"/>
      <c r="W56" s="27"/>
    </row>
    <row r="57" spans="1:23" ht="14.45" hidden="1" customHeight="1">
      <c r="A57" s="27"/>
      <c r="B57" s="27"/>
      <c r="C57" s="27"/>
      <c r="D57" s="27"/>
      <c r="E57" s="27"/>
      <c r="F57" s="165"/>
      <c r="G57" s="165"/>
      <c r="H57" s="165"/>
      <c r="I57" s="165"/>
      <c r="J57" s="27"/>
      <c r="K57" s="27"/>
      <c r="L57" s="27"/>
      <c r="M57" s="27"/>
      <c r="N57" s="27"/>
      <c r="O57" s="27"/>
      <c r="P57" s="27"/>
      <c r="Q57" s="27"/>
      <c r="R57" s="27"/>
      <c r="S57" s="27"/>
      <c r="T57" s="27"/>
      <c r="U57" s="27"/>
      <c r="V57" s="27"/>
      <c r="W57" s="27"/>
    </row>
    <row r="58" spans="1:23" ht="14.45" hidden="1" customHeight="1">
      <c r="A58" s="27"/>
      <c r="B58" s="27"/>
      <c r="C58" s="27"/>
      <c r="D58" s="27"/>
      <c r="E58" s="27"/>
      <c r="F58" s="165"/>
      <c r="G58" s="165"/>
      <c r="H58" s="165"/>
      <c r="I58" s="165"/>
      <c r="J58" s="27"/>
      <c r="K58" s="27"/>
      <c r="L58" s="27"/>
      <c r="M58" s="27"/>
      <c r="N58" s="27"/>
      <c r="O58" s="27"/>
      <c r="P58" s="27"/>
      <c r="Q58" s="27"/>
      <c r="R58" s="27"/>
      <c r="S58" s="27"/>
      <c r="T58" s="27"/>
      <c r="U58" s="27"/>
      <c r="V58" s="27"/>
      <c r="W58" s="27"/>
    </row>
    <row r="59" spans="1:23" ht="14.45" hidden="1" customHeight="1"/>
    <row r="60" spans="1:23" ht="14.45" hidden="1" customHeight="1"/>
    <row r="61" spans="1:23" ht="14.45" hidden="1" customHeight="1"/>
    <row r="62" spans="1:23" ht="14.45" hidden="1" customHeight="1"/>
  </sheetData>
  <sheetProtection algorithmName="SHA-512" hashValue="WxnFYJaF74Ngot7PRbzDYJ+Qb49cnu9tsy2Medzzubof4k9xFBFxIgWmDVNZNxGAR8Q5Lfn0UtyPMXIQCJaCTw==" saltValue="u9KSoLkrzn4NaJu7T6CW2w==" spinCount="100000" sheet="1" objects="1" scenarios="1"/>
  <mergeCells count="27">
    <mergeCell ref="B53:B54"/>
    <mergeCell ref="B55:B56"/>
    <mergeCell ref="B24:C24"/>
    <mergeCell ref="B23:C23"/>
    <mergeCell ref="G3:N3"/>
    <mergeCell ref="B32:C32"/>
    <mergeCell ref="B31:C31"/>
    <mergeCell ref="B30:C30"/>
    <mergeCell ref="B3:C3"/>
    <mergeCell ref="B37:C37"/>
    <mergeCell ref="B36:C36"/>
    <mergeCell ref="B35:C35"/>
    <mergeCell ref="B34:C34"/>
    <mergeCell ref="B33:C33"/>
    <mergeCell ref="B29:C29"/>
    <mergeCell ref="B28:C28"/>
    <mergeCell ref="B27:C27"/>
    <mergeCell ref="B26:C26"/>
    <mergeCell ref="B25:C25"/>
    <mergeCell ref="B2:C2"/>
    <mergeCell ref="B13:B15"/>
    <mergeCell ref="B9:B11"/>
    <mergeCell ref="B19:C19"/>
    <mergeCell ref="B18:C18"/>
    <mergeCell ref="B17:C17"/>
    <mergeCell ref="B7:C7"/>
    <mergeCell ref="B5:C5"/>
  </mergeCells>
  <conditionalFormatting sqref="D5">
    <cfRule type="cellIs" dxfId="102" priority="25" operator="equal">
      <formula>"BNG Targets Not Met"</formula>
    </cfRule>
    <cfRule type="cellIs" dxfId="101" priority="26" operator="equal">
      <formula>"BNG Targets Met"</formula>
    </cfRule>
  </conditionalFormatting>
  <conditionalFormatting sqref="D13:D15">
    <cfRule type="cellIs" dxfId="100" priority="8" operator="equal">
      <formula>"% target not appropriate"</formula>
    </cfRule>
    <cfRule type="cellIs" dxfId="99" priority="23" operator="greaterThanOrEqual">
      <formula>0.1</formula>
    </cfRule>
    <cfRule type="cellIs" dxfId="98" priority="24" operator="lessThan">
      <formula>0.1</formula>
    </cfRule>
  </conditionalFormatting>
  <conditionalFormatting sqref="D7">
    <cfRule type="cellIs" dxfId="97" priority="21" operator="equal">
      <formula>"BNG Tragets Not Met"</formula>
    </cfRule>
    <cfRule type="cellIs" dxfId="96" priority="22" operator="equal">
      <formula>"BNG Targets Met"</formula>
    </cfRule>
  </conditionalFormatting>
  <conditionalFormatting sqref="D9:D11">
    <cfRule type="expression" dxfId="95" priority="1">
      <formula>$E9&gt;=0</formula>
    </cfRule>
    <cfRule type="expression" dxfId="94" priority="2">
      <formula>$E9&lt;0</formula>
    </cfRule>
  </conditionalFormatting>
  <pageMargins left="0.7" right="0.7" top="0.75" bottom="0.75" header="0.3" footer="0.3"/>
  <pageSetup paperSize="9" scale="60"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40AD9-DAF0-43AB-A477-6B4C70610ECF}">
  <sheetPr codeName="Sheet12">
    <tabColor rgb="FFFF6600"/>
    <pageSetUpPr fitToPage="1"/>
  </sheetPr>
  <dimension ref="A1:AE82"/>
  <sheetViews>
    <sheetView topLeftCell="A20" zoomScale="60" zoomScaleNormal="60" workbookViewId="0">
      <selection activeCell="G15" sqref="G15:K15"/>
    </sheetView>
  </sheetViews>
  <sheetFormatPr defaultColWidth="0" defaultRowHeight="0" customHeight="1" zeroHeight="1"/>
  <cols>
    <col min="1" max="1" width="4.7109375" customWidth="1"/>
    <col min="2" max="5" width="7.7109375" customWidth="1"/>
    <col min="6" max="11" width="19.140625" customWidth="1"/>
    <col min="12" max="12" width="14.28515625" customWidth="1"/>
    <col min="13" max="13" width="29.140625" bestFit="1" customWidth="1"/>
    <col min="14" max="15" width="10.7109375" customWidth="1"/>
    <col min="16" max="16" width="15" customWidth="1"/>
    <col min="17" max="17" width="10.28515625" customWidth="1"/>
    <col min="18" max="22" width="8.85546875" customWidth="1"/>
    <col min="23" max="23" width="11.5703125" customWidth="1"/>
    <col min="24" max="24" width="8.85546875" customWidth="1"/>
    <col min="25" max="25" width="11.140625" customWidth="1"/>
    <col min="26" max="30" width="8.85546875" customWidth="1"/>
    <col min="31" max="31" width="0" hidden="1" customWidth="1"/>
    <col min="32" max="16384" width="8.85546875" hidden="1"/>
  </cols>
  <sheetData>
    <row r="1" spans="1:30" ht="15" thickBot="1">
      <c r="A1" s="27"/>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row>
    <row r="2" spans="1:30" ht="24.6" customHeight="1">
      <c r="A2" s="27"/>
      <c r="B2" s="504" t="s">
        <v>45</v>
      </c>
      <c r="C2" s="505"/>
      <c r="D2" s="505"/>
      <c r="E2" s="505"/>
      <c r="F2" s="505"/>
      <c r="G2" s="494" t="str">
        <f>IF('2. Site Details'!D5="","Enter site name on 2. Site Details",'2. Site Details'!D5)</f>
        <v>Land off Barnsley Rd, Darton</v>
      </c>
      <c r="H2" s="494"/>
      <c r="I2" s="494"/>
      <c r="J2" s="905"/>
      <c r="K2" s="495"/>
      <c r="L2" s="27"/>
      <c r="M2" s="55"/>
      <c r="N2" s="55"/>
      <c r="O2" s="55"/>
      <c r="P2" s="55"/>
      <c r="Q2" s="55"/>
      <c r="R2" s="55"/>
      <c r="S2" s="55"/>
      <c r="T2" s="55"/>
      <c r="U2" s="55"/>
      <c r="V2" s="55"/>
      <c r="W2" s="55"/>
      <c r="X2" s="55"/>
      <c r="Y2" s="55"/>
      <c r="Z2" s="55"/>
      <c r="AA2" s="55"/>
      <c r="AB2" s="55"/>
      <c r="AC2" s="55"/>
      <c r="AD2" s="27"/>
    </row>
    <row r="3" spans="1:30" ht="24.6" customHeight="1" thickBot="1">
      <c r="A3" s="27"/>
      <c r="B3" s="502" t="s">
        <v>16</v>
      </c>
      <c r="C3" s="503"/>
      <c r="D3" s="503"/>
      <c r="E3" s="503"/>
      <c r="F3" s="503"/>
      <c r="G3" s="492" t="s">
        <v>287</v>
      </c>
      <c r="H3" s="492"/>
      <c r="I3" s="492"/>
      <c r="J3" s="906"/>
      <c r="K3" s="493"/>
      <c r="L3" s="55"/>
      <c r="M3" s="55"/>
      <c r="N3" s="774"/>
      <c r="O3" s="774"/>
      <c r="P3" s="774"/>
      <c r="Q3" s="774"/>
      <c r="R3" s="774"/>
      <c r="S3" s="774"/>
      <c r="T3" s="774"/>
      <c r="U3" s="774"/>
      <c r="V3" s="55"/>
      <c r="W3" s="55"/>
      <c r="X3" s="55"/>
      <c r="Y3" s="55"/>
      <c r="Z3" s="55"/>
      <c r="AA3" s="55"/>
      <c r="AB3" s="55"/>
      <c r="AC3" s="55"/>
      <c r="AD3" s="27"/>
    </row>
    <row r="4" spans="1:30" ht="34.15" customHeight="1" thickBot="1">
      <c r="A4" s="27"/>
      <c r="B4" s="61" t="s">
        <v>273</v>
      </c>
      <c r="C4" s="27"/>
      <c r="D4" s="27"/>
      <c r="E4" s="27"/>
      <c r="F4" s="27"/>
      <c r="G4" s="27"/>
      <c r="H4" s="27"/>
      <c r="I4" s="27"/>
      <c r="J4" s="27"/>
      <c r="K4" s="27"/>
      <c r="L4" s="55"/>
      <c r="M4" s="55"/>
      <c r="N4" s="55"/>
      <c r="O4" s="55"/>
      <c r="P4" s="55"/>
      <c r="Q4" s="55"/>
      <c r="R4" s="55"/>
      <c r="S4" s="55"/>
      <c r="T4" s="55"/>
      <c r="U4" s="55"/>
      <c r="V4" s="55"/>
      <c r="W4" s="55"/>
      <c r="X4" s="55"/>
      <c r="Y4" s="55"/>
      <c r="Z4" s="55"/>
      <c r="AA4" s="55"/>
      <c r="AB4" s="55"/>
      <c r="AC4" s="55"/>
      <c r="AD4" s="27"/>
    </row>
    <row r="5" spans="1:30" ht="24.6" customHeight="1" thickBot="1">
      <c r="A5" s="27"/>
      <c r="B5" s="892" t="s">
        <v>274</v>
      </c>
      <c r="C5" s="893"/>
      <c r="D5" s="893"/>
      <c r="E5" s="893"/>
      <c r="F5" s="893"/>
      <c r="G5" s="899" t="str">
        <f>IF(OR(H22&lt;H26,H23&lt;H27,H24&lt;H28),"BNG Targets Not Met","BNG Targets Met")</f>
        <v>BNG Targets Met</v>
      </c>
      <c r="H5" s="899"/>
      <c r="I5" s="899"/>
      <c r="J5" s="899"/>
      <c r="K5" s="900"/>
      <c r="L5" s="55"/>
      <c r="M5" s="55"/>
      <c r="N5" s="55"/>
      <c r="O5" s="55"/>
      <c r="P5" s="55"/>
      <c r="Q5" s="55"/>
      <c r="R5" s="55"/>
      <c r="S5" s="55"/>
      <c r="T5" s="55"/>
      <c r="U5" s="55"/>
      <c r="V5" s="55"/>
      <c r="W5" s="55"/>
      <c r="X5" s="55"/>
      <c r="Y5" s="55"/>
      <c r="Z5" s="55"/>
      <c r="AA5" s="55"/>
      <c r="AB5" s="55"/>
      <c r="AC5" s="55"/>
      <c r="AD5" s="27"/>
    </row>
    <row r="6" spans="1:30" ht="24.6" customHeight="1" thickBot="1">
      <c r="A6" s="27"/>
      <c r="B6" s="27"/>
      <c r="C6" s="27"/>
      <c r="D6" s="27"/>
      <c r="E6" s="27"/>
      <c r="F6" s="27"/>
      <c r="G6" s="27"/>
      <c r="H6" s="27"/>
      <c r="I6" s="27"/>
      <c r="J6" s="27"/>
      <c r="K6" s="27"/>
      <c r="L6" s="55"/>
      <c r="M6" s="55"/>
      <c r="N6" s="55"/>
      <c r="O6" s="55"/>
      <c r="P6" s="55"/>
      <c r="Q6" s="55"/>
      <c r="R6" s="55"/>
      <c r="S6" s="55"/>
      <c r="T6" s="55"/>
      <c r="U6" s="55"/>
      <c r="V6" s="55"/>
      <c r="W6" s="55"/>
      <c r="X6" s="55"/>
      <c r="Y6" s="55"/>
      <c r="Z6" s="55"/>
      <c r="AA6" s="55"/>
      <c r="AB6" s="55"/>
      <c r="AC6" s="55"/>
      <c r="AD6" s="27"/>
    </row>
    <row r="7" spans="1:30" ht="24.6" customHeight="1" thickBot="1">
      <c r="A7" s="27"/>
      <c r="B7" s="892" t="s">
        <v>275</v>
      </c>
      <c r="C7" s="893"/>
      <c r="D7" s="893"/>
      <c r="E7" s="893"/>
      <c r="F7" s="893"/>
      <c r="G7" s="899" t="str">
        <f>IF(G5="BNG Targets Not Met","Scheme alterations or offsite units required","Submit metric to LPA")</f>
        <v>Submit metric to LPA</v>
      </c>
      <c r="H7" s="899"/>
      <c r="I7" s="899"/>
      <c r="J7" s="899"/>
      <c r="K7" s="900"/>
      <c r="L7" s="55"/>
      <c r="M7" s="55"/>
      <c r="N7" s="55"/>
      <c r="O7" s="55"/>
      <c r="P7" s="55"/>
      <c r="Q7" s="55"/>
      <c r="R7" s="55"/>
      <c r="S7" s="55"/>
      <c r="T7" s="55"/>
      <c r="U7" s="55"/>
      <c r="V7" s="55"/>
      <c r="W7" s="55"/>
      <c r="X7" s="55"/>
      <c r="Y7" s="55"/>
      <c r="Z7" s="55"/>
      <c r="AA7" s="55"/>
      <c r="AB7" s="55"/>
      <c r="AC7" s="55"/>
      <c r="AD7" s="27"/>
    </row>
    <row r="8" spans="1:30" ht="24.6" hidden="1" customHeight="1" thickBot="1">
      <c r="A8" s="27"/>
      <c r="B8" s="27"/>
      <c r="C8" s="27"/>
      <c r="D8" s="27"/>
      <c r="E8" s="27"/>
      <c r="F8" s="27"/>
      <c r="G8" s="27"/>
      <c r="H8" s="27"/>
      <c r="I8" s="27"/>
      <c r="J8" s="27"/>
      <c r="K8" s="27"/>
      <c r="L8" s="55"/>
      <c r="M8" s="55"/>
      <c r="N8" s="55"/>
      <c r="O8" s="55"/>
      <c r="P8" s="55"/>
      <c r="Q8" s="55"/>
      <c r="R8" s="55"/>
      <c r="S8" s="55"/>
      <c r="T8" s="55"/>
      <c r="U8" s="55"/>
      <c r="V8" s="55"/>
      <c r="W8" s="55"/>
      <c r="X8" s="55"/>
      <c r="Y8" s="55"/>
      <c r="Z8" s="55"/>
      <c r="AA8" s="55"/>
      <c r="AB8" s="55"/>
      <c r="AC8" s="55"/>
      <c r="AD8" s="27"/>
    </row>
    <row r="9" spans="1:30" ht="24.6" hidden="1" customHeight="1">
      <c r="A9" s="27"/>
      <c r="B9" s="769" t="s">
        <v>281</v>
      </c>
      <c r="C9" s="901"/>
      <c r="D9" s="901"/>
      <c r="E9" s="901"/>
      <c r="F9" s="901"/>
      <c r="G9" s="902">
        <f>IFERROR(IF(H26-H22&lt;0,0,H26-H22),"")</f>
        <v>0</v>
      </c>
      <c r="H9" s="903"/>
      <c r="I9" s="903"/>
      <c r="J9" s="903"/>
      <c r="K9" s="904"/>
      <c r="L9" s="55"/>
      <c r="M9" s="55"/>
      <c r="N9" s="55"/>
      <c r="O9" s="55"/>
      <c r="P9" s="55"/>
      <c r="Q9" s="55"/>
      <c r="R9" s="55"/>
      <c r="S9" s="55"/>
      <c r="T9" s="55"/>
      <c r="U9" s="55"/>
      <c r="V9" s="55"/>
      <c r="W9" s="55"/>
      <c r="X9" s="55"/>
      <c r="Y9" s="55"/>
      <c r="Z9" s="55"/>
      <c r="AA9" s="55"/>
      <c r="AB9" s="55"/>
      <c r="AC9" s="55"/>
      <c r="AD9" s="27"/>
    </row>
    <row r="10" spans="1:30" ht="24.6" hidden="1" customHeight="1">
      <c r="A10" s="27"/>
      <c r="B10" s="767" t="s">
        <v>282</v>
      </c>
      <c r="C10" s="884"/>
      <c r="D10" s="884"/>
      <c r="E10" s="884"/>
      <c r="F10" s="884"/>
      <c r="G10" s="885">
        <f t="shared" ref="G10:G11" si="0">IFERROR(IF(H27-H23&lt;0,0,H27-H23),"")</f>
        <v>0</v>
      </c>
      <c r="H10" s="886"/>
      <c r="I10" s="886"/>
      <c r="J10" s="886"/>
      <c r="K10" s="887"/>
      <c r="L10" s="55"/>
      <c r="M10" s="55"/>
      <c r="N10" s="55"/>
      <c r="O10" s="55"/>
      <c r="P10" s="55"/>
      <c r="Q10" s="55"/>
      <c r="R10" s="55"/>
      <c r="S10" s="55"/>
      <c r="T10" s="55"/>
      <c r="U10" s="55"/>
      <c r="V10" s="55"/>
      <c r="W10" s="55"/>
      <c r="X10" s="55"/>
      <c r="Y10" s="55"/>
      <c r="Z10" s="55"/>
      <c r="AA10" s="55"/>
      <c r="AB10" s="55"/>
      <c r="AC10" s="55"/>
      <c r="AD10" s="27"/>
    </row>
    <row r="11" spans="1:30" ht="24.6" hidden="1" customHeight="1" thickBot="1">
      <c r="A11" s="27"/>
      <c r="B11" s="765" t="s">
        <v>283</v>
      </c>
      <c r="C11" s="888"/>
      <c r="D11" s="888"/>
      <c r="E11" s="888"/>
      <c r="F11" s="888"/>
      <c r="G11" s="889">
        <f t="shared" si="0"/>
        <v>0</v>
      </c>
      <c r="H11" s="890"/>
      <c r="I11" s="890"/>
      <c r="J11" s="890"/>
      <c r="K11" s="891"/>
      <c r="L11" s="55"/>
      <c r="M11" s="55"/>
      <c r="N11" s="55"/>
      <c r="O11" s="55"/>
      <c r="P11" s="55"/>
      <c r="Q11" s="55"/>
      <c r="R11" s="55"/>
      <c r="S11" s="55"/>
      <c r="T11" s="55"/>
      <c r="U11" s="55"/>
      <c r="V11" s="55"/>
      <c r="W11" s="55"/>
      <c r="X11" s="55"/>
      <c r="Y11" s="55"/>
      <c r="Z11" s="55"/>
      <c r="AA11" s="55"/>
      <c r="AB11" s="55"/>
      <c r="AC11" s="55"/>
      <c r="AD11" s="27"/>
    </row>
    <row r="12" spans="1:30" ht="24.6" hidden="1" customHeight="1">
      <c r="A12" s="27"/>
      <c r="B12" s="27"/>
      <c r="C12" s="27"/>
      <c r="D12" s="27"/>
      <c r="E12" s="27"/>
      <c r="F12" s="27"/>
      <c r="G12" s="27"/>
      <c r="H12" s="27"/>
      <c r="I12" s="27"/>
      <c r="J12" s="27"/>
      <c r="K12" s="27"/>
      <c r="L12" s="55"/>
      <c r="M12" s="55"/>
      <c r="N12" s="55"/>
      <c r="O12" s="55"/>
      <c r="P12" s="55"/>
      <c r="Q12" s="55"/>
      <c r="R12" s="55"/>
      <c r="S12" s="55"/>
      <c r="T12" s="55"/>
      <c r="U12" s="55"/>
      <c r="V12" s="55"/>
      <c r="W12" s="55"/>
      <c r="X12" s="55"/>
      <c r="Y12" s="55"/>
      <c r="Z12" s="55"/>
      <c r="AA12" s="55"/>
      <c r="AB12" s="55"/>
      <c r="AC12" s="55"/>
      <c r="AD12" s="27"/>
    </row>
    <row r="13" spans="1:30" ht="24.6" hidden="1" customHeight="1">
      <c r="A13" s="27"/>
      <c r="B13" s="27"/>
      <c r="C13" s="27"/>
      <c r="D13" s="27"/>
      <c r="E13" s="27"/>
      <c r="F13" s="27"/>
      <c r="G13" s="27"/>
      <c r="H13" s="27"/>
      <c r="I13" s="237"/>
      <c r="J13" s="27"/>
      <c r="K13" s="27"/>
      <c r="L13" s="55"/>
      <c r="M13" s="55"/>
      <c r="N13" s="55"/>
      <c r="O13" s="55"/>
      <c r="P13" s="55"/>
      <c r="Q13" s="55"/>
      <c r="R13" s="55"/>
      <c r="S13" s="55"/>
      <c r="T13" s="55"/>
      <c r="U13" s="55"/>
      <c r="V13" s="55"/>
      <c r="W13" s="55"/>
      <c r="X13" s="55"/>
      <c r="Y13" s="55"/>
      <c r="Z13" s="55"/>
      <c r="AA13" s="55"/>
      <c r="AB13" s="55"/>
      <c r="AC13" s="55"/>
      <c r="AD13" s="27"/>
    </row>
    <row r="14" spans="1:30" ht="24.6" customHeight="1" thickBot="1">
      <c r="A14" s="27"/>
      <c r="B14" s="27"/>
      <c r="C14" s="27"/>
      <c r="D14" s="27"/>
      <c r="E14" s="27"/>
      <c r="F14" s="27"/>
      <c r="G14" s="27"/>
      <c r="H14" s="27"/>
      <c r="I14" s="27"/>
      <c r="J14" s="27"/>
      <c r="K14" s="27"/>
      <c r="L14" s="55"/>
      <c r="M14" s="55"/>
      <c r="N14" s="55"/>
      <c r="O14" s="55"/>
      <c r="P14" s="55"/>
      <c r="Q14" s="55"/>
      <c r="R14" s="55"/>
      <c r="S14" s="55"/>
      <c r="T14" s="55"/>
      <c r="U14" s="55"/>
      <c r="V14" s="55"/>
      <c r="W14" s="55"/>
      <c r="X14" s="55"/>
      <c r="Y14" s="55"/>
      <c r="Z14" s="55"/>
      <c r="AA14" s="55"/>
      <c r="AB14" s="55"/>
      <c r="AC14" s="55"/>
      <c r="AD14" s="27"/>
    </row>
    <row r="15" spans="1:30" ht="24.6" customHeight="1" thickBot="1">
      <c r="A15" s="27"/>
      <c r="B15" s="892" t="s">
        <v>288</v>
      </c>
      <c r="C15" s="893"/>
      <c r="D15" s="893"/>
      <c r="E15" s="893"/>
      <c r="F15" s="893"/>
      <c r="G15" s="894" t="str">
        <f>IF('5. Area Habitats'!J108+'5. Area Habitats'!J109+'6. Hedges &amp; Lines of Trees'!J97+'6. Hedges &amp; Lines of Trees'!J98+'7. Watercourses'!J97+'7. Watercourses'!J98&gt;0,"Trading Rules Not Satisfied","Trading Rules Satisfied")</f>
        <v>Trading Rules Satisfied</v>
      </c>
      <c r="H15" s="894"/>
      <c r="I15" s="894"/>
      <c r="J15" s="894"/>
      <c r="K15" s="895"/>
      <c r="L15" s="55"/>
      <c r="M15" s="55"/>
      <c r="N15" s="55"/>
      <c r="O15" s="55"/>
      <c r="P15" s="55"/>
      <c r="Q15" s="55"/>
      <c r="R15" s="55"/>
      <c r="S15" s="55"/>
      <c r="T15" s="55"/>
      <c r="U15" s="55"/>
      <c r="V15" s="55"/>
      <c r="W15" s="55"/>
      <c r="X15" s="55"/>
      <c r="Y15" s="55"/>
      <c r="Z15" s="55"/>
      <c r="AA15" s="55"/>
      <c r="AB15" s="55"/>
      <c r="AC15" s="55"/>
      <c r="AD15" s="27"/>
    </row>
    <row r="16" spans="1:30" ht="14.45">
      <c r="A16" s="27"/>
      <c r="B16" s="27"/>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row>
    <row r="17" spans="1:30" s="60" customFormat="1" ht="26.45" customHeight="1" thickBot="1">
      <c r="A17" s="31"/>
      <c r="B17" s="61" t="s">
        <v>289</v>
      </c>
      <c r="C17" s="31"/>
      <c r="D17" s="31"/>
      <c r="E17" s="31"/>
      <c r="F17" s="31"/>
      <c r="G17" s="31"/>
      <c r="H17" s="31"/>
      <c r="I17" s="31"/>
      <c r="J17" s="31"/>
      <c r="K17" s="31"/>
      <c r="L17" s="55"/>
      <c r="M17" s="61" t="s">
        <v>290</v>
      </c>
      <c r="N17" s="31"/>
      <c r="O17" s="31"/>
      <c r="P17" s="31"/>
      <c r="Q17" s="31"/>
      <c r="R17" s="31"/>
      <c r="S17" s="31"/>
      <c r="T17" s="31"/>
      <c r="U17" s="31"/>
      <c r="V17" s="31"/>
      <c r="W17" s="59"/>
      <c r="X17" s="31"/>
      <c r="Y17" s="31"/>
      <c r="Z17" s="31"/>
      <c r="AA17" s="31"/>
      <c r="AB17" s="31"/>
      <c r="AC17" s="31"/>
      <c r="AD17" s="31"/>
    </row>
    <row r="18" spans="1:30" s="60" customFormat="1" ht="26.45" customHeight="1">
      <c r="A18" s="31"/>
      <c r="B18" s="851" t="s">
        <v>291</v>
      </c>
      <c r="C18" s="852"/>
      <c r="D18" s="852"/>
      <c r="E18" s="852"/>
      <c r="F18" s="812" t="s">
        <v>277</v>
      </c>
      <c r="G18" s="896"/>
      <c r="H18" s="857">
        <f>IF('5. Area Habitats'!L32=0,"Zero Units Baseline",'5. Area Habitats'!L32)</f>
        <v>0.47563999999999995</v>
      </c>
      <c r="I18" s="858"/>
      <c r="J18" s="858"/>
      <c r="K18" s="859"/>
      <c r="L18" s="27"/>
      <c r="M18" s="27"/>
      <c r="N18" s="27"/>
      <c r="O18" s="27"/>
      <c r="P18" s="27"/>
      <c r="Q18" s="27"/>
      <c r="R18" s="27"/>
      <c r="S18" s="27"/>
      <c r="T18" s="27"/>
      <c r="U18" s="27"/>
      <c r="V18" s="31"/>
      <c r="W18" s="59"/>
      <c r="X18" s="31"/>
      <c r="Y18" s="31"/>
      <c r="Z18" s="31"/>
      <c r="AA18" s="31"/>
      <c r="AB18" s="31"/>
      <c r="AC18" s="31"/>
      <c r="AD18" s="31"/>
    </row>
    <row r="19" spans="1:30" s="60" customFormat="1" ht="26.45" customHeight="1">
      <c r="A19" s="31"/>
      <c r="B19" s="853"/>
      <c r="C19" s="854"/>
      <c r="D19" s="854"/>
      <c r="E19" s="854"/>
      <c r="F19" s="816" t="s">
        <v>278</v>
      </c>
      <c r="G19" s="897"/>
      <c r="H19" s="860" t="str">
        <f>IF('6. Hedges &amp; Lines of Trees'!L31=0,"Zero Units Baseline",'6. Hedges &amp; Lines of Trees'!L31)</f>
        <v>Zero Units Baseline</v>
      </c>
      <c r="I19" s="861"/>
      <c r="J19" s="861"/>
      <c r="K19" s="862"/>
      <c r="L19" s="27"/>
      <c r="M19" s="27"/>
      <c r="N19" s="27"/>
      <c r="O19" s="27"/>
      <c r="P19" s="27"/>
      <c r="Q19" s="27"/>
      <c r="R19" s="27"/>
      <c r="S19" s="27"/>
      <c r="T19" s="27"/>
      <c r="U19" s="27"/>
      <c r="V19" s="31"/>
      <c r="W19" s="59"/>
      <c r="X19" s="31"/>
      <c r="Y19" s="31"/>
      <c r="Z19" s="31"/>
      <c r="AA19" s="31"/>
      <c r="AB19" s="31"/>
      <c r="AC19" s="31"/>
      <c r="AD19" s="31"/>
    </row>
    <row r="20" spans="1:30" s="60" customFormat="1" ht="26.45" customHeight="1" thickBot="1">
      <c r="A20" s="31"/>
      <c r="B20" s="855"/>
      <c r="C20" s="856"/>
      <c r="D20" s="856"/>
      <c r="E20" s="856"/>
      <c r="F20" s="820" t="s">
        <v>279</v>
      </c>
      <c r="G20" s="898"/>
      <c r="H20" s="863" t="str">
        <f>IF('7. Watercourses'!L31=0,"Zero Units Baseline",'7. Watercourses'!L31)</f>
        <v>Zero Units Baseline</v>
      </c>
      <c r="I20" s="864"/>
      <c r="J20" s="864"/>
      <c r="K20" s="865"/>
      <c r="L20" s="27"/>
      <c r="M20" s="27"/>
      <c r="N20" s="27"/>
      <c r="O20" s="27"/>
      <c r="P20" s="27"/>
      <c r="Q20" s="27"/>
      <c r="R20" s="27"/>
      <c r="S20" s="27"/>
      <c r="T20" s="27"/>
      <c r="U20" s="27"/>
      <c r="V20" s="31"/>
      <c r="W20" s="59"/>
      <c r="X20" s="31"/>
      <c r="Y20" s="31"/>
      <c r="Z20" s="31"/>
      <c r="AA20" s="31"/>
      <c r="AB20" s="31"/>
      <c r="AC20" s="31"/>
      <c r="AD20" s="31"/>
    </row>
    <row r="21" spans="1:30" s="60" customFormat="1" ht="26.45" customHeight="1" thickBot="1">
      <c r="A21" s="31"/>
      <c r="B21" s="31"/>
      <c r="C21" s="31"/>
      <c r="D21" s="31"/>
      <c r="E21" s="31"/>
      <c r="F21" s="31"/>
      <c r="G21" s="31"/>
      <c r="H21" s="31"/>
      <c r="I21" s="31"/>
      <c r="J21" s="31"/>
      <c r="K21" s="31"/>
      <c r="L21" s="31"/>
      <c r="M21" s="27"/>
      <c r="N21" s="27"/>
      <c r="O21" s="27"/>
      <c r="P21" s="27"/>
      <c r="Q21" s="27"/>
      <c r="R21" s="27"/>
      <c r="S21" s="27"/>
      <c r="T21" s="27"/>
      <c r="U21" s="27"/>
      <c r="V21" s="31"/>
      <c r="W21" s="59"/>
      <c r="X21" s="31"/>
      <c r="Y21" s="31"/>
      <c r="Z21" s="31"/>
      <c r="AA21" s="31"/>
      <c r="AB21" s="31"/>
      <c r="AC21" s="31"/>
      <c r="AD21" s="31"/>
    </row>
    <row r="22" spans="1:30" s="60" customFormat="1" ht="26.45" customHeight="1">
      <c r="A22" s="31"/>
      <c r="B22" s="851" t="s">
        <v>292</v>
      </c>
      <c r="C22" s="852"/>
      <c r="D22" s="852"/>
      <c r="E22" s="852"/>
      <c r="F22" s="812" t="s">
        <v>277</v>
      </c>
      <c r="G22" s="813"/>
      <c r="H22" s="857">
        <f>'5. Area Habitats'!P3+'5. Area Habitats'!P4+'5. Area Habitats'!P1</f>
        <v>0.77867811708510393</v>
      </c>
      <c r="I22" s="858"/>
      <c r="J22" s="858"/>
      <c r="K22" s="859"/>
      <c r="L22" s="27"/>
      <c r="M22" s="27"/>
      <c r="N22" s="27"/>
      <c r="O22" s="27"/>
      <c r="P22" s="27"/>
      <c r="Q22" s="27"/>
      <c r="R22" s="27"/>
      <c r="S22" s="27"/>
      <c r="T22" s="27"/>
      <c r="U22" s="27"/>
      <c r="V22" s="31"/>
      <c r="W22" s="59"/>
      <c r="X22" s="31"/>
      <c r="Y22" s="31"/>
      <c r="Z22" s="31"/>
      <c r="AA22" s="31"/>
      <c r="AB22" s="31"/>
      <c r="AC22" s="31"/>
      <c r="AD22" s="31"/>
    </row>
    <row r="23" spans="1:30" s="60" customFormat="1" ht="26.45" customHeight="1">
      <c r="A23" s="31"/>
      <c r="B23" s="853"/>
      <c r="C23" s="854"/>
      <c r="D23" s="854"/>
      <c r="E23" s="854"/>
      <c r="F23" s="816" t="s">
        <v>278</v>
      </c>
      <c r="G23" s="817"/>
      <c r="H23" s="860">
        <f>'6. Hedges &amp; Lines of Trees'!P3+'6. Hedges &amp; Lines of Trees'!P4+'6. Hedges &amp; Lines of Trees'!P1</f>
        <v>0.31565178586632003</v>
      </c>
      <c r="I23" s="861"/>
      <c r="J23" s="861"/>
      <c r="K23" s="862"/>
      <c r="L23" s="27"/>
      <c r="M23" s="27"/>
      <c r="N23" s="27"/>
      <c r="O23" s="27"/>
      <c r="P23" s="27"/>
      <c r="Q23" s="27"/>
      <c r="R23" s="27"/>
      <c r="S23" s="27"/>
      <c r="T23" s="27"/>
      <c r="U23" s="27"/>
      <c r="V23" s="31"/>
      <c r="W23" s="59"/>
      <c r="X23" s="31"/>
      <c r="Y23" s="31"/>
      <c r="Z23" s="31"/>
      <c r="AA23" s="31"/>
      <c r="AB23" s="31"/>
      <c r="AC23" s="31"/>
      <c r="AD23" s="31"/>
    </row>
    <row r="24" spans="1:30" s="60" customFormat="1" ht="26.45" customHeight="1" thickBot="1">
      <c r="A24" s="31"/>
      <c r="B24" s="855"/>
      <c r="C24" s="856"/>
      <c r="D24" s="856"/>
      <c r="E24" s="856"/>
      <c r="F24" s="820" t="s">
        <v>279</v>
      </c>
      <c r="G24" s="821"/>
      <c r="H24" s="863">
        <f>'7. Watercourses'!P3+'7. Watercourses'!P4+'7. Watercourses'!P1</f>
        <v>0</v>
      </c>
      <c r="I24" s="864"/>
      <c r="J24" s="864"/>
      <c r="K24" s="865"/>
      <c r="L24" s="27"/>
      <c r="M24" s="27"/>
      <c r="N24" s="27"/>
      <c r="O24" s="27"/>
      <c r="P24" s="27" t="s">
        <v>293</v>
      </c>
      <c r="Q24" s="27" t="s">
        <v>294</v>
      </c>
      <c r="R24" s="27"/>
      <c r="S24" s="27"/>
      <c r="T24" s="27"/>
      <c r="U24" s="27"/>
      <c r="V24" s="31"/>
      <c r="W24" s="59"/>
      <c r="X24" s="31"/>
      <c r="Y24" s="31"/>
      <c r="Z24" s="31"/>
      <c r="AA24" s="31"/>
      <c r="AB24" s="31"/>
      <c r="AC24" s="31"/>
      <c r="AD24" s="31"/>
    </row>
    <row r="25" spans="1:30" s="60" customFormat="1" ht="26.45" customHeight="1" thickBot="1">
      <c r="A25" s="31"/>
      <c r="B25" s="31"/>
      <c r="C25" s="31"/>
      <c r="D25" s="31"/>
      <c r="E25" s="31"/>
      <c r="F25" s="31"/>
      <c r="G25" s="31"/>
      <c r="H25" s="31"/>
      <c r="I25" s="31"/>
      <c r="J25" s="31"/>
      <c r="K25" s="31"/>
      <c r="L25" s="27"/>
      <c r="M25" s="27"/>
      <c r="N25" s="849" t="s">
        <v>277</v>
      </c>
      <c r="O25" s="850"/>
      <c r="P25" s="54">
        <f>IF(H18="Zero Units Baseline",0,H18)</f>
        <v>0.47563999999999995</v>
      </c>
      <c r="Q25" s="54">
        <f>H22</f>
        <v>0.77867811708510393</v>
      </c>
      <c r="R25" s="27"/>
      <c r="S25" s="27"/>
      <c r="T25" s="27"/>
      <c r="U25" s="27"/>
      <c r="V25" s="31"/>
      <c r="W25" s="59"/>
      <c r="X25" s="31"/>
      <c r="Y25" s="31"/>
      <c r="Z25" s="31"/>
      <c r="AA25" s="31"/>
      <c r="AB25" s="31"/>
      <c r="AC25" s="31"/>
      <c r="AD25" s="31"/>
    </row>
    <row r="26" spans="1:30" s="60" customFormat="1" ht="26.45" customHeight="1" thickBot="1">
      <c r="A26" s="31"/>
      <c r="B26" s="866" t="s">
        <v>295</v>
      </c>
      <c r="C26" s="867"/>
      <c r="D26" s="867"/>
      <c r="E26" s="868"/>
      <c r="F26" s="833" t="s">
        <v>277</v>
      </c>
      <c r="G26" s="875"/>
      <c r="H26" s="876">
        <f>IF(H18="Zero Units Baseline",IF('2. Site Details'!D18="","Units target must be set on 2. Site Details",'2. Site Details'!D18),(H18/100*10)+H18)</f>
        <v>0.523204</v>
      </c>
      <c r="I26" s="877"/>
      <c r="J26" s="877"/>
      <c r="K26" s="878"/>
      <c r="L26" s="27"/>
      <c r="M26" s="27"/>
      <c r="N26" s="849" t="s">
        <v>278</v>
      </c>
      <c r="O26" s="850"/>
      <c r="P26" s="54">
        <f>IF(H19="Zero Units Baseline",0,H19)</f>
        <v>0</v>
      </c>
      <c r="Q26" s="54">
        <f>H23</f>
        <v>0.31565178586632003</v>
      </c>
      <c r="R26" s="27"/>
      <c r="S26" s="27"/>
      <c r="T26" s="27"/>
      <c r="U26" s="27"/>
      <c r="V26" s="31"/>
      <c r="W26" s="59"/>
      <c r="X26" s="31"/>
      <c r="Y26" s="31"/>
      <c r="Z26" s="31"/>
      <c r="AA26" s="31"/>
      <c r="AB26" s="31"/>
      <c r="AC26" s="31"/>
      <c r="AD26" s="31"/>
    </row>
    <row r="27" spans="1:30" s="60" customFormat="1" ht="26.45" customHeight="1">
      <c r="A27" s="31"/>
      <c r="B27" s="869"/>
      <c r="C27" s="870"/>
      <c r="D27" s="870"/>
      <c r="E27" s="871"/>
      <c r="F27" s="837" t="s">
        <v>278</v>
      </c>
      <c r="G27" s="879"/>
      <c r="H27" s="880">
        <f>IF(H19="Zero Units Baseline",IF('2. Site Details'!D19="","Units target must be set on 2. Site Details",'2. Site Details'!D19),(H19/100*10)+H19)</f>
        <v>0</v>
      </c>
      <c r="I27" s="881"/>
      <c r="J27" s="881"/>
      <c r="K27" s="882"/>
      <c r="L27" s="27"/>
      <c r="M27" s="27"/>
      <c r="N27" s="849" t="s">
        <v>279</v>
      </c>
      <c r="O27" s="850"/>
      <c r="P27" s="54">
        <f>IF(H20="Zero Units Baseline",0,H20)</f>
        <v>0</v>
      </c>
      <c r="Q27" s="54">
        <f>H24</f>
        <v>0</v>
      </c>
      <c r="R27" s="27"/>
      <c r="S27" s="27"/>
      <c r="T27" s="27"/>
      <c r="U27" s="27"/>
      <c r="V27" s="31"/>
      <c r="W27" s="59"/>
      <c r="X27" s="31"/>
      <c r="Y27" s="31"/>
      <c r="Z27" s="31"/>
      <c r="AA27" s="31"/>
      <c r="AB27" s="31"/>
      <c r="AC27" s="31"/>
      <c r="AD27" s="31"/>
    </row>
    <row r="28" spans="1:30" s="60" customFormat="1" ht="26.45" customHeight="1" thickBot="1">
      <c r="A28" s="31"/>
      <c r="B28" s="872"/>
      <c r="C28" s="873"/>
      <c r="D28" s="873"/>
      <c r="E28" s="874"/>
      <c r="F28" s="841" t="s">
        <v>279</v>
      </c>
      <c r="G28" s="883"/>
      <c r="H28" s="800">
        <f>IF(H20="Zero Units Baseline",IF('2. Site Details'!D20="","Units target must be set on 2. Site Details",'2. Site Details'!D20),(H20/100*10)+H20)</f>
        <v>0</v>
      </c>
      <c r="I28" s="801"/>
      <c r="J28" s="801"/>
      <c r="K28" s="802"/>
      <c r="L28" s="27"/>
      <c r="M28" s="27"/>
      <c r="N28" s="27"/>
      <c r="O28" s="27"/>
      <c r="P28" s="27"/>
      <c r="Q28" s="27"/>
      <c r="R28" s="27"/>
      <c r="S28" s="27"/>
      <c r="T28" s="27"/>
      <c r="U28" s="27"/>
      <c r="V28" s="31"/>
      <c r="W28" s="59"/>
      <c r="X28" s="31"/>
      <c r="Y28" s="31"/>
      <c r="Z28" s="31"/>
      <c r="AA28" s="31"/>
      <c r="AB28" s="31"/>
      <c r="AC28" s="31"/>
      <c r="AD28" s="31"/>
    </row>
    <row r="29" spans="1:30" s="60" customFormat="1" ht="12" customHeight="1">
      <c r="A29" s="31"/>
      <c r="B29" s="31"/>
      <c r="C29" s="31"/>
      <c r="D29" s="31"/>
      <c r="E29" s="31"/>
      <c r="F29" s="31"/>
      <c r="G29" s="31"/>
      <c r="H29" s="31"/>
      <c r="I29" s="31"/>
      <c r="J29" s="31"/>
      <c r="K29" s="31"/>
      <c r="L29" s="27"/>
      <c r="M29" s="27"/>
      <c r="N29" s="27"/>
      <c r="O29" s="27"/>
      <c r="P29" s="27"/>
      <c r="Q29" s="27"/>
      <c r="R29" s="27"/>
      <c r="S29" s="27"/>
      <c r="T29" s="27"/>
      <c r="U29" s="27"/>
      <c r="V29" s="31"/>
      <c r="W29" s="59"/>
      <c r="X29" s="31"/>
      <c r="Y29" s="31"/>
      <c r="Z29" s="31"/>
      <c r="AA29" s="31"/>
      <c r="AB29" s="31"/>
      <c r="AC29" s="31"/>
      <c r="AD29" s="31"/>
    </row>
    <row r="30" spans="1:30" s="60" customFormat="1" ht="11.45" customHeight="1" thickBot="1">
      <c r="A30" s="31"/>
      <c r="B30" s="164"/>
      <c r="C30" s="31"/>
      <c r="D30" s="31"/>
      <c r="E30" s="31"/>
      <c r="F30" s="31"/>
      <c r="G30" s="31"/>
      <c r="H30" s="163"/>
      <c r="I30" s="163"/>
      <c r="J30" s="163"/>
      <c r="K30" s="163"/>
      <c r="L30" s="27"/>
      <c r="M30" s="27"/>
      <c r="N30" s="27"/>
      <c r="O30" s="27"/>
      <c r="P30" s="27"/>
      <c r="Q30" s="27"/>
      <c r="R30" s="27"/>
      <c r="S30" s="27"/>
      <c r="T30" s="27"/>
      <c r="U30" s="27"/>
      <c r="V30" s="31"/>
      <c r="W30" s="59"/>
      <c r="X30" s="31"/>
      <c r="Y30" s="31"/>
      <c r="Z30" s="31"/>
      <c r="AA30" s="31"/>
      <c r="AB30" s="31"/>
      <c r="AC30" s="31"/>
      <c r="AD30" s="31"/>
    </row>
    <row r="31" spans="1:30" ht="21" customHeight="1">
      <c r="A31" s="27"/>
      <c r="B31" s="803" t="s">
        <v>276</v>
      </c>
      <c r="C31" s="804"/>
      <c r="D31" s="804"/>
      <c r="E31" s="805"/>
      <c r="F31" s="812" t="s">
        <v>277</v>
      </c>
      <c r="G31" s="813"/>
      <c r="H31" s="814">
        <f>'5. Area Habitats'!P5</f>
        <v>0.30303811708510398</v>
      </c>
      <c r="I31" s="814"/>
      <c r="J31" s="814"/>
      <c r="K31" s="815"/>
      <c r="L31" s="247">
        <f>H22-H26</f>
        <v>0.25547411708510392</v>
      </c>
      <c r="M31" s="27"/>
      <c r="N31" s="27"/>
      <c r="O31" s="27"/>
      <c r="P31" s="27"/>
      <c r="Q31" s="27"/>
      <c r="R31" s="27"/>
      <c r="S31" s="27"/>
      <c r="T31" s="27"/>
      <c r="U31" s="27"/>
      <c r="V31" s="27"/>
      <c r="W31" s="59"/>
      <c r="X31" s="31"/>
      <c r="Y31" s="31"/>
      <c r="Z31" s="31"/>
      <c r="AA31" s="31"/>
      <c r="AB31" s="31"/>
      <c r="AC31" s="31"/>
      <c r="AD31" s="27"/>
    </row>
    <row r="32" spans="1:30" ht="21" customHeight="1">
      <c r="A32" s="27"/>
      <c r="B32" s="806"/>
      <c r="C32" s="807"/>
      <c r="D32" s="807"/>
      <c r="E32" s="808"/>
      <c r="F32" s="816" t="s">
        <v>278</v>
      </c>
      <c r="G32" s="817"/>
      <c r="H32" s="818">
        <f>'6. Hedges &amp; Lines of Trees'!P5</f>
        <v>0.31565178586632003</v>
      </c>
      <c r="I32" s="818"/>
      <c r="J32" s="818"/>
      <c r="K32" s="819"/>
      <c r="L32" s="247">
        <f>H23-H27</f>
        <v>0.31565178586632003</v>
      </c>
      <c r="M32" s="27"/>
      <c r="N32" s="27"/>
      <c r="O32" s="27"/>
      <c r="P32" s="27"/>
      <c r="Q32" s="27"/>
      <c r="R32" s="27"/>
      <c r="S32" s="27"/>
      <c r="T32" s="27"/>
      <c r="U32" s="27"/>
      <c r="V32" s="27"/>
      <c r="W32" s="59"/>
      <c r="X32" s="31"/>
      <c r="Y32" s="31"/>
      <c r="Z32" s="31"/>
      <c r="AA32" s="31"/>
      <c r="AB32" s="31"/>
      <c r="AC32" s="31"/>
      <c r="AD32" s="27"/>
    </row>
    <row r="33" spans="1:30" ht="21" customHeight="1" thickBot="1">
      <c r="A33" s="27"/>
      <c r="B33" s="809"/>
      <c r="C33" s="810"/>
      <c r="D33" s="810"/>
      <c r="E33" s="811"/>
      <c r="F33" s="820" t="s">
        <v>279</v>
      </c>
      <c r="G33" s="821"/>
      <c r="H33" s="822">
        <f>'7. Watercourses'!P5</f>
        <v>0</v>
      </c>
      <c r="I33" s="822"/>
      <c r="J33" s="822"/>
      <c r="K33" s="823"/>
      <c r="L33" s="247">
        <f>H24-H28</f>
        <v>0</v>
      </c>
      <c r="M33" s="27"/>
      <c r="N33" s="27"/>
      <c r="O33" s="27"/>
      <c r="P33" s="27"/>
      <c r="Q33" s="27"/>
      <c r="R33" s="27"/>
      <c r="S33" s="27"/>
      <c r="T33" s="27"/>
      <c r="U33" s="27"/>
      <c r="V33" s="27"/>
      <c r="W33" s="59"/>
      <c r="X33" s="31"/>
      <c r="Y33" s="31"/>
      <c r="Z33" s="31"/>
      <c r="AA33" s="31"/>
      <c r="AB33" s="31"/>
      <c r="AC33" s="31"/>
      <c r="AD33" s="27"/>
    </row>
    <row r="34" spans="1:30" ht="21" customHeight="1" thickBot="1">
      <c r="A34" s="27"/>
      <c r="B34" s="29"/>
      <c r="C34" s="29"/>
      <c r="D34" s="29"/>
      <c r="E34" s="29"/>
      <c r="F34" s="27"/>
      <c r="G34" s="27"/>
      <c r="H34" s="163"/>
      <c r="I34" s="163"/>
      <c r="J34" s="163"/>
      <c r="K34" s="29"/>
      <c r="L34" s="27"/>
      <c r="M34" s="27"/>
      <c r="N34" s="27"/>
      <c r="O34" s="27"/>
      <c r="P34" s="27"/>
      <c r="Q34" s="27"/>
      <c r="R34" s="27"/>
      <c r="S34" s="27"/>
      <c r="T34" s="27"/>
      <c r="U34" s="27"/>
      <c r="V34" s="27"/>
      <c r="W34" s="59"/>
      <c r="X34" s="31"/>
      <c r="Y34" s="31"/>
      <c r="Z34" s="31"/>
      <c r="AA34" s="31"/>
      <c r="AB34" s="31"/>
      <c r="AC34" s="31"/>
      <c r="AD34" s="27"/>
    </row>
    <row r="35" spans="1:30" ht="21" customHeight="1">
      <c r="A35" s="27"/>
      <c r="B35" s="824" t="s">
        <v>280</v>
      </c>
      <c r="C35" s="825"/>
      <c r="D35" s="825"/>
      <c r="E35" s="826"/>
      <c r="F35" s="833" t="s">
        <v>277</v>
      </c>
      <c r="G35" s="834"/>
      <c r="H35" s="835">
        <f>IF(H18="Zero Units Baseline","% target not appropriate",H31/H18)</f>
        <v>0.63711655261353961</v>
      </c>
      <c r="I35" s="835"/>
      <c r="J35" s="835"/>
      <c r="K35" s="836"/>
      <c r="L35" s="27"/>
      <c r="M35" s="27"/>
      <c r="N35" s="27"/>
      <c r="O35" s="27"/>
      <c r="P35" s="27"/>
      <c r="Q35" s="27"/>
      <c r="R35" s="27"/>
      <c r="S35" s="27"/>
      <c r="T35" s="27"/>
      <c r="U35" s="27"/>
      <c r="V35" s="27"/>
      <c r="W35" s="59"/>
      <c r="X35" s="31"/>
      <c r="Y35" s="31"/>
      <c r="Z35" s="31"/>
      <c r="AA35" s="31"/>
      <c r="AB35" s="31"/>
      <c r="AC35" s="31"/>
      <c r="AD35" s="27"/>
    </row>
    <row r="36" spans="1:30" ht="21" customHeight="1">
      <c r="A36" s="27"/>
      <c r="B36" s="827"/>
      <c r="C36" s="828"/>
      <c r="D36" s="828"/>
      <c r="E36" s="829"/>
      <c r="F36" s="837" t="s">
        <v>278</v>
      </c>
      <c r="G36" s="838"/>
      <c r="H36" s="839" t="str">
        <f>IF(H19="Zero Units Baseline","% target not appropriate",H32/H19)</f>
        <v>% target not appropriate</v>
      </c>
      <c r="I36" s="839"/>
      <c r="J36" s="839"/>
      <c r="K36" s="840"/>
      <c r="L36" s="27"/>
      <c r="M36" s="27"/>
      <c r="N36" s="27"/>
      <c r="O36" s="27"/>
      <c r="P36" s="27"/>
      <c r="Q36" s="27"/>
      <c r="R36" s="27"/>
      <c r="S36" s="27"/>
      <c r="T36" s="27"/>
      <c r="U36" s="27"/>
      <c r="V36" s="27"/>
      <c r="W36" s="59"/>
      <c r="X36" s="31"/>
      <c r="Y36" s="31"/>
      <c r="Z36" s="31"/>
      <c r="AA36" s="31"/>
      <c r="AB36" s="31"/>
      <c r="AC36" s="31"/>
      <c r="AD36" s="27"/>
    </row>
    <row r="37" spans="1:30" ht="21" customHeight="1" thickBot="1">
      <c r="A37" s="27"/>
      <c r="B37" s="830"/>
      <c r="C37" s="831"/>
      <c r="D37" s="831"/>
      <c r="E37" s="832"/>
      <c r="F37" s="841" t="s">
        <v>279</v>
      </c>
      <c r="G37" s="842"/>
      <c r="H37" s="843" t="str">
        <f>IF(H20="Zero Units Baseline","% target not appropriate",H33/H20)</f>
        <v>% target not appropriate</v>
      </c>
      <c r="I37" s="843"/>
      <c r="J37" s="843"/>
      <c r="K37" s="844"/>
      <c r="L37" s="27"/>
      <c r="M37" s="29"/>
      <c r="N37" s="29"/>
      <c r="O37" s="29"/>
      <c r="P37" s="29"/>
      <c r="Q37" s="29"/>
      <c r="R37" s="29"/>
      <c r="S37" s="30"/>
      <c r="T37" s="30"/>
      <c r="U37" s="27"/>
      <c r="V37" s="27"/>
      <c r="W37" s="59"/>
      <c r="X37" s="31"/>
      <c r="Y37" s="31"/>
      <c r="Z37" s="31"/>
      <c r="AA37" s="31"/>
      <c r="AB37" s="31"/>
      <c r="AC37" s="31"/>
      <c r="AD37" s="27"/>
    </row>
    <row r="38" spans="1:30" ht="21" hidden="1" customHeight="1">
      <c r="A38" s="27"/>
      <c r="B38" s="27"/>
      <c r="C38" s="27"/>
      <c r="D38" s="27"/>
      <c r="E38" s="27"/>
      <c r="F38" s="27"/>
      <c r="G38" s="27"/>
      <c r="H38" s="28"/>
      <c r="I38" s="27"/>
      <c r="J38" s="27"/>
      <c r="K38" s="27"/>
      <c r="L38" s="27"/>
      <c r="M38" s="27"/>
      <c r="N38" s="27"/>
      <c r="O38" s="27"/>
      <c r="P38" s="27"/>
      <c r="Q38" s="27"/>
      <c r="R38" s="27"/>
      <c r="S38" s="27"/>
      <c r="T38" s="27"/>
      <c r="U38" s="27"/>
      <c r="V38" s="27"/>
      <c r="W38" s="27"/>
      <c r="X38" s="27"/>
      <c r="Y38" s="27"/>
      <c r="Z38" s="27"/>
      <c r="AA38" s="27"/>
      <c r="AB38" s="27"/>
      <c r="AC38" s="27"/>
      <c r="AD38" s="27"/>
    </row>
    <row r="39" spans="1:30" ht="21" hidden="1" customHeight="1">
      <c r="A39" s="27"/>
      <c r="B39" s="27"/>
      <c r="C39" s="27"/>
      <c r="D39" s="27"/>
      <c r="E39" s="27"/>
      <c r="F39" s="27"/>
      <c r="G39" s="27"/>
      <c r="H39" s="27"/>
      <c r="I39" s="28"/>
      <c r="J39" s="27"/>
      <c r="K39" s="27"/>
      <c r="L39" s="27"/>
      <c r="M39" s="27"/>
      <c r="N39" s="27"/>
      <c r="O39" s="27"/>
      <c r="P39" s="27"/>
      <c r="Q39" s="27"/>
      <c r="R39" s="27"/>
      <c r="S39" s="27"/>
      <c r="T39" s="27"/>
      <c r="U39" s="27"/>
      <c r="V39" s="27"/>
      <c r="W39" s="27"/>
      <c r="X39" s="27"/>
      <c r="Y39" s="27"/>
      <c r="Z39" s="27"/>
      <c r="AA39" s="27"/>
      <c r="AB39" s="27"/>
      <c r="AC39" s="27"/>
      <c r="AD39" s="27"/>
    </row>
    <row r="40" spans="1:30" s="60" customFormat="1" ht="28.9" customHeight="1">
      <c r="A40" s="31"/>
      <c r="B40" s="61" t="s">
        <v>284</v>
      </c>
      <c r="C40" s="31"/>
      <c r="D40" s="31"/>
      <c r="E40" s="31"/>
      <c r="F40" s="31"/>
      <c r="G40" s="31"/>
      <c r="H40" s="31"/>
      <c r="I40" s="31"/>
      <c r="J40" s="31"/>
      <c r="K40" s="31"/>
      <c r="L40" s="31"/>
      <c r="M40" s="61" t="s">
        <v>296</v>
      </c>
      <c r="N40" s="31"/>
      <c r="O40" s="31"/>
      <c r="P40" s="31"/>
      <c r="Q40" s="31"/>
      <c r="R40" s="31"/>
      <c r="S40" s="31"/>
      <c r="T40" s="31"/>
      <c r="U40" s="31"/>
      <c r="V40" s="31"/>
      <c r="W40" s="31"/>
      <c r="X40" s="31"/>
      <c r="Y40" s="31"/>
      <c r="Z40" s="31"/>
      <c r="AA40" s="31"/>
      <c r="AB40" s="31"/>
      <c r="AC40" s="31"/>
      <c r="AD40" s="31"/>
    </row>
    <row r="41" spans="1:30" s="60" customFormat="1" ht="17.45" customHeight="1" thickBot="1">
      <c r="A41" s="31"/>
      <c r="B41" s="61"/>
      <c r="C41" s="31"/>
      <c r="D41" s="31"/>
      <c r="E41" s="31"/>
      <c r="F41" s="31"/>
      <c r="G41" s="195"/>
      <c r="H41" s="345"/>
      <c r="I41" s="345"/>
      <c r="J41" s="345" t="s">
        <v>297</v>
      </c>
      <c r="K41" s="345"/>
      <c r="L41" s="345"/>
      <c r="M41" s="61"/>
      <c r="N41" s="31"/>
      <c r="O41" s="31"/>
      <c r="P41" s="31"/>
      <c r="Q41" s="31"/>
      <c r="R41" s="31"/>
      <c r="S41" s="31"/>
      <c r="T41" s="31"/>
      <c r="U41" s="31"/>
      <c r="V41" s="31"/>
      <c r="W41" s="31"/>
      <c r="X41" s="31"/>
      <c r="Y41" s="31"/>
      <c r="Z41" s="31"/>
      <c r="AA41" s="31"/>
      <c r="AB41" s="31"/>
      <c r="AC41" s="31"/>
      <c r="AD41" s="31"/>
    </row>
    <row r="42" spans="1:30" ht="54.6" thickBot="1">
      <c r="A42" s="27"/>
      <c r="B42" s="798" t="s">
        <v>298</v>
      </c>
      <c r="C42" s="799"/>
      <c r="D42" s="799"/>
      <c r="E42" s="799"/>
      <c r="F42" s="440" t="s">
        <v>299</v>
      </c>
      <c r="G42" s="441" t="s">
        <v>300</v>
      </c>
      <c r="H42" s="346" t="s">
        <v>301</v>
      </c>
      <c r="I42" s="345"/>
      <c r="J42" s="346" t="s">
        <v>235</v>
      </c>
      <c r="K42" s="346" t="s">
        <v>236</v>
      </c>
      <c r="L42" s="346" t="s">
        <v>234</v>
      </c>
      <c r="M42" s="249"/>
      <c r="N42" s="27"/>
      <c r="O42" s="27"/>
      <c r="P42" s="28"/>
      <c r="Q42" s="27"/>
      <c r="R42" s="27"/>
      <c r="S42" s="27"/>
      <c r="T42" s="27"/>
      <c r="U42" s="27"/>
      <c r="V42" s="27"/>
      <c r="W42" s="174"/>
      <c r="X42" s="174"/>
      <c r="Y42" s="174"/>
      <c r="Z42" s="174"/>
      <c r="AA42" s="174"/>
      <c r="AB42" s="174"/>
      <c r="AC42" s="174"/>
      <c r="AD42" s="174"/>
    </row>
    <row r="43" spans="1:30" ht="18.75" customHeight="1">
      <c r="A43" s="907" t="s">
        <v>302</v>
      </c>
      <c r="B43" s="796" t="s">
        <v>303</v>
      </c>
      <c r="C43" s="797"/>
      <c r="D43" s="797"/>
      <c r="E43" s="797"/>
      <c r="F43" s="845" t="s">
        <v>304</v>
      </c>
      <c r="G43" s="929">
        <f>SUMIFS($H$45:$H$64,$L$45:$L$64,"Low")</f>
        <v>0</v>
      </c>
      <c r="H43" s="346"/>
      <c r="I43" s="345"/>
      <c r="J43" s="346"/>
      <c r="K43" s="346"/>
      <c r="L43" s="346"/>
      <c r="M43" s="249"/>
      <c r="N43" s="27"/>
      <c r="O43" s="27"/>
      <c r="P43" s="28"/>
      <c r="Q43" s="27"/>
      <c r="R43" s="27"/>
      <c r="S43" s="27"/>
      <c r="T43" s="27"/>
      <c r="U43" s="27"/>
      <c r="V43" s="27"/>
      <c r="W43" s="174"/>
      <c r="X43" s="174"/>
      <c r="Y43" s="174"/>
      <c r="Z43" s="174"/>
      <c r="AA43" s="174"/>
      <c r="AB43" s="174"/>
      <c r="AC43" s="174"/>
      <c r="AD43" s="174"/>
    </row>
    <row r="44" spans="1:30" ht="18">
      <c r="A44" s="908"/>
      <c r="B44" s="792"/>
      <c r="C44" s="793"/>
      <c r="D44" s="793"/>
      <c r="E44" s="793"/>
      <c r="F44" s="846"/>
      <c r="G44" s="930"/>
      <c r="H44" s="346"/>
      <c r="I44" s="345"/>
      <c r="J44" s="346"/>
      <c r="K44" s="346"/>
      <c r="L44" s="346"/>
      <c r="M44" s="249"/>
      <c r="N44" s="27"/>
      <c r="O44" s="27"/>
      <c r="P44" s="28"/>
      <c r="Q44" s="27"/>
      <c r="R44" s="27"/>
      <c r="S44" s="27"/>
      <c r="T44" s="27"/>
      <c r="U44" s="27"/>
      <c r="V44" s="27"/>
      <c r="W44" s="174"/>
      <c r="X44" s="174"/>
      <c r="Y44" s="174"/>
      <c r="Z44" s="174"/>
      <c r="AA44" s="174"/>
      <c r="AB44" s="174"/>
      <c r="AC44" s="174"/>
      <c r="AD44" s="174"/>
    </row>
    <row r="45" spans="1:30" ht="18" customHeight="1">
      <c r="A45" s="908"/>
      <c r="B45" s="792" t="s">
        <v>239</v>
      </c>
      <c r="C45" s="793"/>
      <c r="D45" s="793"/>
      <c r="E45" s="793"/>
      <c r="F45" s="847" t="s">
        <v>305</v>
      </c>
      <c r="G45" s="779">
        <f>H46</f>
        <v>0</v>
      </c>
      <c r="H45" s="347">
        <f>IF(J45-K45&lt;0,0,IF('5. Area Habitats'!$I$137="Yes",0,J45-K45))</f>
        <v>0</v>
      </c>
      <c r="I45" s="348">
        <f t="shared" ref="I45:I70" si="1">IFERROR(IF(H45&lt;=0,0,H45*$F$43),"")</f>
        <v>0</v>
      </c>
      <c r="J45" s="347">
        <f>'5. Area Habitats'!F114</f>
        <v>0</v>
      </c>
      <c r="K45" s="347">
        <f>'5. Area Habitats'!G114</f>
        <v>0</v>
      </c>
      <c r="L45" s="431" t="s">
        <v>240</v>
      </c>
      <c r="M45" s="28"/>
      <c r="N45" s="27"/>
      <c r="O45" s="27"/>
      <c r="P45" s="28"/>
      <c r="Q45" s="27"/>
      <c r="R45" s="27"/>
      <c r="S45" s="27"/>
      <c r="T45" s="27"/>
      <c r="U45" s="27"/>
      <c r="V45" s="27"/>
      <c r="W45" s="174"/>
      <c r="X45" s="174"/>
      <c r="Y45" s="174"/>
      <c r="Z45" s="174"/>
      <c r="AA45" s="174"/>
      <c r="AB45" s="174"/>
      <c r="AC45" s="174"/>
      <c r="AD45" s="174"/>
    </row>
    <row r="46" spans="1:30" ht="18.600000000000001" customHeight="1">
      <c r="A46" s="908"/>
      <c r="B46" s="792"/>
      <c r="C46" s="793"/>
      <c r="D46" s="793"/>
      <c r="E46" s="793"/>
      <c r="F46" s="848"/>
      <c r="G46" s="780"/>
      <c r="H46" s="347">
        <f>IF(J46-K46&lt;0,0,IF('5. Area Habitats'!$I$136="Yes",0,J46-K46))</f>
        <v>0</v>
      </c>
      <c r="I46" s="348">
        <f t="shared" si="1"/>
        <v>0</v>
      </c>
      <c r="J46" s="347">
        <f>'5. Area Habitats'!F115</f>
        <v>0</v>
      </c>
      <c r="K46" s="347">
        <f>'5. Area Habitats'!G115</f>
        <v>0</v>
      </c>
      <c r="L46" s="432" t="s">
        <v>242</v>
      </c>
      <c r="M46" s="28" t="s">
        <v>306</v>
      </c>
      <c r="N46" s="27" t="s">
        <v>307</v>
      </c>
      <c r="O46" s="27"/>
      <c r="P46" s="28"/>
      <c r="Q46" s="27"/>
      <c r="R46" s="27"/>
      <c r="S46" s="27"/>
      <c r="T46" s="27"/>
      <c r="U46" s="27"/>
      <c r="V46" s="27"/>
      <c r="W46" s="174"/>
      <c r="X46" s="174"/>
      <c r="Y46" s="174"/>
      <c r="Z46" s="174"/>
      <c r="AA46" s="174"/>
      <c r="AB46" s="174"/>
      <c r="AC46" s="174"/>
      <c r="AD46" s="174"/>
    </row>
    <row r="47" spans="1:30" ht="18.600000000000001" customHeight="1">
      <c r="A47" s="908"/>
      <c r="B47" s="792" t="s">
        <v>112</v>
      </c>
      <c r="C47" s="793"/>
      <c r="D47" s="793"/>
      <c r="E47" s="793"/>
      <c r="F47" s="785" t="s">
        <v>305</v>
      </c>
      <c r="G47" s="779">
        <f>H48</f>
        <v>0</v>
      </c>
      <c r="H47" s="347">
        <f>IF(J47-K47&lt;0,0,IF('5. Area Habitats'!$I$137="Yes",0,J47-K47))</f>
        <v>0</v>
      </c>
      <c r="I47" s="348">
        <f t="shared" si="1"/>
        <v>0</v>
      </c>
      <c r="J47" s="347">
        <f>'5. Area Habitats'!F116</f>
        <v>0.33579999999999993</v>
      </c>
      <c r="K47" s="347">
        <f>'5. Area Habitats'!G116</f>
        <v>0</v>
      </c>
      <c r="L47" s="431" t="s">
        <v>240</v>
      </c>
      <c r="M47" s="438" t="s">
        <v>239</v>
      </c>
      <c r="N47" s="439">
        <f>H45+H46</f>
        <v>0</v>
      </c>
      <c r="O47" s="27"/>
      <c r="P47" s="28"/>
      <c r="Q47" s="27"/>
      <c r="R47" s="27"/>
      <c r="S47" s="27"/>
      <c r="T47" s="27"/>
      <c r="U47" s="27"/>
      <c r="V47" s="27"/>
      <c r="W47" s="27"/>
      <c r="X47" s="27"/>
      <c r="Y47" s="27"/>
      <c r="Z47" s="27"/>
      <c r="AA47" s="27"/>
      <c r="AB47" s="27"/>
      <c r="AC47" s="27"/>
      <c r="AD47" s="27"/>
    </row>
    <row r="48" spans="1:30" ht="18.600000000000001" customHeight="1">
      <c r="A48" s="908"/>
      <c r="B48" s="792"/>
      <c r="C48" s="793"/>
      <c r="D48" s="793"/>
      <c r="E48" s="793"/>
      <c r="F48" s="788"/>
      <c r="G48" s="780"/>
      <c r="H48" s="347">
        <f>IF(J48-K48&lt;0,0,IF('5. Area Habitats'!$I$136="Yes",0,J48-K48))</f>
        <v>0</v>
      </c>
      <c r="I48" s="348">
        <f t="shared" si="1"/>
        <v>0</v>
      </c>
      <c r="J48" s="347">
        <f>'5. Area Habitats'!F117</f>
        <v>0</v>
      </c>
      <c r="K48" s="347">
        <f>'5. Area Habitats'!G117</f>
        <v>0.19324048354255199</v>
      </c>
      <c r="L48" s="432" t="s">
        <v>242</v>
      </c>
      <c r="M48" s="438" t="s">
        <v>112</v>
      </c>
      <c r="N48" s="439">
        <f>H47+H48</f>
        <v>0</v>
      </c>
      <c r="O48" s="27"/>
      <c r="P48" s="28"/>
      <c r="Q48" s="27"/>
      <c r="R48" s="27"/>
      <c r="S48" s="27"/>
      <c r="T48" s="27"/>
      <c r="U48" s="27"/>
      <c r="V48" s="27"/>
      <c r="W48" s="28"/>
      <c r="X48" s="27"/>
      <c r="Y48" s="27"/>
      <c r="Z48" s="27"/>
      <c r="AA48" s="27"/>
      <c r="AB48" s="27"/>
      <c r="AC48" s="27"/>
      <c r="AD48" s="27"/>
    </row>
    <row r="49" spans="1:30" ht="18.600000000000001" customHeight="1">
      <c r="A49" s="908"/>
      <c r="B49" s="792" t="s">
        <v>115</v>
      </c>
      <c r="C49" s="793"/>
      <c r="D49" s="793"/>
      <c r="E49" s="793"/>
      <c r="F49" s="785" t="s">
        <v>305</v>
      </c>
      <c r="G49" s="779">
        <f>H50</f>
        <v>0</v>
      </c>
      <c r="H49" s="347">
        <f>IF(J49-K49&lt;0,0,IF('5. Area Habitats'!$I$137="Yes",0,J49-K49))</f>
        <v>0</v>
      </c>
      <c r="I49" s="348">
        <f t="shared" si="1"/>
        <v>0</v>
      </c>
      <c r="J49" s="347">
        <f>'5. Area Habitats'!F118</f>
        <v>0</v>
      </c>
      <c r="K49" s="347">
        <f>'5. Area Habitats'!G118</f>
        <v>0</v>
      </c>
      <c r="L49" s="431" t="s">
        <v>240</v>
      </c>
      <c r="M49" s="438" t="s">
        <v>115</v>
      </c>
      <c r="N49" s="439">
        <f>H49+H50</f>
        <v>0</v>
      </c>
      <c r="O49" s="27"/>
      <c r="P49" s="28"/>
      <c r="Q49" s="27"/>
      <c r="R49" s="27"/>
      <c r="S49" s="27"/>
      <c r="T49" s="27"/>
      <c r="U49" s="27"/>
      <c r="V49" s="27"/>
      <c r="W49" s="28"/>
      <c r="X49" s="27"/>
      <c r="Y49" s="27"/>
      <c r="Z49" s="27"/>
      <c r="AA49" s="27"/>
      <c r="AB49" s="27"/>
      <c r="AC49" s="27"/>
      <c r="AD49" s="27"/>
    </row>
    <row r="50" spans="1:30" ht="18.600000000000001" customHeight="1">
      <c r="A50" s="908"/>
      <c r="B50" s="792"/>
      <c r="C50" s="793"/>
      <c r="D50" s="793"/>
      <c r="E50" s="793"/>
      <c r="F50" s="788"/>
      <c r="G50" s="780"/>
      <c r="H50" s="347">
        <f>IF(J50-K50&lt;0,0,IF('5. Area Habitats'!$I$136="Yes",0,J50-K50))</f>
        <v>0</v>
      </c>
      <c r="I50" s="348">
        <f t="shared" si="1"/>
        <v>0</v>
      </c>
      <c r="J50" s="347">
        <f>'5. Area Habitats'!F119</f>
        <v>0.13983999999999999</v>
      </c>
      <c r="K50" s="347">
        <f>'5. Area Habitats'!G119</f>
        <v>0.33308048354255199</v>
      </c>
      <c r="L50" s="432" t="s">
        <v>242</v>
      </c>
      <c r="M50" s="438" t="s">
        <v>243</v>
      </c>
      <c r="N50" s="439">
        <f>H51+H52</f>
        <v>0</v>
      </c>
      <c r="O50" s="27"/>
      <c r="P50" s="28"/>
      <c r="Q50" s="27"/>
      <c r="R50" s="27"/>
      <c r="S50" s="27"/>
      <c r="T50" s="27"/>
      <c r="U50" s="27"/>
      <c r="V50" s="27"/>
      <c r="W50" s="28"/>
      <c r="X50" s="27"/>
      <c r="Y50" s="27"/>
      <c r="Z50" s="27"/>
      <c r="AA50" s="27"/>
      <c r="AB50" s="27"/>
      <c r="AC50" s="27"/>
      <c r="AD50" s="27"/>
    </row>
    <row r="51" spans="1:30" ht="18.600000000000001" customHeight="1">
      <c r="A51" s="908"/>
      <c r="B51" s="792" t="s">
        <v>243</v>
      </c>
      <c r="C51" s="793"/>
      <c r="D51" s="793"/>
      <c r="E51" s="793"/>
      <c r="F51" s="785" t="s">
        <v>305</v>
      </c>
      <c r="G51" s="779">
        <f>H52</f>
        <v>0</v>
      </c>
      <c r="H51" s="347">
        <f>IF(J51-K51&lt;0,0,IF('5. Area Habitats'!$I$137="Yes",0,J51-K51))</f>
        <v>0</v>
      </c>
      <c r="I51" s="348">
        <f t="shared" si="1"/>
        <v>0</v>
      </c>
      <c r="J51" s="347">
        <f>'5. Area Habitats'!F120</f>
        <v>0</v>
      </c>
      <c r="K51" s="347">
        <f>'5. Area Habitats'!G120</f>
        <v>0</v>
      </c>
      <c r="L51" s="431" t="s">
        <v>240</v>
      </c>
      <c r="M51" s="438" t="s">
        <v>244</v>
      </c>
      <c r="N51" s="439">
        <f>H53+H54</f>
        <v>0</v>
      </c>
      <c r="O51" s="27"/>
      <c r="P51" s="28"/>
      <c r="Q51" s="27"/>
      <c r="R51" s="27"/>
      <c r="S51" s="27"/>
      <c r="T51" s="27"/>
      <c r="U51" s="27"/>
      <c r="V51" s="27"/>
      <c r="W51" s="27"/>
      <c r="X51" s="27"/>
      <c r="Y51" s="27"/>
      <c r="Z51" s="27"/>
      <c r="AA51" s="27"/>
      <c r="AB51" s="27"/>
      <c r="AC51" s="27"/>
      <c r="AD51" s="27"/>
    </row>
    <row r="52" spans="1:30" ht="18" customHeight="1">
      <c r="A52" s="908"/>
      <c r="B52" s="792"/>
      <c r="C52" s="793"/>
      <c r="D52" s="793"/>
      <c r="E52" s="793"/>
      <c r="F52" s="788"/>
      <c r="G52" s="780"/>
      <c r="H52" s="347">
        <f>IF(J52-K52&lt;0,0,IF('5. Area Habitats'!$I$136="Yes",0,J52-K52))</f>
        <v>0</v>
      </c>
      <c r="I52" s="348">
        <f t="shared" si="1"/>
        <v>0</v>
      </c>
      <c r="J52" s="347">
        <f>'5. Area Habitats'!F121</f>
        <v>0</v>
      </c>
      <c r="K52" s="347">
        <f>'5. Area Habitats'!G121</f>
        <v>0</v>
      </c>
      <c r="L52" s="432" t="s">
        <v>242</v>
      </c>
      <c r="M52" s="438" t="s">
        <v>245</v>
      </c>
      <c r="N52" s="439">
        <f>H55+H56</f>
        <v>0</v>
      </c>
      <c r="O52" s="27"/>
      <c r="P52" s="28"/>
      <c r="Q52" s="27"/>
      <c r="R52" s="27"/>
      <c r="S52" s="27"/>
      <c r="T52" s="27"/>
      <c r="U52" s="27"/>
      <c r="V52" s="27"/>
      <c r="W52" s="27"/>
      <c r="X52" s="27"/>
      <c r="Y52" s="27"/>
      <c r="Z52" s="27"/>
      <c r="AA52" s="27"/>
      <c r="AB52" s="27"/>
      <c r="AC52" s="27"/>
      <c r="AD52" s="27"/>
    </row>
    <row r="53" spans="1:30" ht="18" customHeight="1">
      <c r="A53" s="908"/>
      <c r="B53" s="792" t="s">
        <v>244</v>
      </c>
      <c r="C53" s="793"/>
      <c r="D53" s="793"/>
      <c r="E53" s="793"/>
      <c r="F53" s="785" t="s">
        <v>305</v>
      </c>
      <c r="G53" s="779">
        <f t="shared" ref="G53" si="2">H54</f>
        <v>0</v>
      </c>
      <c r="H53" s="347">
        <f>IF(J53-K53&lt;0,0,IF('5. Area Habitats'!$I$137="Yes",0,J53-K53))</f>
        <v>0</v>
      </c>
      <c r="I53" s="348">
        <f t="shared" si="1"/>
        <v>0</v>
      </c>
      <c r="J53" s="347">
        <f>'5. Area Habitats'!F122</f>
        <v>0</v>
      </c>
      <c r="K53" s="347">
        <f>'5. Area Habitats'!G122</f>
        <v>0</v>
      </c>
      <c r="L53" s="431" t="s">
        <v>240</v>
      </c>
      <c r="M53" s="438" t="s">
        <v>246</v>
      </c>
      <c r="N53" s="439">
        <f>H57+H58</f>
        <v>0</v>
      </c>
      <c r="O53" s="27"/>
      <c r="P53" s="28"/>
      <c r="Q53" s="27"/>
      <c r="R53" s="27"/>
      <c r="S53" s="27"/>
      <c r="T53" s="27"/>
      <c r="U53" s="27"/>
      <c r="V53" s="27"/>
      <c r="W53" s="27"/>
      <c r="X53" s="27"/>
      <c r="Y53" s="27"/>
      <c r="Z53" s="27"/>
      <c r="AA53" s="27"/>
      <c r="AB53" s="27"/>
      <c r="AC53" s="27"/>
      <c r="AD53" s="27"/>
    </row>
    <row r="54" spans="1:30" ht="18.600000000000001" customHeight="1">
      <c r="A54" s="908"/>
      <c r="B54" s="792"/>
      <c r="C54" s="793"/>
      <c r="D54" s="793"/>
      <c r="E54" s="793"/>
      <c r="F54" s="788"/>
      <c r="G54" s="780"/>
      <c r="H54" s="347">
        <f>IF(J54-K54&lt;0,0,IF('5. Area Habitats'!$I$136="Yes",0,J54-K54))</f>
        <v>0</v>
      </c>
      <c r="I54" s="348">
        <f t="shared" si="1"/>
        <v>0</v>
      </c>
      <c r="J54" s="347">
        <f>'5. Area Habitats'!F123</f>
        <v>0</v>
      </c>
      <c r="K54" s="347">
        <f>'5. Area Habitats'!G123</f>
        <v>0</v>
      </c>
      <c r="L54" s="432" t="s">
        <v>242</v>
      </c>
      <c r="M54" s="438" t="s">
        <v>117</v>
      </c>
      <c r="N54" s="439">
        <f>H59+H60</f>
        <v>0</v>
      </c>
      <c r="O54" s="27"/>
      <c r="P54" s="28"/>
      <c r="Q54" s="27"/>
      <c r="R54" s="27"/>
      <c r="S54" s="27"/>
      <c r="T54" s="27"/>
      <c r="U54" s="27"/>
      <c r="V54" s="27"/>
      <c r="W54" s="27"/>
      <c r="X54" s="27"/>
      <c r="Y54" s="27"/>
      <c r="Z54" s="27"/>
      <c r="AA54" s="27"/>
      <c r="AB54" s="27"/>
      <c r="AC54" s="27"/>
      <c r="AD54" s="27"/>
    </row>
    <row r="55" spans="1:30" ht="18.600000000000001" customHeight="1">
      <c r="A55" s="908"/>
      <c r="B55" s="792" t="s">
        <v>245</v>
      </c>
      <c r="C55" s="793"/>
      <c r="D55" s="793"/>
      <c r="E55" s="793"/>
      <c r="F55" s="785" t="s">
        <v>305</v>
      </c>
      <c r="G55" s="779">
        <f t="shared" ref="G55" si="3">H56</f>
        <v>0</v>
      </c>
      <c r="H55" s="347">
        <f>IF(J55-K55&lt;0,0,IF('5. Area Habitats'!$I$137="Yes",0,J55-K55))</f>
        <v>0</v>
      </c>
      <c r="I55" s="348">
        <f t="shared" si="1"/>
        <v>0</v>
      </c>
      <c r="J55" s="347">
        <f>'5. Area Habitats'!F124</f>
        <v>0</v>
      </c>
      <c r="K55" s="347">
        <f>'5. Area Habitats'!G124</f>
        <v>0</v>
      </c>
      <c r="L55" s="431" t="s">
        <v>240</v>
      </c>
      <c r="M55" s="438" t="s">
        <v>247</v>
      </c>
      <c r="N55" s="439">
        <f>H61+H62</f>
        <v>0</v>
      </c>
      <c r="O55" s="27"/>
      <c r="P55" s="28"/>
      <c r="Q55" s="27"/>
      <c r="R55" s="27"/>
      <c r="S55" s="27"/>
      <c r="T55" s="27"/>
      <c r="U55" s="27"/>
      <c r="V55" s="27"/>
      <c r="W55" s="27"/>
      <c r="X55" s="27"/>
      <c r="Y55" s="27"/>
      <c r="Z55" s="27"/>
      <c r="AA55" s="27"/>
      <c r="AB55" s="27"/>
      <c r="AC55" s="27"/>
      <c r="AD55" s="27"/>
    </row>
    <row r="56" spans="1:30" ht="18.600000000000001" customHeight="1">
      <c r="A56" s="908"/>
      <c r="B56" s="792"/>
      <c r="C56" s="793"/>
      <c r="D56" s="793"/>
      <c r="E56" s="793"/>
      <c r="F56" s="788"/>
      <c r="G56" s="780"/>
      <c r="H56" s="347">
        <f>IF(J56-K56&lt;0,0,IF('5. Area Habitats'!$I$136="Yes",0,J56-K56))</f>
        <v>0</v>
      </c>
      <c r="I56" s="348">
        <f t="shared" si="1"/>
        <v>0</v>
      </c>
      <c r="J56" s="347">
        <f>'5. Area Habitats'!F125</f>
        <v>0</v>
      </c>
      <c r="K56" s="347">
        <f>'5. Area Habitats'!G125</f>
        <v>0</v>
      </c>
      <c r="L56" s="432" t="s">
        <v>242</v>
      </c>
      <c r="M56" s="438" t="s">
        <v>248</v>
      </c>
      <c r="N56" s="439">
        <f>H63+H64</f>
        <v>0</v>
      </c>
      <c r="O56" s="27"/>
      <c r="P56" s="28"/>
      <c r="Q56" s="27"/>
      <c r="R56" s="27"/>
      <c r="S56" s="27"/>
      <c r="T56" s="27"/>
      <c r="U56" s="27"/>
      <c r="V56" s="27"/>
      <c r="W56" s="27"/>
      <c r="X56" s="27"/>
      <c r="Y56" s="27"/>
      <c r="Z56" s="27"/>
      <c r="AA56" s="27"/>
      <c r="AB56" s="27"/>
      <c r="AC56" s="27"/>
      <c r="AD56" s="27"/>
    </row>
    <row r="57" spans="1:30" ht="18.600000000000001" customHeight="1">
      <c r="A57" s="908"/>
      <c r="B57" s="792" t="s">
        <v>246</v>
      </c>
      <c r="C57" s="793"/>
      <c r="D57" s="793"/>
      <c r="E57" s="793"/>
      <c r="F57" s="785" t="s">
        <v>305</v>
      </c>
      <c r="G57" s="779">
        <f t="shared" ref="G57" si="4">H58</f>
        <v>0</v>
      </c>
      <c r="H57" s="347">
        <f>IF(J57-K57&lt;0,0,IF('5. Area Habitats'!$I$137="Yes",0,J57-K57))</f>
        <v>0</v>
      </c>
      <c r="I57" s="348">
        <f t="shared" si="1"/>
        <v>0</v>
      </c>
      <c r="J57" s="347">
        <f>'5. Area Habitats'!F126</f>
        <v>0</v>
      </c>
      <c r="K57" s="347">
        <f>'5. Area Habitats'!G126</f>
        <v>0</v>
      </c>
      <c r="L57" s="431" t="s">
        <v>240</v>
      </c>
      <c r="M57" s="438" t="s">
        <v>308</v>
      </c>
      <c r="N57" s="439">
        <f>H65+H66</f>
        <v>0</v>
      </c>
      <c r="O57" s="27"/>
      <c r="P57" s="28"/>
      <c r="Q57" s="27"/>
      <c r="R57" s="27"/>
      <c r="S57" s="27"/>
      <c r="T57" s="27"/>
      <c r="U57" s="27"/>
      <c r="V57" s="27"/>
      <c r="W57" s="27"/>
      <c r="X57" s="27"/>
      <c r="Y57" s="27"/>
      <c r="Z57" s="27"/>
      <c r="AA57" s="27"/>
      <c r="AB57" s="27"/>
      <c r="AC57" s="27"/>
      <c r="AD57" s="27"/>
    </row>
    <row r="58" spans="1:30" ht="18" customHeight="1">
      <c r="A58" s="908"/>
      <c r="B58" s="792"/>
      <c r="C58" s="793"/>
      <c r="D58" s="793"/>
      <c r="E58" s="793"/>
      <c r="F58" s="788"/>
      <c r="G58" s="780"/>
      <c r="H58" s="347">
        <f>IF(J58-K58&lt;0,0,IF('5. Area Habitats'!$I$136="Yes",0,J58-K58))</f>
        <v>0</v>
      </c>
      <c r="I58" s="348">
        <f t="shared" si="1"/>
        <v>0</v>
      </c>
      <c r="J58" s="347">
        <f>'5. Area Habitats'!F127</f>
        <v>0</v>
      </c>
      <c r="K58" s="347">
        <f>'5. Area Habitats'!G127</f>
        <v>0</v>
      </c>
      <c r="L58" s="432" t="s">
        <v>242</v>
      </c>
      <c r="M58" s="438" t="s">
        <v>268</v>
      </c>
      <c r="N58" s="439">
        <f>H67+H68</f>
        <v>0</v>
      </c>
      <c r="O58" s="27"/>
      <c r="P58" s="28"/>
      <c r="Q58" s="27"/>
      <c r="R58" s="27"/>
      <c r="S58" s="27"/>
      <c r="T58" s="27"/>
      <c r="U58" s="27"/>
      <c r="V58" s="27"/>
      <c r="W58" s="27"/>
      <c r="X58" s="27"/>
      <c r="Y58" s="27"/>
      <c r="Z58" s="27"/>
      <c r="AA58" s="27"/>
      <c r="AB58" s="27"/>
      <c r="AC58" s="27"/>
      <c r="AD58" s="27"/>
    </row>
    <row r="59" spans="1:30" ht="18" customHeight="1">
      <c r="A59" s="908"/>
      <c r="B59" s="792" t="s">
        <v>117</v>
      </c>
      <c r="C59" s="793"/>
      <c r="D59" s="793"/>
      <c r="E59" s="793"/>
      <c r="F59" s="785" t="s">
        <v>305</v>
      </c>
      <c r="G59" s="779">
        <f t="shared" ref="G59" si="5">H60</f>
        <v>0</v>
      </c>
      <c r="H59" s="347">
        <f>IF(J59-K59&lt;0,0,IF('5. Area Habitats'!$I$137="Yes",0,J59-K59))</f>
        <v>0</v>
      </c>
      <c r="I59" s="348">
        <f t="shared" si="1"/>
        <v>0</v>
      </c>
      <c r="J59" s="347">
        <f>'5. Area Habitats'!F128</f>
        <v>0</v>
      </c>
      <c r="K59" s="347">
        <f>'5. Area Habitats'!G128</f>
        <v>0.25235714999999997</v>
      </c>
      <c r="L59" s="431" t="s">
        <v>240</v>
      </c>
      <c r="M59" s="438" t="s">
        <v>270</v>
      </c>
      <c r="N59" s="439">
        <f>H69+H70</f>
        <v>0</v>
      </c>
      <c r="O59" s="165"/>
      <c r="P59" s="165"/>
      <c r="Q59" s="27"/>
      <c r="R59" s="27"/>
      <c r="S59" s="27"/>
      <c r="T59" s="27"/>
      <c r="U59" s="27"/>
      <c r="V59" s="27"/>
      <c r="W59" s="27"/>
      <c r="X59" s="27"/>
      <c r="Y59" s="27"/>
      <c r="Z59" s="27"/>
      <c r="AA59" s="27"/>
      <c r="AB59" s="27"/>
      <c r="AC59" s="27"/>
      <c r="AD59" s="27"/>
    </row>
    <row r="60" spans="1:30" ht="18.600000000000001" customHeight="1">
      <c r="A60" s="908"/>
      <c r="B60" s="792"/>
      <c r="C60" s="793"/>
      <c r="D60" s="793"/>
      <c r="E60" s="793"/>
      <c r="F60" s="788"/>
      <c r="G60" s="780"/>
      <c r="H60" s="347">
        <f>IF(J60-K60&lt;0,0,IF('5. Area Habitats'!$I$136="Yes",0,J60-K60))</f>
        <v>0</v>
      </c>
      <c r="I60" s="348">
        <f t="shared" si="1"/>
        <v>0</v>
      </c>
      <c r="J60" s="347">
        <f>'5. Area Habitats'!F129</f>
        <v>0</v>
      </c>
      <c r="K60" s="347">
        <f>'5. Area Habitats'!G129</f>
        <v>0</v>
      </c>
      <c r="L60" s="432" t="s">
        <v>242</v>
      </c>
      <c r="M60" s="249"/>
      <c r="N60" s="165"/>
      <c r="O60" s="165"/>
      <c r="P60" s="165"/>
      <c r="Q60" s="27"/>
      <c r="R60" s="27"/>
      <c r="S60" s="27"/>
      <c r="T60" s="27"/>
      <c r="U60" s="27"/>
      <c r="V60" s="27"/>
      <c r="W60" s="27"/>
      <c r="X60" s="27"/>
      <c r="Y60" s="27"/>
      <c r="Z60" s="27"/>
      <c r="AA60" s="27"/>
      <c r="AB60" s="27"/>
      <c r="AC60" s="27"/>
      <c r="AD60" s="27"/>
    </row>
    <row r="61" spans="1:30" ht="18.600000000000001" customHeight="1">
      <c r="A61" s="908"/>
      <c r="B61" s="792" t="s">
        <v>247</v>
      </c>
      <c r="C61" s="793"/>
      <c r="D61" s="793"/>
      <c r="E61" s="793"/>
      <c r="F61" s="785" t="s">
        <v>305</v>
      </c>
      <c r="G61" s="779">
        <f>H62</f>
        <v>0</v>
      </c>
      <c r="H61" s="347">
        <f>IF(J61-K61&lt;0,0,IF('5. Area Habitats'!$I$137="Yes",0,J61-K61))</f>
        <v>0</v>
      </c>
      <c r="I61" s="348">
        <f t="shared" si="1"/>
        <v>0</v>
      </c>
      <c r="J61" s="347">
        <f>'5. Area Habitats'!F130</f>
        <v>0</v>
      </c>
      <c r="K61" s="347">
        <f>'5. Area Habitats'!G130</f>
        <v>0</v>
      </c>
      <c r="L61" s="431" t="s">
        <v>240</v>
      </c>
      <c r="M61" s="28"/>
      <c r="N61" s="165"/>
      <c r="O61" s="165"/>
      <c r="P61" s="165"/>
      <c r="Q61" s="27"/>
      <c r="R61" s="27"/>
      <c r="S61" s="27"/>
      <c r="T61" s="27"/>
      <c r="U61" s="27"/>
      <c r="V61" s="27"/>
      <c r="W61" s="27"/>
      <c r="X61" s="27"/>
      <c r="Y61" s="27"/>
      <c r="Z61" s="27"/>
      <c r="AA61" s="27"/>
      <c r="AB61" s="27"/>
      <c r="AC61" s="27"/>
      <c r="AD61" s="27"/>
    </row>
    <row r="62" spans="1:30" ht="18.600000000000001" customHeight="1">
      <c r="A62" s="908"/>
      <c r="B62" s="792"/>
      <c r="C62" s="793"/>
      <c r="D62" s="793"/>
      <c r="E62" s="793"/>
      <c r="F62" s="788"/>
      <c r="G62" s="780"/>
      <c r="H62" s="347">
        <f>IF(J62-K62&lt;0,0,IF('5. Area Habitats'!$I$136="Yes",0,J62-K62))</f>
        <v>0</v>
      </c>
      <c r="I62" s="348">
        <f t="shared" si="1"/>
        <v>0</v>
      </c>
      <c r="J62" s="347">
        <f>'5. Area Habitats'!F131</f>
        <v>0</v>
      </c>
      <c r="K62" s="347">
        <f>'5. Area Habitats'!G131</f>
        <v>0</v>
      </c>
      <c r="L62" s="432" t="s">
        <v>242</v>
      </c>
      <c r="M62" s="249"/>
      <c r="N62" s="165"/>
      <c r="O62" s="165"/>
      <c r="P62" s="165"/>
      <c r="Q62" s="27"/>
      <c r="R62" s="27"/>
      <c r="S62" s="27"/>
      <c r="T62" s="27"/>
      <c r="U62" s="27"/>
      <c r="V62" s="27"/>
      <c r="W62" s="27"/>
      <c r="X62" s="27"/>
      <c r="Y62" s="27"/>
      <c r="Z62" s="27"/>
      <c r="AA62" s="27"/>
      <c r="AB62" s="27"/>
      <c r="AC62" s="27"/>
      <c r="AD62" s="27"/>
    </row>
    <row r="63" spans="1:30" ht="18.600000000000001" customHeight="1">
      <c r="A63" s="908"/>
      <c r="B63" s="792" t="s">
        <v>248</v>
      </c>
      <c r="C63" s="793"/>
      <c r="D63" s="793"/>
      <c r="E63" s="793"/>
      <c r="F63" s="785" t="s">
        <v>305</v>
      </c>
      <c r="G63" s="779">
        <f t="shared" ref="G63" si="6">H64</f>
        <v>0</v>
      </c>
      <c r="H63" s="347">
        <f>IF(J63-K63&lt;0,0,IF('5. Area Habitats'!$I$137="Yes",0,J63-K63))</f>
        <v>0</v>
      </c>
      <c r="I63" s="348">
        <f t="shared" si="1"/>
        <v>0</v>
      </c>
      <c r="J63" s="347">
        <f>'5. Area Habitats'!F132</f>
        <v>0</v>
      </c>
      <c r="K63" s="347">
        <f>'5. Area Habitats'!G132</f>
        <v>0</v>
      </c>
      <c r="L63" s="431" t="s">
        <v>240</v>
      </c>
      <c r="M63" s="28"/>
      <c r="N63" s="165"/>
      <c r="O63" s="165"/>
      <c r="P63" s="165"/>
      <c r="Q63" s="27"/>
      <c r="R63" s="27"/>
      <c r="S63" s="27"/>
      <c r="T63" s="27"/>
      <c r="U63" s="27"/>
      <c r="V63" s="27"/>
      <c r="W63" s="27"/>
      <c r="X63" s="27"/>
      <c r="Y63" s="27"/>
      <c r="Z63" s="27"/>
      <c r="AA63" s="27"/>
      <c r="AB63" s="27"/>
      <c r="AC63" s="27"/>
      <c r="AD63" s="27"/>
    </row>
    <row r="64" spans="1:30" ht="18.600000000000001" customHeight="1" thickBot="1">
      <c r="A64" s="909"/>
      <c r="B64" s="794"/>
      <c r="C64" s="795"/>
      <c r="D64" s="795"/>
      <c r="E64" s="795"/>
      <c r="F64" s="786"/>
      <c r="G64" s="789"/>
      <c r="H64" s="347">
        <f>IF(J64-K64&lt;0,0,IF('5. Area Habitats'!$I$136="Yes",0,J64-K64))</f>
        <v>0</v>
      </c>
      <c r="I64" s="348">
        <f t="shared" si="1"/>
        <v>0</v>
      </c>
      <c r="J64" s="347">
        <f>'5. Area Habitats'!F133</f>
        <v>0</v>
      </c>
      <c r="K64" s="347">
        <f>'5. Area Habitats'!G133</f>
        <v>0</v>
      </c>
      <c r="L64" s="432" t="s">
        <v>242</v>
      </c>
      <c r="M64" s="249"/>
      <c r="N64" s="165"/>
      <c r="O64" s="165"/>
      <c r="P64" s="165"/>
      <c r="Q64" s="27"/>
      <c r="R64" s="27"/>
      <c r="S64" s="27"/>
      <c r="T64" s="27"/>
      <c r="U64" s="27"/>
      <c r="V64" s="27"/>
      <c r="W64" s="27"/>
      <c r="X64" s="27"/>
      <c r="Y64" s="27"/>
      <c r="Z64" s="27"/>
      <c r="AA64" s="27"/>
      <c r="AB64" s="27"/>
      <c r="AC64" s="27"/>
      <c r="AD64" s="27"/>
    </row>
    <row r="65" spans="1:30" ht="18.600000000000001" customHeight="1">
      <c r="A65" s="916" t="s">
        <v>309</v>
      </c>
      <c r="B65" s="910" t="s">
        <v>310</v>
      </c>
      <c r="C65" s="911"/>
      <c r="D65" s="911"/>
      <c r="E65" s="912"/>
      <c r="F65" s="787" t="s">
        <v>304</v>
      </c>
      <c r="G65" s="790">
        <f>H65+H67</f>
        <v>0</v>
      </c>
      <c r="H65" s="347">
        <f>IF(J65-K65&lt;0,0,IF('6. Hedges &amp; Lines of Trees'!$I$110="Yes",0,J65-K65))</f>
        <v>0</v>
      </c>
      <c r="I65" s="348">
        <f t="shared" si="1"/>
        <v>0</v>
      </c>
      <c r="J65" s="347">
        <f>'6. Hedges &amp; Lines of Trees'!F103</f>
        <v>0</v>
      </c>
      <c r="K65" s="347">
        <f>'6. Hedges &amp; Lines of Trees'!G103</f>
        <v>0</v>
      </c>
      <c r="L65" s="431" t="s">
        <v>240</v>
      </c>
      <c r="M65" s="249"/>
      <c r="N65" s="165"/>
      <c r="O65" s="165"/>
      <c r="P65" s="165"/>
      <c r="Q65" s="27"/>
      <c r="R65" s="27"/>
      <c r="S65" s="27"/>
      <c r="T65" s="27"/>
      <c r="U65" s="27"/>
      <c r="V65" s="27"/>
      <c r="W65" s="27"/>
      <c r="X65" s="27"/>
      <c r="Y65" s="27"/>
      <c r="Z65" s="27"/>
      <c r="AA65" s="27"/>
      <c r="AB65" s="27"/>
      <c r="AC65" s="27"/>
      <c r="AD65" s="27"/>
    </row>
    <row r="66" spans="1:30" ht="18.600000000000001" customHeight="1">
      <c r="A66" s="917"/>
      <c r="B66" s="913"/>
      <c r="C66" s="914"/>
      <c r="D66" s="914"/>
      <c r="E66" s="915"/>
      <c r="F66" s="788"/>
      <c r="G66" s="791"/>
      <c r="H66" s="347">
        <f>IF(J66-K66&lt;0,0,IF('6. Hedges &amp; Lines of Trees'!$I$109="Yes",0,J66-K66))</f>
        <v>0</v>
      </c>
      <c r="I66" s="348">
        <f t="shared" si="1"/>
        <v>0</v>
      </c>
      <c r="J66" s="347">
        <f>'6. Hedges &amp; Lines of Trees'!F104</f>
        <v>0</v>
      </c>
      <c r="K66" s="347">
        <f>'6. Hedges &amp; Lines of Trees'!G104</f>
        <v>0.31565178586632003</v>
      </c>
      <c r="L66" s="432" t="s">
        <v>242</v>
      </c>
      <c r="M66" s="249"/>
      <c r="N66" s="165"/>
      <c r="O66" s="165"/>
      <c r="P66" s="165"/>
      <c r="Q66" s="27"/>
      <c r="R66" s="27"/>
      <c r="S66" s="27"/>
      <c r="T66" s="27"/>
      <c r="U66" s="27"/>
      <c r="V66" s="27"/>
      <c r="W66" s="27"/>
      <c r="X66" s="27"/>
      <c r="Y66" s="27"/>
      <c r="Z66" s="27"/>
      <c r="AA66" s="27"/>
      <c r="AB66" s="27"/>
      <c r="AC66" s="27"/>
      <c r="AD66" s="27"/>
    </row>
    <row r="67" spans="1:30" ht="18.600000000000001" customHeight="1">
      <c r="A67" s="917"/>
      <c r="B67" s="796" t="s">
        <v>260</v>
      </c>
      <c r="C67" s="797"/>
      <c r="D67" s="797"/>
      <c r="E67" s="797"/>
      <c r="F67" s="434" t="s">
        <v>305</v>
      </c>
      <c r="G67" s="781">
        <f t="shared" ref="G67" si="7">H66</f>
        <v>0</v>
      </c>
      <c r="H67" s="347">
        <f>IF(J67-K67&lt;0,0,IF('6. Hedges &amp; Lines of Trees'!$I$110="Yes",0,J67-K67))</f>
        <v>0</v>
      </c>
      <c r="I67" s="348">
        <f t="shared" si="1"/>
        <v>0</v>
      </c>
      <c r="J67" s="347">
        <f>'6. Hedges &amp; Lines of Trees'!F105</f>
        <v>0</v>
      </c>
      <c r="K67" s="347">
        <f>'6. Hedges &amp; Lines of Trees'!G105</f>
        <v>0</v>
      </c>
      <c r="L67" s="431" t="s">
        <v>240</v>
      </c>
      <c r="M67" s="249"/>
      <c r="N67" s="165"/>
      <c r="O67" s="165"/>
      <c r="P67" s="165"/>
      <c r="Q67" s="27"/>
      <c r="R67" s="27"/>
      <c r="S67" s="27"/>
      <c r="T67" s="27"/>
      <c r="U67" s="27"/>
      <c r="V67" s="27"/>
      <c r="W67" s="27"/>
      <c r="X67" s="27"/>
      <c r="Y67" s="27"/>
      <c r="Z67" s="27"/>
      <c r="AA67" s="27"/>
      <c r="AB67" s="27"/>
      <c r="AC67" s="27"/>
      <c r="AD67" s="27"/>
    </row>
    <row r="68" spans="1:30" ht="18.600000000000001" customHeight="1">
      <c r="A68" s="917"/>
      <c r="B68" s="792"/>
      <c r="C68" s="793"/>
      <c r="D68" s="793"/>
      <c r="E68" s="793"/>
      <c r="F68" s="435"/>
      <c r="G68" s="782"/>
      <c r="H68" s="347">
        <f>IF(J68-K68&lt;0,0,IF('6. Hedges &amp; Lines of Trees'!$I$109="Yes",0,J68-K68))</f>
        <v>0</v>
      </c>
      <c r="I68" s="348">
        <f t="shared" si="1"/>
        <v>0</v>
      </c>
      <c r="J68" s="347">
        <f>'6. Hedges &amp; Lines of Trees'!F106</f>
        <v>0</v>
      </c>
      <c r="K68" s="347">
        <f>'6. Hedges &amp; Lines of Trees'!G106</f>
        <v>0</v>
      </c>
      <c r="L68" s="432" t="s">
        <v>242</v>
      </c>
      <c r="M68" s="249"/>
      <c r="N68" s="165"/>
      <c r="O68" s="165"/>
      <c r="P68" s="165"/>
      <c r="Q68" s="27"/>
      <c r="R68" s="27"/>
      <c r="S68" s="27"/>
      <c r="T68" s="27"/>
      <c r="U68" s="27"/>
      <c r="V68" s="27"/>
      <c r="W68" s="27"/>
      <c r="X68" s="27"/>
      <c r="Y68" s="27"/>
      <c r="Z68" s="27"/>
      <c r="AA68" s="27"/>
      <c r="AB68" s="27"/>
      <c r="AC68" s="27"/>
      <c r="AD68" s="27"/>
    </row>
    <row r="69" spans="1:30" ht="18" customHeight="1">
      <c r="A69" s="917"/>
      <c r="B69" s="792" t="s">
        <v>268</v>
      </c>
      <c r="C69" s="793"/>
      <c r="D69" s="793"/>
      <c r="E69" s="793"/>
      <c r="F69" s="436" t="s">
        <v>305</v>
      </c>
      <c r="G69" s="783">
        <f t="shared" ref="G69" si="8">H68</f>
        <v>0</v>
      </c>
      <c r="H69" s="347">
        <f>IF(J69-K69&lt;0,0,IF('7. Watercourses'!$I$108="Yes",0,J69-K69))</f>
        <v>0</v>
      </c>
      <c r="I69" s="348">
        <f t="shared" si="1"/>
        <v>0</v>
      </c>
      <c r="J69" s="347">
        <f>'7. Watercourses'!F103</f>
        <v>0</v>
      </c>
      <c r="K69" s="347">
        <f>'7. Watercourses'!G103</f>
        <v>0</v>
      </c>
      <c r="L69" s="431" t="s">
        <v>240</v>
      </c>
      <c r="M69" s="249"/>
      <c r="N69" s="165"/>
      <c r="O69" s="165"/>
      <c r="P69" s="165"/>
      <c r="Q69" s="27"/>
      <c r="R69" s="27"/>
      <c r="S69" s="27"/>
      <c r="T69" s="27"/>
      <c r="U69" s="27"/>
      <c r="V69" s="27"/>
      <c r="W69" s="27"/>
      <c r="X69" s="27"/>
      <c r="Y69" s="27"/>
      <c r="Z69" s="27"/>
      <c r="AA69" s="27"/>
      <c r="AB69" s="27"/>
      <c r="AC69" s="27"/>
      <c r="AD69" s="27"/>
    </row>
    <row r="70" spans="1:30" ht="15.6" customHeight="1" thickBot="1">
      <c r="A70" s="918"/>
      <c r="B70" s="794"/>
      <c r="C70" s="795"/>
      <c r="D70" s="795"/>
      <c r="E70" s="795"/>
      <c r="F70" s="437"/>
      <c r="G70" s="784"/>
      <c r="H70" s="347">
        <f>IF(J70-K70&lt;0,0,IF('7. Watercourses'!$I$107="Yes",0,J70-K70))</f>
        <v>0</v>
      </c>
      <c r="I70" s="348">
        <f t="shared" si="1"/>
        <v>0</v>
      </c>
      <c r="J70" s="347">
        <f>'7. Watercourses'!F104</f>
        <v>0</v>
      </c>
      <c r="K70" s="347">
        <f>'7. Watercourses'!G104</f>
        <v>0</v>
      </c>
      <c r="L70" s="432" t="s">
        <v>242</v>
      </c>
      <c r="M70" s="249"/>
      <c r="N70" s="165"/>
      <c r="O70" s="165"/>
      <c r="P70" s="165"/>
      <c r="Q70" s="27"/>
      <c r="R70" s="27"/>
      <c r="S70" s="27"/>
      <c r="T70" s="27"/>
      <c r="U70" s="27"/>
      <c r="V70" s="27"/>
      <c r="W70" s="27"/>
      <c r="X70" s="27"/>
      <c r="Y70" s="27"/>
      <c r="Z70" s="27"/>
      <c r="AA70" s="27"/>
      <c r="AB70" s="27"/>
      <c r="AC70" s="27"/>
      <c r="AD70" s="27"/>
    </row>
    <row r="71" spans="1:30" ht="15.6" customHeight="1">
      <c r="A71" s="919" t="s">
        <v>311</v>
      </c>
      <c r="B71" s="910" t="s">
        <v>270</v>
      </c>
      <c r="C71" s="911"/>
      <c r="D71" s="911"/>
      <c r="E71" s="912"/>
      <c r="F71" s="787" t="s">
        <v>304</v>
      </c>
      <c r="G71" s="790">
        <f>H69</f>
        <v>0</v>
      </c>
      <c r="H71" s="347">
        <f>SUM(H45:H70)</f>
        <v>0</v>
      </c>
      <c r="I71" s="349">
        <v>0</v>
      </c>
      <c r="J71" s="347"/>
      <c r="K71" s="347"/>
      <c r="L71" s="230"/>
      <c r="M71" s="249"/>
      <c r="N71" s="165"/>
      <c r="O71" s="165"/>
      <c r="P71" s="165"/>
      <c r="Q71" s="27"/>
      <c r="R71" s="27"/>
      <c r="S71" s="27"/>
      <c r="T71" s="27"/>
      <c r="U71" s="27"/>
      <c r="V71" s="27"/>
      <c r="W71" s="27"/>
      <c r="X71" s="27"/>
      <c r="Y71" s="27"/>
      <c r="Z71" s="27"/>
      <c r="AA71" s="27"/>
      <c r="AB71" s="27"/>
      <c r="AC71" s="27"/>
      <c r="AD71" s="27"/>
    </row>
    <row r="72" spans="1:30" ht="15.6" customHeight="1">
      <c r="A72" s="920"/>
      <c r="B72" s="923"/>
      <c r="C72" s="924"/>
      <c r="D72" s="924"/>
      <c r="E72" s="925"/>
      <c r="F72" s="788"/>
      <c r="G72" s="922"/>
      <c r="H72" s="27"/>
      <c r="I72" s="27"/>
      <c r="J72" s="347"/>
      <c r="K72" s="347"/>
      <c r="L72" s="230"/>
      <c r="M72" s="249"/>
      <c r="N72" s="165"/>
      <c r="O72" s="165"/>
      <c r="P72" s="165"/>
      <c r="Q72" s="27"/>
      <c r="R72" s="27"/>
      <c r="S72" s="27"/>
      <c r="T72" s="27"/>
      <c r="U72" s="27"/>
      <c r="V72" s="27"/>
      <c r="W72" s="27"/>
      <c r="X72" s="27"/>
      <c r="Y72" s="27"/>
      <c r="Z72" s="27"/>
      <c r="AA72" s="27"/>
      <c r="AB72" s="27"/>
      <c r="AC72" s="27"/>
      <c r="AD72" s="27"/>
    </row>
    <row r="73" spans="1:30" ht="18" customHeight="1">
      <c r="A73" s="920"/>
      <c r="B73" s="923"/>
      <c r="C73" s="924"/>
      <c r="D73" s="924"/>
      <c r="E73" s="925"/>
      <c r="F73" s="785" t="s">
        <v>305</v>
      </c>
      <c r="G73" s="783">
        <f>H70</f>
        <v>0</v>
      </c>
      <c r="H73" s="27"/>
      <c r="I73" s="27"/>
      <c r="J73" s="230"/>
      <c r="K73" s="230"/>
      <c r="L73" s="230"/>
      <c r="M73" s="249"/>
      <c r="N73" s="165"/>
      <c r="O73" s="165"/>
      <c r="P73" s="165"/>
      <c r="Q73" s="27"/>
      <c r="R73" s="27"/>
      <c r="S73" s="27"/>
      <c r="T73" s="27"/>
      <c r="U73" s="27"/>
      <c r="V73" s="27"/>
      <c r="W73" s="27"/>
      <c r="X73" s="27"/>
      <c r="Y73" s="27"/>
      <c r="Z73" s="27"/>
      <c r="AA73" s="27"/>
      <c r="AB73" s="27"/>
      <c r="AC73" s="27"/>
      <c r="AD73" s="27"/>
    </row>
    <row r="74" spans="1:30" ht="14.45" customHeight="1" thickBot="1">
      <c r="A74" s="921"/>
      <c r="B74" s="926"/>
      <c r="C74" s="927"/>
      <c r="D74" s="927"/>
      <c r="E74" s="928"/>
      <c r="F74" s="786"/>
      <c r="G74" s="784"/>
      <c r="H74" s="27"/>
      <c r="I74" s="27"/>
      <c r="J74" s="27"/>
      <c r="K74" s="27"/>
      <c r="L74" s="27"/>
      <c r="M74" s="165"/>
      <c r="N74" s="165"/>
      <c r="O74" s="165"/>
      <c r="P74" s="165"/>
      <c r="Q74" s="27"/>
      <c r="R74" s="27"/>
      <c r="S74" s="27"/>
      <c r="T74" s="27"/>
      <c r="U74" s="27"/>
      <c r="V74" s="27"/>
      <c r="W74" s="27"/>
      <c r="X74" s="27"/>
      <c r="Y74" s="27"/>
      <c r="Z74" s="27"/>
      <c r="AA74" s="27"/>
      <c r="AB74" s="27"/>
      <c r="AC74" s="27"/>
      <c r="AD74" s="27"/>
    </row>
    <row r="75" spans="1:30" ht="18.600000000000001" thickBot="1">
      <c r="A75" s="27"/>
      <c r="B75" s="27"/>
      <c r="C75" s="27"/>
      <c r="D75" s="27"/>
      <c r="E75" s="27"/>
      <c r="F75" s="433" t="s">
        <v>227</v>
      </c>
      <c r="G75" s="442">
        <f>SUM(G43:G74)</f>
        <v>0</v>
      </c>
      <c r="H75" s="27"/>
      <c r="I75" s="27"/>
      <c r="J75" s="27"/>
      <c r="K75" s="27"/>
      <c r="L75" s="27"/>
      <c r="M75" s="165"/>
      <c r="N75" s="165"/>
      <c r="O75" s="165"/>
      <c r="P75" s="165"/>
      <c r="Q75" s="27"/>
      <c r="R75" s="27"/>
      <c r="S75" s="27"/>
      <c r="T75" s="27"/>
      <c r="U75" s="27"/>
      <c r="V75" s="27"/>
      <c r="W75" s="27"/>
      <c r="X75" s="27"/>
      <c r="Y75" s="27"/>
      <c r="Z75" s="27"/>
      <c r="AA75" s="27"/>
      <c r="AB75" s="27"/>
      <c r="AC75" s="27"/>
      <c r="AD75" s="27"/>
    </row>
    <row r="76" spans="1:30" ht="14.45" customHeight="1">
      <c r="A76" s="27"/>
      <c r="B76" s="27"/>
      <c r="C76" s="27"/>
      <c r="D76" s="27"/>
      <c r="E76" s="27"/>
      <c r="F76" s="27"/>
      <c r="G76" s="27"/>
      <c r="H76" s="27"/>
      <c r="I76" s="27"/>
      <c r="J76" s="27"/>
      <c r="K76" s="27"/>
      <c r="L76" s="27"/>
      <c r="M76" s="165"/>
      <c r="N76" s="165"/>
      <c r="O76" s="165"/>
      <c r="P76" s="165"/>
      <c r="Q76" s="27"/>
      <c r="R76" s="27"/>
      <c r="S76" s="27"/>
      <c r="T76" s="27"/>
      <c r="U76" s="27"/>
      <c r="V76" s="27"/>
      <c r="W76" s="27"/>
      <c r="X76" s="27"/>
      <c r="Y76" s="27"/>
      <c r="Z76" s="27"/>
      <c r="AA76" s="27"/>
      <c r="AB76" s="27"/>
      <c r="AC76" s="27"/>
      <c r="AD76" s="27"/>
    </row>
    <row r="77" spans="1:30" ht="14.45" customHeight="1">
      <c r="A77" s="27"/>
      <c r="B77" s="163"/>
      <c r="C77" s="163"/>
      <c r="D77" s="163"/>
      <c r="E77" s="163"/>
      <c r="F77" s="163"/>
      <c r="G77" s="163"/>
      <c r="H77" s="27"/>
      <c r="I77" s="27"/>
      <c r="J77" s="27"/>
      <c r="K77" s="27"/>
      <c r="L77" s="27"/>
      <c r="M77" s="165"/>
      <c r="N77" s="165"/>
      <c r="O77" s="165"/>
      <c r="P77" s="165"/>
      <c r="Q77" s="27"/>
      <c r="R77" s="27"/>
      <c r="S77" s="27"/>
      <c r="T77" s="27"/>
      <c r="U77" s="27"/>
      <c r="V77" s="27"/>
      <c r="W77" s="27"/>
      <c r="X77" s="27"/>
      <c r="Y77" s="27"/>
      <c r="Z77" s="27"/>
      <c r="AA77" s="27"/>
      <c r="AB77" s="27"/>
      <c r="AC77" s="27"/>
      <c r="AD77" s="27"/>
    </row>
    <row r="78" spans="1:30" ht="14.45" customHeight="1">
      <c r="A78" s="27"/>
      <c r="B78" s="430"/>
      <c r="C78" s="430"/>
      <c r="D78" s="430"/>
      <c r="E78" s="430"/>
      <c r="F78" s="230"/>
      <c r="G78" s="27"/>
      <c r="H78" s="27"/>
      <c r="I78" s="27"/>
      <c r="J78" s="27"/>
      <c r="K78" s="27"/>
      <c r="L78" s="27"/>
      <c r="M78" s="165"/>
      <c r="N78" s="165"/>
      <c r="O78" s="165"/>
      <c r="P78" s="165"/>
      <c r="Q78" s="27"/>
      <c r="R78" s="27"/>
      <c r="S78" s="27"/>
      <c r="T78" s="27"/>
      <c r="U78" s="27"/>
      <c r="V78" s="27"/>
      <c r="W78" s="27"/>
      <c r="X78" s="27"/>
      <c r="Y78" s="27"/>
      <c r="Z78" s="27"/>
      <c r="AA78" s="27"/>
      <c r="AB78" s="27"/>
      <c r="AC78" s="27"/>
      <c r="AD78" s="27"/>
    </row>
    <row r="79" spans="1:30" ht="14.45" customHeight="1">
      <c r="A79" s="27"/>
      <c r="B79" s="773"/>
      <c r="C79" s="773"/>
      <c r="D79" s="773"/>
      <c r="E79" s="773"/>
      <c r="F79" s="27"/>
      <c r="G79" s="27"/>
      <c r="H79" s="27"/>
      <c r="I79" s="27"/>
      <c r="J79" s="27"/>
      <c r="K79" s="27"/>
      <c r="L79" s="27"/>
      <c r="M79" s="165"/>
      <c r="N79" s="165"/>
      <c r="O79" s="165"/>
      <c r="P79" s="165"/>
      <c r="Q79" s="27"/>
      <c r="R79" s="27"/>
      <c r="S79" s="27"/>
      <c r="T79" s="27"/>
      <c r="U79" s="27"/>
      <c r="V79" s="27"/>
      <c r="W79" s="27"/>
      <c r="X79" s="27"/>
      <c r="Y79" s="27"/>
      <c r="Z79" s="27"/>
      <c r="AA79" s="27"/>
      <c r="AB79" s="27"/>
      <c r="AC79" s="27"/>
      <c r="AD79" s="27"/>
    </row>
    <row r="80" spans="1:30" ht="14.45" customHeight="1">
      <c r="A80" s="27"/>
      <c r="B80" s="773"/>
      <c r="C80" s="773"/>
      <c r="D80" s="773"/>
      <c r="E80" s="773"/>
      <c r="F80" s="27"/>
      <c r="G80" s="27"/>
      <c r="H80" s="27"/>
      <c r="I80" s="27"/>
      <c r="J80" s="27"/>
      <c r="K80" s="27"/>
      <c r="L80" s="27"/>
      <c r="M80" s="165"/>
      <c r="N80" s="165"/>
      <c r="O80" s="165"/>
      <c r="P80" s="165"/>
      <c r="Q80" s="27"/>
      <c r="R80" s="27"/>
      <c r="S80" s="27"/>
      <c r="T80" s="27"/>
      <c r="U80" s="27"/>
      <c r="V80" s="27"/>
      <c r="W80" s="27"/>
      <c r="X80" s="27"/>
      <c r="Y80" s="27"/>
      <c r="Z80" s="27"/>
      <c r="AA80" s="27"/>
      <c r="AB80" s="27"/>
      <c r="AC80" s="27"/>
      <c r="AD80" s="27"/>
    </row>
    <row r="81" spans="1:7" ht="0" hidden="1" customHeight="1">
      <c r="A81" s="27"/>
      <c r="B81" s="27"/>
      <c r="C81" s="27"/>
      <c r="D81" s="27"/>
      <c r="E81" s="27"/>
      <c r="F81" s="27"/>
      <c r="G81" s="27"/>
    </row>
    <row r="82" spans="1:7" ht="0" hidden="1" customHeight="1">
      <c r="A82" s="27"/>
      <c r="B82" s="27"/>
      <c r="C82" s="27"/>
      <c r="D82" s="27"/>
      <c r="E82" s="27"/>
      <c r="F82" s="27"/>
      <c r="G82" s="27"/>
    </row>
  </sheetData>
  <sheetProtection algorithmName="SHA-512" hashValue="jzgO4XB0qCGYUKw9E1q67o+MtQ9yl+CUdH/0+5j58Q55v9lcU31sLDYXGaMIa0MWAb5Xf8yidzMKy55YpUH/cA==" saltValue="Uf5gxdPDaLEfz+2/xiO+uw==" spinCount="100000" sheet="1" objects="1" scenarios="1"/>
  <mergeCells count="105">
    <mergeCell ref="A43:A64"/>
    <mergeCell ref="B65:E66"/>
    <mergeCell ref="G73:G74"/>
    <mergeCell ref="A65:A70"/>
    <mergeCell ref="A71:A74"/>
    <mergeCell ref="F71:F72"/>
    <mergeCell ref="G71:G72"/>
    <mergeCell ref="B71:E74"/>
    <mergeCell ref="F73:F74"/>
    <mergeCell ref="B45:E46"/>
    <mergeCell ref="B47:E48"/>
    <mergeCell ref="F53:F54"/>
    <mergeCell ref="F55:F56"/>
    <mergeCell ref="F57:F58"/>
    <mergeCell ref="F59:F60"/>
    <mergeCell ref="F61:F62"/>
    <mergeCell ref="G53:G54"/>
    <mergeCell ref="G55:G56"/>
    <mergeCell ref="G57:G58"/>
    <mergeCell ref="G59:G60"/>
    <mergeCell ref="G61:G62"/>
    <mergeCell ref="G43:G44"/>
    <mergeCell ref="G45:G46"/>
    <mergeCell ref="G47:G48"/>
    <mergeCell ref="N3:U3"/>
    <mergeCell ref="B5:F5"/>
    <mergeCell ref="G5:K5"/>
    <mergeCell ref="B7:F7"/>
    <mergeCell ref="G7:K7"/>
    <mergeCell ref="B9:F9"/>
    <mergeCell ref="G9:K9"/>
    <mergeCell ref="B2:F2"/>
    <mergeCell ref="G2:K2"/>
    <mergeCell ref="B3:F3"/>
    <mergeCell ref="G3:K3"/>
    <mergeCell ref="B10:F10"/>
    <mergeCell ref="G10:K10"/>
    <mergeCell ref="B11:F11"/>
    <mergeCell ref="G11:K11"/>
    <mergeCell ref="B15:F15"/>
    <mergeCell ref="G15:K15"/>
    <mergeCell ref="B18:E20"/>
    <mergeCell ref="F18:G18"/>
    <mergeCell ref="H18:K18"/>
    <mergeCell ref="F19:G19"/>
    <mergeCell ref="H19:K19"/>
    <mergeCell ref="F20:G20"/>
    <mergeCell ref="H20:K20"/>
    <mergeCell ref="N27:O27"/>
    <mergeCell ref="B22:E24"/>
    <mergeCell ref="F22:G22"/>
    <mergeCell ref="H22:K22"/>
    <mergeCell ref="F23:G23"/>
    <mergeCell ref="H23:K23"/>
    <mergeCell ref="F24:G24"/>
    <mergeCell ref="H24:K24"/>
    <mergeCell ref="N25:O25"/>
    <mergeCell ref="N26:O26"/>
    <mergeCell ref="B26:E28"/>
    <mergeCell ref="F26:G26"/>
    <mergeCell ref="H26:K26"/>
    <mergeCell ref="F27:G27"/>
    <mergeCell ref="H27:K27"/>
    <mergeCell ref="F28:G28"/>
    <mergeCell ref="B42:E42"/>
    <mergeCell ref="F49:F50"/>
    <mergeCell ref="F51:F52"/>
    <mergeCell ref="H28:K28"/>
    <mergeCell ref="B31:E33"/>
    <mergeCell ref="F31:G31"/>
    <mergeCell ref="H31:K31"/>
    <mergeCell ref="F32:G32"/>
    <mergeCell ref="H32:K32"/>
    <mergeCell ref="F33:G33"/>
    <mergeCell ref="H33:K33"/>
    <mergeCell ref="B35:E37"/>
    <mergeCell ref="F35:G35"/>
    <mergeCell ref="H35:K35"/>
    <mergeCell ref="F36:G36"/>
    <mergeCell ref="H36:K36"/>
    <mergeCell ref="F37:G37"/>
    <mergeCell ref="H37:K37"/>
    <mergeCell ref="B49:E50"/>
    <mergeCell ref="B51:E52"/>
    <mergeCell ref="B43:E44"/>
    <mergeCell ref="F43:F44"/>
    <mergeCell ref="F45:F46"/>
    <mergeCell ref="F47:F48"/>
    <mergeCell ref="G49:G50"/>
    <mergeCell ref="G51:G52"/>
    <mergeCell ref="G67:G68"/>
    <mergeCell ref="G69:G70"/>
    <mergeCell ref="F63:F64"/>
    <mergeCell ref="F65:F66"/>
    <mergeCell ref="G63:G64"/>
    <mergeCell ref="G65:G66"/>
    <mergeCell ref="B79:E80"/>
    <mergeCell ref="B53:E54"/>
    <mergeCell ref="B55:E56"/>
    <mergeCell ref="B57:E58"/>
    <mergeCell ref="B59:E60"/>
    <mergeCell ref="B61:E62"/>
    <mergeCell ref="B63:E64"/>
    <mergeCell ref="B67:E68"/>
    <mergeCell ref="B69:E70"/>
  </mergeCells>
  <conditionalFormatting sqref="P25:Q27">
    <cfRule type="cellIs" dxfId="93" priority="27" operator="equal">
      <formula>"Error - Enter required % on start page"</formula>
    </cfRule>
    <cfRule type="cellIs" dxfId="92" priority="29" operator="lessThan">
      <formula>0</formula>
    </cfRule>
  </conditionalFormatting>
  <conditionalFormatting sqref="P25:Q27">
    <cfRule type="cellIs" dxfId="91" priority="28" operator="equal">
      <formula>"Error"</formula>
    </cfRule>
  </conditionalFormatting>
  <conditionalFormatting sqref="G5:K5">
    <cfRule type="cellIs" dxfId="90" priority="25" operator="equal">
      <formula>"BNG Targets Not Met"</formula>
    </cfRule>
    <cfRule type="cellIs" dxfId="89" priority="26" operator="equal">
      <formula>"BNG Targets Met"</formula>
    </cfRule>
  </conditionalFormatting>
  <conditionalFormatting sqref="H35:K37">
    <cfRule type="cellIs" dxfId="88" priority="13" operator="equal">
      <formula>"% target not appropriate"</formula>
    </cfRule>
    <cfRule type="cellIs" dxfId="87" priority="23" operator="greaterThanOrEqual">
      <formula>0.1</formula>
    </cfRule>
    <cfRule type="cellIs" dxfId="86" priority="24" operator="lessThan">
      <formula>0.1</formula>
    </cfRule>
  </conditionalFormatting>
  <conditionalFormatting sqref="G7:K7">
    <cfRule type="cellIs" dxfId="85" priority="21" operator="equal">
      <formula>"BNG Tragets Not Met"</formula>
    </cfRule>
    <cfRule type="cellIs" dxfId="84" priority="22" operator="equal">
      <formula>"BNG Targets Met"</formula>
    </cfRule>
  </conditionalFormatting>
  <conditionalFormatting sqref="G15:K15">
    <cfRule type="cellIs" dxfId="83" priority="18" operator="equal">
      <formula>"Trading Rules Not Satisfied"</formula>
    </cfRule>
    <cfRule type="cellIs" dxfId="82" priority="19" operator="equal">
      <formula>"Trading Rules Satisfied"</formula>
    </cfRule>
  </conditionalFormatting>
  <conditionalFormatting sqref="H27">
    <cfRule type="expression" dxfId="81" priority="9">
      <formula>$L$32&gt;0</formula>
    </cfRule>
    <cfRule type="expression" dxfId="80" priority="12">
      <formula>$L$32&lt;0</formula>
    </cfRule>
  </conditionalFormatting>
  <conditionalFormatting sqref="H26:K26">
    <cfRule type="expression" dxfId="79" priority="10">
      <formula>$L$31&gt;0</formula>
    </cfRule>
    <cfRule type="expression" dxfId="78" priority="11">
      <formula>$L$31&lt;0</formula>
    </cfRule>
  </conditionalFormatting>
  <conditionalFormatting sqref="H28">
    <cfRule type="expression" dxfId="77" priority="8">
      <formula>$L$33&lt;0</formula>
    </cfRule>
  </conditionalFormatting>
  <conditionalFormatting sqref="H28:K28">
    <cfRule type="expression" dxfId="76" priority="7">
      <formula>$L$33&gt;0</formula>
    </cfRule>
  </conditionalFormatting>
  <conditionalFormatting sqref="H31">
    <cfRule type="expression" dxfId="75" priority="5">
      <formula>$L$31&gt;0</formula>
    </cfRule>
    <cfRule type="expression" dxfId="74" priority="6">
      <formula>$L$31&lt;0</formula>
    </cfRule>
  </conditionalFormatting>
  <conditionalFormatting sqref="H32">
    <cfRule type="expression" dxfId="73" priority="3">
      <formula>$L$32&gt;0</formula>
    </cfRule>
    <cfRule type="expression" dxfId="72" priority="4">
      <formula>$L$32&lt;0</formula>
    </cfRule>
  </conditionalFormatting>
  <conditionalFormatting sqref="H33:K33">
    <cfRule type="expression" dxfId="71" priority="1">
      <formula>$L$33&gt;0</formula>
    </cfRule>
    <cfRule type="expression" dxfId="70" priority="2">
      <formula>$L$33&lt;0</formula>
    </cfRule>
  </conditionalFormatting>
  <pageMargins left="0.7" right="0.7" top="0.75" bottom="0.75" header="0.3" footer="0.3"/>
  <pageSetup paperSize="9" scale="34"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7030A0"/>
    <pageSetUpPr fitToPage="1"/>
  </sheetPr>
  <dimension ref="A1:Y107"/>
  <sheetViews>
    <sheetView zoomScale="80" zoomScaleNormal="80" workbookViewId="0">
      <pane xSplit="1" ySplit="3" topLeftCell="B4" activePane="bottomRight" state="frozen"/>
      <selection pane="bottomRight" activeCell="A108" sqref="A108:XFD1048576"/>
      <selection pane="bottomLeft" activeCell="A4" sqref="A4"/>
      <selection pane="topRight" activeCell="B1" sqref="B1"/>
    </sheetView>
  </sheetViews>
  <sheetFormatPr defaultColWidth="0" defaultRowHeight="14.45" zeroHeight="1"/>
  <cols>
    <col min="1" max="2" width="8.85546875" customWidth="1"/>
    <col min="3" max="3" width="78.5703125" bestFit="1" customWidth="1"/>
    <col min="4" max="4" width="21.85546875" style="20" bestFit="1" customWidth="1"/>
    <col min="5" max="5" width="14.42578125" hidden="1" customWidth="1"/>
    <col min="6" max="6" width="18.42578125" hidden="1" customWidth="1"/>
    <col min="7" max="7" width="15.85546875" style="20" customWidth="1"/>
    <col min="8" max="8" width="34.5703125" style="22" customWidth="1"/>
    <col min="9" max="9" width="13" customWidth="1"/>
    <col min="10" max="10" width="12.85546875" bestFit="1" customWidth="1"/>
    <col min="11" max="11" width="23.85546875" hidden="1" customWidth="1"/>
    <col min="12" max="25" width="8.85546875" customWidth="1"/>
    <col min="26" max="16384" width="8.85546875" hidden="1"/>
  </cols>
  <sheetData>
    <row r="1" spans="1:25">
      <c r="A1" s="27"/>
      <c r="B1" s="230">
        <v>0</v>
      </c>
      <c r="C1" s="375">
        <v>1</v>
      </c>
      <c r="D1" s="375">
        <v>2</v>
      </c>
      <c r="E1" s="375">
        <v>3</v>
      </c>
      <c r="F1" s="375">
        <v>4</v>
      </c>
      <c r="G1" s="375">
        <v>5</v>
      </c>
      <c r="H1" s="375">
        <v>6</v>
      </c>
      <c r="I1" s="375">
        <v>7</v>
      </c>
      <c r="J1" s="375">
        <v>8</v>
      </c>
      <c r="K1" s="375">
        <v>9</v>
      </c>
      <c r="L1" s="27"/>
      <c r="M1" s="27"/>
      <c r="N1" s="27"/>
      <c r="O1" s="27"/>
      <c r="P1" s="27"/>
      <c r="Q1" s="27"/>
      <c r="R1" s="27"/>
      <c r="S1" s="27"/>
      <c r="T1" s="27"/>
      <c r="U1" s="27"/>
      <c r="V1" s="27"/>
      <c r="W1" s="27"/>
      <c r="X1" s="27"/>
      <c r="Y1" s="27"/>
    </row>
    <row r="2" spans="1:25" ht="18">
      <c r="A2" s="27"/>
      <c r="B2" s="934" t="s">
        <v>67</v>
      </c>
      <c r="C2" s="931" t="s">
        <v>312</v>
      </c>
      <c r="D2" s="931"/>
      <c r="E2" s="931"/>
      <c r="F2" s="931"/>
      <c r="G2" s="932" t="s">
        <v>103</v>
      </c>
      <c r="H2" s="932"/>
      <c r="I2" s="933" t="s">
        <v>313</v>
      </c>
      <c r="J2" s="933"/>
      <c r="K2" s="169" t="s">
        <v>314</v>
      </c>
      <c r="L2" s="27"/>
      <c r="M2" s="27"/>
      <c r="N2" s="27"/>
      <c r="O2" s="27"/>
      <c r="P2" s="27"/>
      <c r="Q2" s="27"/>
      <c r="R2" s="27"/>
      <c r="S2" s="27"/>
      <c r="T2" s="27"/>
      <c r="U2" s="27"/>
      <c r="V2" s="27"/>
      <c r="W2" s="27"/>
      <c r="X2" s="27"/>
      <c r="Y2" s="27"/>
    </row>
    <row r="3" spans="1:25" ht="43.15">
      <c r="A3" s="27"/>
      <c r="B3" s="934"/>
      <c r="C3" s="170" t="s">
        <v>312</v>
      </c>
      <c r="D3" s="170" t="s">
        <v>315</v>
      </c>
      <c r="E3" s="170" t="s">
        <v>316</v>
      </c>
      <c r="F3" s="170" t="s">
        <v>317</v>
      </c>
      <c r="G3" s="171" t="s">
        <v>318</v>
      </c>
      <c r="H3" s="171" t="s">
        <v>319</v>
      </c>
      <c r="I3" s="67" t="s">
        <v>320</v>
      </c>
      <c r="J3" s="67" t="s">
        <v>321</v>
      </c>
      <c r="K3" s="172" t="s">
        <v>322</v>
      </c>
      <c r="L3" s="27"/>
      <c r="M3" s="27"/>
      <c r="N3" s="27"/>
      <c r="O3" s="27"/>
      <c r="P3" s="27"/>
      <c r="Q3" s="27"/>
      <c r="R3" s="27"/>
      <c r="S3" s="27"/>
      <c r="T3" s="27"/>
      <c r="U3" s="27"/>
      <c r="V3" s="27"/>
      <c r="W3" s="27"/>
      <c r="X3" s="27"/>
      <c r="Y3" s="27"/>
    </row>
    <row r="4" spans="1:25" ht="28.9">
      <c r="A4" s="27"/>
      <c r="B4" s="7">
        <v>1</v>
      </c>
      <c r="C4" s="7" t="s">
        <v>323</v>
      </c>
      <c r="D4" s="7" t="s">
        <v>239</v>
      </c>
      <c r="E4" s="7"/>
      <c r="F4" s="7"/>
      <c r="G4" s="9" t="s">
        <v>242</v>
      </c>
      <c r="H4" s="9" t="s">
        <v>324</v>
      </c>
      <c r="I4" s="9" t="s">
        <v>240</v>
      </c>
      <c r="J4" s="9" t="s">
        <v>240</v>
      </c>
      <c r="K4" s="7" t="s">
        <v>240</v>
      </c>
      <c r="L4" s="27"/>
      <c r="M4" s="27"/>
      <c r="N4" s="27"/>
      <c r="O4" s="27"/>
      <c r="P4" s="27"/>
      <c r="Q4" s="27"/>
      <c r="R4" s="27"/>
      <c r="S4" s="27"/>
      <c r="T4" s="27"/>
      <c r="U4" s="27"/>
      <c r="V4" s="27"/>
      <c r="W4" s="27"/>
      <c r="X4" s="27"/>
      <c r="Y4" s="27"/>
    </row>
    <row r="5" spans="1:25" ht="28.9">
      <c r="A5" s="27"/>
      <c r="B5" s="7">
        <v>2</v>
      </c>
      <c r="C5" s="7" t="s">
        <v>325</v>
      </c>
      <c r="D5" s="7" t="s">
        <v>239</v>
      </c>
      <c r="E5" s="7"/>
      <c r="F5" s="7"/>
      <c r="G5" s="9" t="s">
        <v>242</v>
      </c>
      <c r="H5" s="9" t="s">
        <v>324</v>
      </c>
      <c r="I5" s="9" t="s">
        <v>240</v>
      </c>
      <c r="J5" s="9" t="s">
        <v>240</v>
      </c>
      <c r="K5" s="7" t="s">
        <v>240</v>
      </c>
      <c r="L5" s="27"/>
      <c r="M5" s="27"/>
      <c r="N5" s="27"/>
      <c r="O5" s="27"/>
      <c r="P5" s="27"/>
      <c r="Q5" s="27"/>
      <c r="R5" s="27"/>
      <c r="S5" s="27"/>
      <c r="T5" s="27"/>
      <c r="U5" s="27"/>
      <c r="V5" s="27"/>
      <c r="W5" s="27"/>
      <c r="X5" s="27"/>
      <c r="Y5" s="27"/>
    </row>
    <row r="6" spans="1:25" ht="28.9">
      <c r="A6" s="27"/>
      <c r="B6" s="7">
        <v>3</v>
      </c>
      <c r="C6" s="7" t="s">
        <v>326</v>
      </c>
      <c r="D6" s="7" t="s">
        <v>239</v>
      </c>
      <c r="E6" s="7"/>
      <c r="F6" s="7"/>
      <c r="G6" s="9" t="s">
        <v>242</v>
      </c>
      <c r="H6" s="9" t="s">
        <v>324</v>
      </c>
      <c r="I6" s="9" t="s">
        <v>240</v>
      </c>
      <c r="J6" s="9" t="s">
        <v>240</v>
      </c>
      <c r="K6" s="7" t="s">
        <v>240</v>
      </c>
      <c r="L6" s="27"/>
      <c r="M6" s="27"/>
      <c r="N6" s="27"/>
      <c r="O6" s="27"/>
      <c r="P6" s="27"/>
      <c r="Q6" s="27"/>
      <c r="R6" s="27"/>
      <c r="S6" s="27"/>
      <c r="T6" s="27"/>
      <c r="U6" s="27"/>
      <c r="V6" s="27"/>
      <c r="W6" s="27"/>
      <c r="X6" s="27"/>
      <c r="Y6" s="27"/>
    </row>
    <row r="7" spans="1:25" ht="28.9">
      <c r="A7" s="27"/>
      <c r="B7" s="7">
        <v>4</v>
      </c>
      <c r="C7" s="7" t="s">
        <v>327</v>
      </c>
      <c r="D7" s="7" t="s">
        <v>239</v>
      </c>
      <c r="E7" s="7"/>
      <c r="F7" s="7"/>
      <c r="G7" s="9" t="s">
        <v>242</v>
      </c>
      <c r="H7" s="9" t="s">
        <v>324</v>
      </c>
      <c r="I7" s="9" t="s">
        <v>240</v>
      </c>
      <c r="J7" s="9" t="s">
        <v>240</v>
      </c>
      <c r="K7" s="7" t="s">
        <v>240</v>
      </c>
      <c r="L7" s="27"/>
      <c r="M7" s="27"/>
      <c r="N7" s="27"/>
      <c r="O7" s="27"/>
      <c r="P7" s="27"/>
      <c r="Q7" s="27"/>
      <c r="R7" s="27"/>
      <c r="S7" s="27"/>
      <c r="T7" s="27"/>
      <c r="U7" s="27"/>
      <c r="V7" s="27"/>
      <c r="W7" s="27"/>
      <c r="X7" s="27"/>
      <c r="Y7" s="27"/>
    </row>
    <row r="8" spans="1:25" ht="28.9">
      <c r="A8" s="27"/>
      <c r="B8" s="7">
        <v>5</v>
      </c>
      <c r="C8" s="7" t="s">
        <v>328</v>
      </c>
      <c r="D8" s="7" t="s">
        <v>239</v>
      </c>
      <c r="E8" s="7"/>
      <c r="F8" s="7"/>
      <c r="G8" s="9" t="s">
        <v>240</v>
      </c>
      <c r="H8" s="9" t="s">
        <v>329</v>
      </c>
      <c r="I8" s="9" t="s">
        <v>240</v>
      </c>
      <c r="J8" s="9" t="s">
        <v>240</v>
      </c>
      <c r="K8" s="7" t="s">
        <v>240</v>
      </c>
      <c r="L8" s="27"/>
      <c r="M8" s="27"/>
      <c r="N8" s="27"/>
      <c r="O8" s="27"/>
      <c r="P8" s="27"/>
      <c r="Q8" s="27"/>
      <c r="R8" s="27"/>
      <c r="S8" s="27"/>
      <c r="T8" s="27"/>
      <c r="U8" s="27"/>
      <c r="V8" s="27"/>
      <c r="W8" s="27"/>
      <c r="X8" s="27"/>
      <c r="Y8" s="27"/>
    </row>
    <row r="9" spans="1:25" ht="28.9">
      <c r="A9" s="27"/>
      <c r="B9" s="7">
        <v>6</v>
      </c>
      <c r="C9" s="7" t="s">
        <v>330</v>
      </c>
      <c r="D9" s="7" t="s">
        <v>239</v>
      </c>
      <c r="E9" s="7"/>
      <c r="F9" s="7"/>
      <c r="G9" s="9" t="s">
        <v>240</v>
      </c>
      <c r="H9" s="9" t="s">
        <v>329</v>
      </c>
      <c r="I9" s="9" t="s">
        <v>240</v>
      </c>
      <c r="J9" s="9" t="s">
        <v>240</v>
      </c>
      <c r="K9" s="7" t="s">
        <v>240</v>
      </c>
      <c r="L9" s="27"/>
      <c r="M9" s="27"/>
      <c r="N9" s="27"/>
      <c r="O9" s="27"/>
      <c r="P9" s="27"/>
      <c r="Q9" s="27"/>
      <c r="R9" s="27"/>
      <c r="S9" s="27"/>
      <c r="T9" s="27"/>
      <c r="U9" s="27"/>
      <c r="V9" s="27"/>
      <c r="W9" s="27"/>
      <c r="X9" s="27"/>
      <c r="Y9" s="27"/>
    </row>
    <row r="10" spans="1:25" ht="28.9">
      <c r="A10" s="27"/>
      <c r="B10" s="7">
        <v>7</v>
      </c>
      <c r="C10" s="7" t="s">
        <v>331</v>
      </c>
      <c r="D10" s="7" t="s">
        <v>239</v>
      </c>
      <c r="E10" s="7"/>
      <c r="F10" s="7"/>
      <c r="G10" s="9" t="s">
        <v>242</v>
      </c>
      <c r="H10" s="9" t="s">
        <v>324</v>
      </c>
      <c r="I10" s="9" t="s">
        <v>240</v>
      </c>
      <c r="J10" s="9" t="s">
        <v>240</v>
      </c>
      <c r="K10" s="7" t="s">
        <v>240</v>
      </c>
      <c r="L10" s="27"/>
      <c r="M10" s="27"/>
      <c r="N10" s="27"/>
      <c r="O10" s="27"/>
      <c r="P10" s="27"/>
      <c r="Q10" s="27"/>
      <c r="R10" s="27"/>
      <c r="S10" s="27"/>
      <c r="T10" s="27"/>
      <c r="U10" s="27"/>
      <c r="V10" s="27"/>
      <c r="W10" s="27"/>
      <c r="X10" s="27"/>
      <c r="Y10" s="27"/>
    </row>
    <row r="11" spans="1:25" ht="28.9">
      <c r="A11" s="27"/>
      <c r="B11" s="7">
        <v>8</v>
      </c>
      <c r="C11" s="7" t="s">
        <v>332</v>
      </c>
      <c r="D11" s="7" t="s">
        <v>239</v>
      </c>
      <c r="E11" s="7"/>
      <c r="F11" s="7"/>
      <c r="G11" s="9" t="s">
        <v>240</v>
      </c>
      <c r="H11" s="9" t="s">
        <v>329</v>
      </c>
      <c r="I11" s="9" t="s">
        <v>240</v>
      </c>
      <c r="J11" s="9" t="s">
        <v>240</v>
      </c>
      <c r="K11" s="7" t="s">
        <v>240</v>
      </c>
      <c r="L11" s="27"/>
      <c r="M11" s="27"/>
      <c r="N11" s="27"/>
      <c r="O11" s="27"/>
      <c r="P11" s="27"/>
      <c r="Q11" s="27"/>
      <c r="R11" s="27"/>
      <c r="S11" s="27"/>
      <c r="T11" s="27"/>
      <c r="U11" s="27"/>
      <c r="V11" s="27"/>
      <c r="W11" s="27"/>
      <c r="X11" s="27"/>
      <c r="Y11" s="27"/>
    </row>
    <row r="12" spans="1:25" ht="28.9">
      <c r="A12" s="27"/>
      <c r="B12" s="7">
        <v>9</v>
      </c>
      <c r="C12" s="7" t="s">
        <v>333</v>
      </c>
      <c r="D12" s="7" t="s">
        <v>239</v>
      </c>
      <c r="E12" s="7"/>
      <c r="F12" s="7"/>
      <c r="G12" s="9" t="s">
        <v>240</v>
      </c>
      <c r="H12" s="9" t="s">
        <v>329</v>
      </c>
      <c r="I12" s="9" t="s">
        <v>240</v>
      </c>
      <c r="J12" s="9" t="s">
        <v>240</v>
      </c>
      <c r="K12" s="7" t="s">
        <v>240</v>
      </c>
      <c r="L12" s="27"/>
      <c r="M12" s="27"/>
      <c r="N12" s="27"/>
      <c r="O12" s="27"/>
      <c r="P12" s="27"/>
      <c r="Q12" s="27"/>
      <c r="R12" s="27"/>
      <c r="S12" s="27"/>
      <c r="T12" s="27"/>
      <c r="U12" s="27"/>
      <c r="V12" s="27"/>
      <c r="W12" s="27"/>
      <c r="X12" s="27"/>
      <c r="Y12" s="27"/>
    </row>
    <row r="13" spans="1:25" ht="28.9">
      <c r="A13" s="27"/>
      <c r="B13" s="7">
        <v>10</v>
      </c>
      <c r="C13" s="7" t="s">
        <v>334</v>
      </c>
      <c r="D13" s="7" t="s">
        <v>239</v>
      </c>
      <c r="E13" s="7"/>
      <c r="F13" s="7"/>
      <c r="G13" s="9" t="s">
        <v>240</v>
      </c>
      <c r="H13" s="9" t="s">
        <v>329</v>
      </c>
      <c r="I13" s="9" t="s">
        <v>240</v>
      </c>
      <c r="J13" s="9" t="s">
        <v>240</v>
      </c>
      <c r="K13" s="7" t="s">
        <v>240</v>
      </c>
      <c r="L13" s="27"/>
      <c r="M13" s="27"/>
      <c r="N13" s="27"/>
      <c r="O13" s="27"/>
      <c r="P13" s="27"/>
      <c r="Q13" s="27"/>
      <c r="R13" s="27"/>
      <c r="S13" s="27"/>
      <c r="T13" s="27"/>
      <c r="U13" s="27"/>
      <c r="V13" s="27"/>
      <c r="W13" s="27"/>
      <c r="X13" s="27"/>
      <c r="Y13" s="27"/>
    </row>
    <row r="14" spans="1:25" ht="28.9">
      <c r="A14" s="27"/>
      <c r="B14" s="7">
        <v>11</v>
      </c>
      <c r="C14" s="7" t="s">
        <v>335</v>
      </c>
      <c r="D14" s="7" t="s">
        <v>239</v>
      </c>
      <c r="E14" s="7"/>
      <c r="F14" s="7"/>
      <c r="G14" s="9" t="s">
        <v>240</v>
      </c>
      <c r="H14" s="9" t="s">
        <v>329</v>
      </c>
      <c r="I14" s="9" t="s">
        <v>240</v>
      </c>
      <c r="J14" s="9" t="s">
        <v>240</v>
      </c>
      <c r="K14" s="7" t="s">
        <v>240</v>
      </c>
      <c r="L14" s="27"/>
      <c r="M14" s="27"/>
      <c r="N14" s="27"/>
      <c r="O14" s="27"/>
      <c r="P14" s="27"/>
      <c r="Q14" s="27"/>
      <c r="R14" s="27"/>
      <c r="S14" s="27"/>
      <c r="T14" s="27"/>
      <c r="U14" s="27"/>
      <c r="V14" s="27"/>
      <c r="W14" s="27"/>
      <c r="X14" s="27"/>
      <c r="Y14" s="27"/>
    </row>
    <row r="15" spans="1:25" ht="28.9">
      <c r="A15" s="27"/>
      <c r="B15" s="7">
        <v>12</v>
      </c>
      <c r="C15" s="7" t="s">
        <v>336</v>
      </c>
      <c r="D15" s="7" t="s">
        <v>112</v>
      </c>
      <c r="E15" s="7"/>
      <c r="F15" s="7"/>
      <c r="G15" s="9" t="s">
        <v>240</v>
      </c>
      <c r="H15" s="9" t="s">
        <v>329</v>
      </c>
      <c r="I15" s="9" t="s">
        <v>240</v>
      </c>
      <c r="J15" s="9" t="s">
        <v>240</v>
      </c>
      <c r="K15" s="7" t="s">
        <v>240</v>
      </c>
      <c r="L15" s="27"/>
      <c r="M15" s="27"/>
      <c r="N15" s="27"/>
      <c r="O15" s="27"/>
      <c r="P15" s="27"/>
      <c r="Q15" s="27"/>
      <c r="R15" s="27"/>
      <c r="S15" s="27"/>
      <c r="T15" s="27"/>
      <c r="U15" s="27"/>
      <c r="V15" s="27"/>
      <c r="W15" s="27"/>
      <c r="X15" s="27"/>
      <c r="Y15" s="27"/>
    </row>
    <row r="16" spans="1:25" ht="28.9">
      <c r="A16" s="27"/>
      <c r="B16" s="7">
        <v>13</v>
      </c>
      <c r="C16" s="7" t="s">
        <v>113</v>
      </c>
      <c r="D16" s="7" t="s">
        <v>112</v>
      </c>
      <c r="E16" s="7"/>
      <c r="F16" s="7"/>
      <c r="G16" s="9" t="s">
        <v>240</v>
      </c>
      <c r="H16" s="9" t="s">
        <v>329</v>
      </c>
      <c r="I16" s="9" t="s">
        <v>240</v>
      </c>
      <c r="J16" s="9" t="s">
        <v>240</v>
      </c>
      <c r="K16" s="7" t="s">
        <v>240</v>
      </c>
      <c r="L16" s="27"/>
      <c r="M16" s="27"/>
      <c r="N16" s="27"/>
      <c r="O16" s="27"/>
      <c r="P16" s="27"/>
      <c r="Q16" s="27"/>
      <c r="R16" s="27"/>
      <c r="S16" s="27"/>
      <c r="T16" s="27"/>
      <c r="U16" s="27"/>
      <c r="V16" s="27"/>
      <c r="W16" s="27"/>
      <c r="X16" s="27"/>
      <c r="Y16" s="27"/>
    </row>
    <row r="17" spans="1:25" ht="28.9">
      <c r="A17" s="27"/>
      <c r="B17" s="7">
        <v>14</v>
      </c>
      <c r="C17" s="7" t="s">
        <v>337</v>
      </c>
      <c r="D17" s="7" t="s">
        <v>112</v>
      </c>
      <c r="E17" s="7"/>
      <c r="F17" s="7"/>
      <c r="G17" s="9" t="s">
        <v>242</v>
      </c>
      <c r="H17" s="9" t="s">
        <v>324</v>
      </c>
      <c r="I17" s="9" t="s">
        <v>240</v>
      </c>
      <c r="J17" s="9" t="s">
        <v>240</v>
      </c>
      <c r="K17" s="7" t="s">
        <v>240</v>
      </c>
      <c r="L17" s="27"/>
      <c r="M17" s="27"/>
      <c r="N17" s="27"/>
      <c r="O17" s="27"/>
      <c r="P17" s="27"/>
      <c r="Q17" s="27"/>
      <c r="R17" s="27"/>
      <c r="S17" s="27"/>
      <c r="T17" s="27"/>
      <c r="U17" s="27"/>
      <c r="V17" s="27"/>
      <c r="W17" s="27"/>
      <c r="X17" s="27"/>
      <c r="Y17" s="27"/>
    </row>
    <row r="18" spans="1:25" ht="28.9">
      <c r="A18" s="27"/>
      <c r="B18" s="7">
        <v>15</v>
      </c>
      <c r="C18" s="7" t="s">
        <v>141</v>
      </c>
      <c r="D18" s="7" t="s">
        <v>112</v>
      </c>
      <c r="E18" s="7"/>
      <c r="F18" s="7"/>
      <c r="G18" s="9" t="s">
        <v>242</v>
      </c>
      <c r="H18" s="9" t="s">
        <v>324</v>
      </c>
      <c r="I18" s="9" t="s">
        <v>240</v>
      </c>
      <c r="J18" s="9" t="s">
        <v>240</v>
      </c>
      <c r="K18" s="7" t="s">
        <v>240</v>
      </c>
      <c r="L18" s="27"/>
      <c r="M18" s="27"/>
      <c r="N18" s="27"/>
      <c r="O18" s="27"/>
      <c r="P18" s="27"/>
      <c r="Q18" s="27"/>
      <c r="R18" s="27"/>
      <c r="S18" s="27"/>
      <c r="T18" s="27"/>
      <c r="U18" s="27"/>
      <c r="V18" s="27"/>
      <c r="W18" s="27"/>
      <c r="X18" s="27"/>
      <c r="Y18" s="27"/>
    </row>
    <row r="19" spans="1:25" ht="28.9">
      <c r="A19" s="27"/>
      <c r="B19" s="7">
        <v>16</v>
      </c>
      <c r="C19" s="7" t="s">
        <v>338</v>
      </c>
      <c r="D19" s="7" t="s">
        <v>112</v>
      </c>
      <c r="E19" s="7"/>
      <c r="F19" s="7"/>
      <c r="G19" s="9" t="s">
        <v>242</v>
      </c>
      <c r="H19" s="9" t="s">
        <v>324</v>
      </c>
      <c r="I19" s="9" t="s">
        <v>240</v>
      </c>
      <c r="J19" s="9" t="s">
        <v>240</v>
      </c>
      <c r="K19" s="7" t="s">
        <v>240</v>
      </c>
      <c r="L19" s="27"/>
      <c r="M19" s="27"/>
      <c r="N19" s="27"/>
      <c r="O19" s="27"/>
      <c r="P19" s="27"/>
      <c r="Q19" s="27"/>
      <c r="R19" s="27"/>
      <c r="S19" s="27"/>
      <c r="T19" s="27"/>
      <c r="U19" s="27"/>
      <c r="V19" s="27"/>
      <c r="W19" s="27"/>
      <c r="X19" s="27"/>
      <c r="Y19" s="27"/>
    </row>
    <row r="20" spans="1:25" ht="28.9">
      <c r="A20" s="27"/>
      <c r="B20" s="7">
        <v>17</v>
      </c>
      <c r="C20" s="7" t="s">
        <v>339</v>
      </c>
      <c r="D20" s="7" t="s">
        <v>115</v>
      </c>
      <c r="E20" s="7"/>
      <c r="F20" s="7"/>
      <c r="G20" s="9" t="s">
        <v>242</v>
      </c>
      <c r="H20" s="9" t="s">
        <v>324</v>
      </c>
      <c r="I20" s="9" t="s">
        <v>240</v>
      </c>
      <c r="J20" s="9" t="s">
        <v>240</v>
      </c>
      <c r="K20" s="7" t="s">
        <v>240</v>
      </c>
      <c r="L20" s="27"/>
      <c r="M20" s="27"/>
      <c r="N20" s="27"/>
      <c r="O20" s="27"/>
      <c r="P20" s="27"/>
      <c r="Q20" s="27"/>
      <c r="R20" s="27"/>
      <c r="S20" s="27"/>
      <c r="T20" s="27"/>
      <c r="U20" s="27"/>
      <c r="V20" s="27"/>
      <c r="W20" s="27"/>
      <c r="X20" s="27"/>
      <c r="Y20" s="27"/>
    </row>
    <row r="21" spans="1:25" ht="28.9">
      <c r="A21" s="27"/>
      <c r="B21" s="7">
        <v>18</v>
      </c>
      <c r="C21" s="7" t="s">
        <v>340</v>
      </c>
      <c r="D21" s="7" t="s">
        <v>115</v>
      </c>
      <c r="E21" s="7"/>
      <c r="F21" s="7"/>
      <c r="G21" s="9" t="s">
        <v>242</v>
      </c>
      <c r="H21" s="9" t="s">
        <v>324</v>
      </c>
      <c r="I21" s="9" t="s">
        <v>240</v>
      </c>
      <c r="J21" s="9" t="s">
        <v>240</v>
      </c>
      <c r="K21" s="7" t="s">
        <v>240</v>
      </c>
      <c r="L21" s="27"/>
      <c r="M21" s="27"/>
      <c r="N21" s="27"/>
      <c r="O21" s="27"/>
      <c r="P21" s="27"/>
      <c r="Q21" s="27"/>
      <c r="R21" s="27"/>
      <c r="S21" s="27"/>
      <c r="T21" s="27"/>
      <c r="U21" s="27"/>
      <c r="V21" s="27"/>
      <c r="W21" s="27"/>
      <c r="X21" s="27"/>
      <c r="Y21" s="27"/>
    </row>
    <row r="22" spans="1:25" ht="28.9">
      <c r="A22" s="27"/>
      <c r="B22" s="7">
        <v>19</v>
      </c>
      <c r="C22" s="7" t="s">
        <v>341</v>
      </c>
      <c r="D22" s="7" t="s">
        <v>115</v>
      </c>
      <c r="E22" s="7"/>
      <c r="F22" s="7"/>
      <c r="G22" s="9" t="s">
        <v>242</v>
      </c>
      <c r="H22" s="9" t="s">
        <v>324</v>
      </c>
      <c r="I22" s="9" t="s">
        <v>240</v>
      </c>
      <c r="J22" s="9" t="s">
        <v>240</v>
      </c>
      <c r="K22" s="7" t="s">
        <v>240</v>
      </c>
      <c r="L22" s="27"/>
      <c r="M22" s="27"/>
      <c r="N22" s="27"/>
      <c r="O22" s="27"/>
      <c r="P22" s="27"/>
      <c r="Q22" s="27"/>
      <c r="R22" s="27"/>
      <c r="S22" s="27"/>
      <c r="T22" s="27"/>
      <c r="U22" s="27"/>
      <c r="V22" s="27"/>
      <c r="W22" s="27"/>
      <c r="X22" s="27"/>
      <c r="Y22" s="27"/>
    </row>
    <row r="23" spans="1:25" ht="28.9">
      <c r="A23" s="27"/>
      <c r="B23" s="7">
        <v>20</v>
      </c>
      <c r="C23" s="7" t="s">
        <v>342</v>
      </c>
      <c r="D23" s="7" t="s">
        <v>115</v>
      </c>
      <c r="E23" s="7"/>
      <c r="F23" s="7"/>
      <c r="G23" s="9" t="s">
        <v>242</v>
      </c>
      <c r="H23" s="9" t="s">
        <v>324</v>
      </c>
      <c r="I23" s="9" t="s">
        <v>240</v>
      </c>
      <c r="J23" s="9" t="s">
        <v>240</v>
      </c>
      <c r="K23" s="7" t="s">
        <v>240</v>
      </c>
      <c r="L23" s="27"/>
      <c r="M23" s="27"/>
      <c r="N23" s="27"/>
      <c r="O23" s="27"/>
      <c r="P23" s="27"/>
      <c r="Q23" s="27"/>
      <c r="R23" s="27"/>
      <c r="S23" s="27"/>
      <c r="T23" s="27"/>
      <c r="U23" s="27"/>
      <c r="V23" s="27"/>
      <c r="W23" s="27"/>
      <c r="X23" s="27"/>
      <c r="Y23" s="27"/>
    </row>
    <row r="24" spans="1:25" ht="28.9">
      <c r="A24" s="27"/>
      <c r="B24" s="7">
        <v>21</v>
      </c>
      <c r="C24" s="7" t="s">
        <v>343</v>
      </c>
      <c r="D24" s="7" t="s">
        <v>115</v>
      </c>
      <c r="E24" s="7"/>
      <c r="F24" s="7"/>
      <c r="G24" s="9" t="s">
        <v>242</v>
      </c>
      <c r="H24" s="9" t="s">
        <v>324</v>
      </c>
      <c r="I24" s="9" t="s">
        <v>242</v>
      </c>
      <c r="J24" s="9" t="s">
        <v>242</v>
      </c>
      <c r="K24" s="7" t="s">
        <v>240</v>
      </c>
      <c r="L24" s="27"/>
      <c r="M24" s="27"/>
      <c r="N24" s="27"/>
      <c r="O24" s="27"/>
      <c r="P24" s="27"/>
      <c r="Q24" s="27"/>
      <c r="R24" s="27"/>
      <c r="S24" s="27"/>
      <c r="T24" s="27"/>
      <c r="U24" s="27"/>
      <c r="V24" s="27"/>
      <c r="W24" s="27"/>
      <c r="X24" s="27"/>
      <c r="Y24" s="27"/>
    </row>
    <row r="25" spans="1:25" ht="28.9">
      <c r="A25" s="27"/>
      <c r="B25" s="7">
        <v>22</v>
      </c>
      <c r="C25" s="7" t="s">
        <v>116</v>
      </c>
      <c r="D25" s="7" t="s">
        <v>115</v>
      </c>
      <c r="E25" s="7"/>
      <c r="F25" s="7"/>
      <c r="G25" s="9" t="s">
        <v>242</v>
      </c>
      <c r="H25" s="9" t="s">
        <v>324</v>
      </c>
      <c r="I25" s="9" t="s">
        <v>240</v>
      </c>
      <c r="J25" s="9" t="s">
        <v>240</v>
      </c>
      <c r="K25" s="7" t="s">
        <v>240</v>
      </c>
      <c r="L25" s="27"/>
      <c r="M25" s="27"/>
      <c r="N25" s="27"/>
      <c r="O25" s="27"/>
      <c r="P25" s="27"/>
      <c r="Q25" s="27"/>
      <c r="R25" s="27"/>
      <c r="S25" s="27"/>
      <c r="T25" s="27"/>
      <c r="U25" s="27"/>
      <c r="V25" s="27"/>
      <c r="W25" s="27"/>
      <c r="X25" s="27"/>
      <c r="Y25" s="27"/>
    </row>
    <row r="26" spans="1:25" ht="28.9">
      <c r="A26" s="27"/>
      <c r="B26" s="7">
        <v>23</v>
      </c>
      <c r="C26" s="7" t="s">
        <v>344</v>
      </c>
      <c r="D26" s="7" t="s">
        <v>115</v>
      </c>
      <c r="E26" s="7"/>
      <c r="F26" s="7"/>
      <c r="G26" s="9" t="s">
        <v>240</v>
      </c>
      <c r="H26" s="9" t="s">
        <v>329</v>
      </c>
      <c r="I26" s="9" t="s">
        <v>240</v>
      </c>
      <c r="J26" s="9" t="s">
        <v>240</v>
      </c>
      <c r="K26" s="7" t="s">
        <v>240</v>
      </c>
      <c r="L26" s="27"/>
      <c r="M26" s="27"/>
      <c r="N26" s="27"/>
      <c r="O26" s="27"/>
      <c r="P26" s="27"/>
      <c r="Q26" s="27"/>
      <c r="R26" s="27"/>
      <c r="S26" s="27"/>
      <c r="T26" s="27"/>
      <c r="U26" s="27"/>
      <c r="V26" s="27"/>
      <c r="W26" s="27"/>
      <c r="X26" s="27"/>
      <c r="Y26" s="27"/>
    </row>
    <row r="27" spans="1:25" ht="28.9">
      <c r="A27" s="27"/>
      <c r="B27" s="7">
        <v>24</v>
      </c>
      <c r="C27" s="7" t="s">
        <v>345</v>
      </c>
      <c r="D27" s="7" t="s">
        <v>115</v>
      </c>
      <c r="E27" s="7"/>
      <c r="F27" s="7"/>
      <c r="G27" s="9" t="s">
        <v>240</v>
      </c>
      <c r="H27" s="9" t="s">
        <v>324</v>
      </c>
      <c r="I27" s="9" t="s">
        <v>240</v>
      </c>
      <c r="J27" s="9" t="s">
        <v>240</v>
      </c>
      <c r="K27" s="7" t="s">
        <v>240</v>
      </c>
      <c r="L27" s="27"/>
      <c r="M27" s="27"/>
      <c r="N27" s="27"/>
      <c r="O27" s="27"/>
      <c r="P27" s="27"/>
      <c r="Q27" s="27"/>
      <c r="R27" s="27"/>
      <c r="S27" s="27"/>
      <c r="T27" s="27"/>
      <c r="U27" s="27"/>
      <c r="V27" s="27"/>
      <c r="W27" s="27"/>
      <c r="X27" s="27"/>
      <c r="Y27" s="27"/>
    </row>
    <row r="28" spans="1:25" ht="28.9">
      <c r="A28" s="27"/>
      <c r="B28" s="7">
        <v>25</v>
      </c>
      <c r="C28" s="7" t="s">
        <v>346</v>
      </c>
      <c r="D28" s="7" t="s">
        <v>245</v>
      </c>
      <c r="E28" s="7"/>
      <c r="F28" s="7"/>
      <c r="G28" s="9" t="s">
        <v>240</v>
      </c>
      <c r="H28" s="9" t="s">
        <v>329</v>
      </c>
      <c r="I28" s="9" t="s">
        <v>240</v>
      </c>
      <c r="J28" s="9" t="s">
        <v>347</v>
      </c>
      <c r="K28" s="7" t="s">
        <v>240</v>
      </c>
      <c r="L28" s="27"/>
      <c r="M28" s="27"/>
      <c r="N28" s="27"/>
      <c r="O28" s="27"/>
      <c r="P28" s="27"/>
      <c r="Q28" s="27"/>
      <c r="R28" s="27"/>
      <c r="S28" s="27"/>
      <c r="T28" s="27"/>
      <c r="U28" s="27"/>
      <c r="V28" s="27"/>
      <c r="W28" s="27"/>
      <c r="X28" s="27"/>
      <c r="Y28" s="27"/>
    </row>
    <row r="29" spans="1:25" ht="28.9">
      <c r="A29" s="27"/>
      <c r="B29" s="7">
        <v>26</v>
      </c>
      <c r="C29" s="7" t="s">
        <v>348</v>
      </c>
      <c r="D29" s="7" t="s">
        <v>245</v>
      </c>
      <c r="E29" s="7"/>
      <c r="F29" s="7"/>
      <c r="G29" s="9" t="s">
        <v>242</v>
      </c>
      <c r="H29" s="9" t="s">
        <v>324</v>
      </c>
      <c r="I29" s="9" t="s">
        <v>240</v>
      </c>
      <c r="J29" s="9" t="s">
        <v>242</v>
      </c>
      <c r="K29" s="7" t="s">
        <v>240</v>
      </c>
      <c r="L29" s="27"/>
      <c r="M29" s="27"/>
      <c r="N29" s="27"/>
      <c r="O29" s="27"/>
      <c r="P29" s="27"/>
      <c r="Q29" s="27"/>
      <c r="R29" s="27"/>
      <c r="S29" s="27"/>
      <c r="T29" s="27"/>
      <c r="U29" s="27"/>
      <c r="V29" s="27"/>
      <c r="W29" s="27"/>
      <c r="X29" s="27"/>
      <c r="Y29" s="27"/>
    </row>
    <row r="30" spans="1:25" ht="28.9">
      <c r="A30" s="27"/>
      <c r="B30" s="7">
        <v>27</v>
      </c>
      <c r="C30" s="7" t="s">
        <v>349</v>
      </c>
      <c r="D30" s="7" t="s">
        <v>245</v>
      </c>
      <c r="E30" s="7"/>
      <c r="F30" s="7"/>
      <c r="G30" s="9" t="s">
        <v>242</v>
      </c>
      <c r="H30" s="9" t="s">
        <v>324</v>
      </c>
      <c r="I30" s="9" t="s">
        <v>242</v>
      </c>
      <c r="J30" s="9" t="s">
        <v>242</v>
      </c>
      <c r="K30" s="7" t="s">
        <v>240</v>
      </c>
      <c r="L30" s="27"/>
      <c r="M30" s="27"/>
      <c r="N30" s="27"/>
      <c r="O30" s="27"/>
      <c r="P30" s="27"/>
      <c r="Q30" s="27"/>
      <c r="R30" s="27"/>
      <c r="S30" s="27"/>
      <c r="T30" s="27"/>
      <c r="U30" s="27"/>
      <c r="V30" s="27"/>
      <c r="W30" s="27"/>
      <c r="X30" s="27"/>
      <c r="Y30" s="27"/>
    </row>
    <row r="31" spans="1:25" ht="28.9">
      <c r="A31" s="27"/>
      <c r="B31" s="7">
        <v>28</v>
      </c>
      <c r="C31" s="7" t="s">
        <v>350</v>
      </c>
      <c r="D31" s="7" t="s">
        <v>246</v>
      </c>
      <c r="E31" s="7"/>
      <c r="F31" s="7"/>
      <c r="G31" s="9" t="s">
        <v>240</v>
      </c>
      <c r="H31" s="9" t="s">
        <v>329</v>
      </c>
      <c r="I31" s="9" t="s">
        <v>240</v>
      </c>
      <c r="J31" s="9" t="s">
        <v>242</v>
      </c>
      <c r="K31" s="7" t="s">
        <v>240</v>
      </c>
      <c r="L31" s="27"/>
      <c r="M31" s="27"/>
      <c r="N31" s="27"/>
      <c r="O31" s="27"/>
      <c r="P31" s="27"/>
      <c r="Q31" s="27"/>
      <c r="R31" s="27"/>
      <c r="S31" s="27"/>
      <c r="T31" s="27"/>
      <c r="U31" s="27"/>
      <c r="V31" s="27"/>
      <c r="W31" s="27"/>
      <c r="X31" s="27"/>
      <c r="Y31" s="27"/>
    </row>
    <row r="32" spans="1:25" ht="28.9">
      <c r="A32" s="27"/>
      <c r="B32" s="7">
        <v>29</v>
      </c>
      <c r="C32" s="7" t="s">
        <v>351</v>
      </c>
      <c r="D32" s="7" t="s">
        <v>246</v>
      </c>
      <c r="E32" s="7"/>
      <c r="F32" s="7"/>
      <c r="G32" s="9" t="s">
        <v>242</v>
      </c>
      <c r="H32" s="9" t="s">
        <v>324</v>
      </c>
      <c r="I32" s="9" t="s">
        <v>242</v>
      </c>
      <c r="J32" s="9" t="s">
        <v>242</v>
      </c>
      <c r="K32" s="7" t="s">
        <v>240</v>
      </c>
      <c r="L32" s="27"/>
      <c r="M32" s="27"/>
      <c r="N32" s="27"/>
      <c r="O32" s="27"/>
      <c r="P32" s="27"/>
      <c r="Q32" s="27"/>
      <c r="R32" s="27"/>
      <c r="S32" s="27"/>
      <c r="T32" s="27"/>
      <c r="U32" s="27"/>
      <c r="V32" s="27"/>
      <c r="W32" s="27"/>
      <c r="X32" s="27"/>
      <c r="Y32" s="27"/>
    </row>
    <row r="33" spans="1:25" ht="28.9">
      <c r="A33" s="27"/>
      <c r="B33" s="7">
        <v>30</v>
      </c>
      <c r="C33" s="7" t="s">
        <v>352</v>
      </c>
      <c r="D33" s="7" t="s">
        <v>117</v>
      </c>
      <c r="E33" s="7"/>
      <c r="F33" s="7"/>
      <c r="G33" s="9" t="s">
        <v>240</v>
      </c>
      <c r="H33" s="9" t="s">
        <v>329</v>
      </c>
      <c r="I33" s="9" t="s">
        <v>240</v>
      </c>
      <c r="J33" s="9" t="s">
        <v>240</v>
      </c>
      <c r="K33" s="7" t="s">
        <v>240</v>
      </c>
      <c r="L33" s="27"/>
      <c r="M33" s="27"/>
      <c r="N33" s="27"/>
      <c r="O33" s="27"/>
      <c r="P33" s="27"/>
      <c r="Q33" s="27"/>
      <c r="R33" s="27"/>
      <c r="S33" s="27"/>
      <c r="T33" s="27"/>
      <c r="U33" s="27"/>
      <c r="V33" s="27"/>
      <c r="W33" s="27"/>
      <c r="X33" s="27"/>
      <c r="Y33" s="27"/>
    </row>
    <row r="34" spans="1:25">
      <c r="A34" s="27"/>
      <c r="B34" s="7">
        <v>31</v>
      </c>
      <c r="C34" s="7" t="s">
        <v>119</v>
      </c>
      <c r="D34" s="7" t="s">
        <v>117</v>
      </c>
      <c r="E34" s="7"/>
      <c r="F34" s="7"/>
      <c r="G34" s="9" t="s">
        <v>353</v>
      </c>
      <c r="H34" s="9" t="s">
        <v>354</v>
      </c>
      <c r="I34" s="9" t="s">
        <v>240</v>
      </c>
      <c r="J34" s="9" t="s">
        <v>240</v>
      </c>
      <c r="K34" s="7" t="s">
        <v>240</v>
      </c>
      <c r="L34" s="27"/>
      <c r="M34" s="27"/>
      <c r="N34" s="27"/>
      <c r="O34" s="27"/>
      <c r="P34" s="27"/>
      <c r="Q34" s="27"/>
      <c r="R34" s="27"/>
      <c r="S34" s="27"/>
      <c r="T34" s="27"/>
      <c r="U34" s="27"/>
      <c r="V34" s="27"/>
      <c r="W34" s="27"/>
      <c r="X34" s="27"/>
      <c r="Y34" s="27"/>
    </row>
    <row r="35" spans="1:25" ht="28.9">
      <c r="A35" s="27"/>
      <c r="B35" s="7">
        <v>32</v>
      </c>
      <c r="C35" s="7" t="s">
        <v>355</v>
      </c>
      <c r="D35" s="7" t="s">
        <v>117</v>
      </c>
      <c r="E35" s="7"/>
      <c r="F35" s="7"/>
      <c r="G35" s="9" t="s">
        <v>240</v>
      </c>
      <c r="H35" s="9" t="s">
        <v>329</v>
      </c>
      <c r="I35" s="9" t="s">
        <v>242</v>
      </c>
      <c r="J35" s="9" t="s">
        <v>240</v>
      </c>
      <c r="K35" s="7" t="s">
        <v>240</v>
      </c>
      <c r="L35" s="27"/>
      <c r="M35" s="27"/>
      <c r="N35" s="27"/>
      <c r="O35" s="27"/>
      <c r="P35" s="27"/>
      <c r="Q35" s="27"/>
      <c r="R35" s="27"/>
      <c r="S35" s="27"/>
      <c r="T35" s="27"/>
      <c r="U35" s="27"/>
      <c r="V35" s="27"/>
      <c r="W35" s="27"/>
      <c r="X35" s="27"/>
      <c r="Y35" s="27"/>
    </row>
    <row r="36" spans="1:25" ht="28.9">
      <c r="A36" s="27"/>
      <c r="B36" s="7">
        <v>33</v>
      </c>
      <c r="C36" s="7" t="s">
        <v>356</v>
      </c>
      <c r="D36" s="7" t="s">
        <v>117</v>
      </c>
      <c r="E36" s="7"/>
      <c r="F36" s="7"/>
      <c r="G36" s="9" t="s">
        <v>242</v>
      </c>
      <c r="H36" s="9" t="s">
        <v>324</v>
      </c>
      <c r="I36" s="9" t="s">
        <v>242</v>
      </c>
      <c r="J36" s="9" t="s">
        <v>240</v>
      </c>
      <c r="K36" s="7" t="s">
        <v>240</v>
      </c>
      <c r="L36" s="27"/>
      <c r="M36" s="27"/>
      <c r="N36" s="27"/>
      <c r="O36" s="27"/>
      <c r="P36" s="27"/>
      <c r="Q36" s="27"/>
      <c r="R36" s="27"/>
      <c r="S36" s="27"/>
      <c r="T36" s="27"/>
      <c r="U36" s="27"/>
      <c r="V36" s="27"/>
      <c r="W36" s="27"/>
      <c r="X36" s="27"/>
      <c r="Y36" s="27"/>
    </row>
    <row r="37" spans="1:25">
      <c r="A37" s="27"/>
      <c r="B37" s="7">
        <v>34</v>
      </c>
      <c r="C37" s="7" t="s">
        <v>357</v>
      </c>
      <c r="D37" s="7" t="s">
        <v>117</v>
      </c>
      <c r="E37" s="7"/>
      <c r="F37" s="7"/>
      <c r="G37" s="9" t="s">
        <v>353</v>
      </c>
      <c r="H37" s="9" t="s">
        <v>354</v>
      </c>
      <c r="I37" s="9" t="s">
        <v>240</v>
      </c>
      <c r="J37" s="9" t="s">
        <v>240</v>
      </c>
      <c r="K37" s="7" t="s">
        <v>240</v>
      </c>
      <c r="L37" s="27"/>
      <c r="M37" s="27"/>
      <c r="N37" s="27"/>
      <c r="O37" s="27"/>
      <c r="P37" s="27"/>
      <c r="Q37" s="27"/>
      <c r="R37" s="27"/>
      <c r="S37" s="27"/>
      <c r="T37" s="27"/>
      <c r="U37" s="27"/>
      <c r="V37" s="27"/>
      <c r="W37" s="27"/>
      <c r="X37" s="27"/>
      <c r="Y37" s="27"/>
    </row>
    <row r="38" spans="1:25" ht="28.9">
      <c r="A38" s="27"/>
      <c r="B38" s="7">
        <v>35</v>
      </c>
      <c r="C38" s="7" t="s">
        <v>358</v>
      </c>
      <c r="D38" s="7" t="s">
        <v>117</v>
      </c>
      <c r="E38" s="7"/>
      <c r="F38" s="7"/>
      <c r="G38" s="9" t="s">
        <v>242</v>
      </c>
      <c r="H38" s="9" t="s">
        <v>324</v>
      </c>
      <c r="I38" s="9" t="s">
        <v>242</v>
      </c>
      <c r="J38" s="9" t="s">
        <v>240</v>
      </c>
      <c r="K38" s="7" t="s">
        <v>240</v>
      </c>
      <c r="L38" s="27"/>
      <c r="M38" s="27"/>
      <c r="N38" s="27"/>
      <c r="O38" s="27"/>
      <c r="P38" s="27"/>
      <c r="Q38" s="27"/>
      <c r="R38" s="27"/>
      <c r="S38" s="27"/>
      <c r="T38" s="27"/>
      <c r="U38" s="27"/>
      <c r="V38" s="27"/>
      <c r="W38" s="27"/>
      <c r="X38" s="27"/>
      <c r="Y38" s="27"/>
    </row>
    <row r="39" spans="1:25">
      <c r="A39" s="27"/>
      <c r="B39" s="7">
        <v>36</v>
      </c>
      <c r="C39" s="7" t="s">
        <v>118</v>
      </c>
      <c r="D39" s="7" t="s">
        <v>117</v>
      </c>
      <c r="E39" s="7"/>
      <c r="F39" s="7"/>
      <c r="G39" s="9" t="s">
        <v>353</v>
      </c>
      <c r="H39" s="9" t="s">
        <v>354</v>
      </c>
      <c r="I39" s="9" t="s">
        <v>240</v>
      </c>
      <c r="J39" s="9" t="s">
        <v>242</v>
      </c>
      <c r="K39" s="7" t="s">
        <v>240</v>
      </c>
      <c r="L39" s="27"/>
      <c r="M39" s="27"/>
      <c r="N39" s="27"/>
      <c r="O39" s="27"/>
      <c r="P39" s="27"/>
      <c r="Q39" s="27"/>
      <c r="R39" s="27"/>
      <c r="S39" s="27"/>
      <c r="T39" s="27"/>
      <c r="U39" s="27"/>
      <c r="V39" s="27"/>
      <c r="W39" s="27"/>
      <c r="X39" s="27"/>
      <c r="Y39" s="27"/>
    </row>
    <row r="40" spans="1:25" ht="28.9">
      <c r="A40" s="27"/>
      <c r="B40" s="7">
        <v>37</v>
      </c>
      <c r="C40" s="7" t="s">
        <v>359</v>
      </c>
      <c r="D40" s="7" t="s">
        <v>117</v>
      </c>
      <c r="E40" s="7"/>
      <c r="F40" s="7"/>
      <c r="G40" s="9" t="s">
        <v>242</v>
      </c>
      <c r="H40" s="9" t="s">
        <v>324</v>
      </c>
      <c r="I40" s="9" t="s">
        <v>242</v>
      </c>
      <c r="J40" s="9" t="s">
        <v>242</v>
      </c>
      <c r="K40" s="7" t="s">
        <v>240</v>
      </c>
      <c r="L40" s="27"/>
      <c r="M40" s="27"/>
      <c r="N40" s="27"/>
      <c r="O40" s="27"/>
      <c r="P40" s="27"/>
      <c r="Q40" s="27"/>
      <c r="R40" s="27"/>
      <c r="S40" s="27"/>
      <c r="T40" s="27"/>
      <c r="U40" s="27"/>
      <c r="V40" s="27"/>
      <c r="W40" s="27"/>
      <c r="X40" s="27"/>
      <c r="Y40" s="27"/>
    </row>
    <row r="41" spans="1:25" ht="28.9">
      <c r="A41" s="27"/>
      <c r="B41" s="7">
        <v>38</v>
      </c>
      <c r="C41" s="7" t="s">
        <v>360</v>
      </c>
      <c r="D41" s="7" t="s">
        <v>117</v>
      </c>
      <c r="E41" s="7"/>
      <c r="F41" s="7"/>
      <c r="G41" s="9" t="s">
        <v>240</v>
      </c>
      <c r="H41" s="9" t="s">
        <v>329</v>
      </c>
      <c r="I41" s="9" t="s">
        <v>242</v>
      </c>
      <c r="J41" s="9" t="s">
        <v>242</v>
      </c>
      <c r="K41" s="7" t="s">
        <v>240</v>
      </c>
      <c r="L41" s="27"/>
      <c r="M41" s="27"/>
      <c r="N41" s="27"/>
      <c r="O41" s="27"/>
      <c r="P41" s="27"/>
      <c r="Q41" s="27"/>
      <c r="R41" s="27"/>
      <c r="S41" s="27"/>
      <c r="T41" s="27"/>
      <c r="U41" s="27"/>
      <c r="V41" s="27"/>
      <c r="W41" s="27"/>
      <c r="X41" s="27"/>
      <c r="Y41" s="27"/>
    </row>
    <row r="42" spans="1:25" ht="28.9">
      <c r="A42" s="27"/>
      <c r="B42" s="7">
        <v>39</v>
      </c>
      <c r="C42" s="7" t="s">
        <v>361</v>
      </c>
      <c r="D42" s="7" t="s">
        <v>117</v>
      </c>
      <c r="E42" s="7"/>
      <c r="F42" s="7"/>
      <c r="G42" s="9" t="s">
        <v>240</v>
      </c>
      <c r="H42" s="9" t="s">
        <v>329</v>
      </c>
      <c r="I42" s="9" t="s">
        <v>242</v>
      </c>
      <c r="J42" s="9" t="s">
        <v>242</v>
      </c>
      <c r="K42" s="7" t="s">
        <v>240</v>
      </c>
      <c r="L42" s="27"/>
      <c r="M42" s="27"/>
      <c r="N42" s="27"/>
      <c r="O42" s="27"/>
      <c r="P42" s="27"/>
      <c r="Q42" s="27"/>
      <c r="R42" s="27"/>
      <c r="S42" s="27"/>
      <c r="T42" s="27"/>
      <c r="U42" s="27"/>
      <c r="V42" s="27"/>
      <c r="W42" s="27"/>
      <c r="X42" s="27"/>
      <c r="Y42" s="27"/>
    </row>
    <row r="43" spans="1:25" ht="28.9">
      <c r="A43" s="27"/>
      <c r="B43" s="7">
        <v>40</v>
      </c>
      <c r="C43" s="7" t="s">
        <v>362</v>
      </c>
      <c r="D43" s="7" t="s">
        <v>117</v>
      </c>
      <c r="E43" s="7"/>
      <c r="F43" s="7"/>
      <c r="G43" s="9" t="s">
        <v>240</v>
      </c>
      <c r="H43" s="9" t="s">
        <v>329</v>
      </c>
      <c r="I43" s="9" t="s">
        <v>240</v>
      </c>
      <c r="J43" s="9" t="s">
        <v>240</v>
      </c>
      <c r="K43" s="7" t="s">
        <v>240</v>
      </c>
      <c r="L43" s="27"/>
      <c r="M43" s="27"/>
      <c r="N43" s="27"/>
      <c r="O43" s="27"/>
      <c r="P43" s="27"/>
      <c r="Q43" s="27"/>
      <c r="R43" s="27"/>
      <c r="S43" s="27"/>
      <c r="T43" s="27"/>
      <c r="U43" s="27"/>
      <c r="V43" s="27"/>
      <c r="W43" s="27"/>
      <c r="X43" s="27"/>
      <c r="Y43" s="27"/>
    </row>
    <row r="44" spans="1:25" ht="28.9">
      <c r="A44" s="27"/>
      <c r="B44" s="7">
        <v>41</v>
      </c>
      <c r="C44" s="7" t="s">
        <v>363</v>
      </c>
      <c r="D44" s="7" t="s">
        <v>117</v>
      </c>
      <c r="E44" s="7"/>
      <c r="F44" s="7"/>
      <c r="G44" s="9" t="s">
        <v>240</v>
      </c>
      <c r="H44" s="9" t="s">
        <v>329</v>
      </c>
      <c r="I44" s="9" t="s">
        <v>240</v>
      </c>
      <c r="J44" s="9" t="s">
        <v>240</v>
      </c>
      <c r="K44" s="7" t="s">
        <v>240</v>
      </c>
      <c r="L44" s="27"/>
      <c r="M44" s="27"/>
      <c r="N44" s="27"/>
      <c r="O44" s="27"/>
      <c r="P44" s="27"/>
      <c r="Q44" s="27"/>
      <c r="R44" s="27"/>
      <c r="S44" s="27"/>
      <c r="T44" s="27"/>
      <c r="U44" s="27"/>
      <c r="V44" s="27"/>
      <c r="W44" s="27"/>
      <c r="X44" s="27"/>
      <c r="Y44" s="27"/>
    </row>
    <row r="45" spans="1:25" ht="28.9">
      <c r="A45" s="27"/>
      <c r="B45" s="7">
        <v>42</v>
      </c>
      <c r="C45" s="7" t="s">
        <v>364</v>
      </c>
      <c r="D45" s="7" t="s">
        <v>117</v>
      </c>
      <c r="E45" s="7"/>
      <c r="F45" s="7"/>
      <c r="G45" s="9" t="s">
        <v>240</v>
      </c>
      <c r="H45" s="9" t="s">
        <v>329</v>
      </c>
      <c r="I45" s="9" t="s">
        <v>240</v>
      </c>
      <c r="J45" s="9" t="s">
        <v>240</v>
      </c>
      <c r="K45" s="7" t="s">
        <v>240</v>
      </c>
      <c r="L45" s="27"/>
      <c r="M45" s="27"/>
      <c r="N45" s="27"/>
      <c r="O45" s="27"/>
      <c r="P45" s="27"/>
      <c r="Q45" s="27"/>
      <c r="R45" s="27"/>
      <c r="S45" s="27"/>
      <c r="T45" s="27"/>
      <c r="U45" s="27"/>
      <c r="V45" s="27"/>
      <c r="W45" s="27"/>
      <c r="X45" s="27"/>
      <c r="Y45" s="27"/>
    </row>
    <row r="46" spans="1:25" ht="28.9">
      <c r="A46" s="27"/>
      <c r="B46" s="7">
        <v>43</v>
      </c>
      <c r="C46" s="7" t="s">
        <v>365</v>
      </c>
      <c r="D46" s="7" t="s">
        <v>117</v>
      </c>
      <c r="E46" s="7"/>
      <c r="F46" s="7"/>
      <c r="G46" s="9" t="s">
        <v>240</v>
      </c>
      <c r="H46" s="9" t="s">
        <v>329</v>
      </c>
      <c r="I46" s="9" t="s">
        <v>240</v>
      </c>
      <c r="J46" s="9" t="s">
        <v>240</v>
      </c>
      <c r="K46" s="7" t="s">
        <v>240</v>
      </c>
      <c r="L46" s="27"/>
      <c r="M46" s="27"/>
      <c r="N46" s="27"/>
      <c r="O46" s="27"/>
      <c r="P46" s="27"/>
      <c r="Q46" s="27"/>
      <c r="R46" s="27"/>
      <c r="S46" s="27"/>
      <c r="T46" s="27"/>
      <c r="U46" s="27"/>
      <c r="V46" s="27"/>
      <c r="W46" s="27"/>
      <c r="X46" s="27"/>
      <c r="Y46" s="27"/>
    </row>
    <row r="47" spans="1:25" ht="28.9">
      <c r="A47" s="27"/>
      <c r="B47" s="7">
        <v>44</v>
      </c>
      <c r="C47" s="7" t="s">
        <v>366</v>
      </c>
      <c r="D47" s="7" t="s">
        <v>117</v>
      </c>
      <c r="E47" s="7"/>
      <c r="F47" s="7"/>
      <c r="G47" s="9" t="s">
        <v>240</v>
      </c>
      <c r="H47" s="9" t="s">
        <v>329</v>
      </c>
      <c r="I47" s="9" t="s">
        <v>242</v>
      </c>
      <c r="J47" s="9" t="s">
        <v>242</v>
      </c>
      <c r="K47" s="7" t="s">
        <v>240</v>
      </c>
      <c r="L47" s="27"/>
      <c r="M47" s="27"/>
      <c r="N47" s="27"/>
      <c r="O47" s="27"/>
      <c r="P47" s="27"/>
      <c r="Q47" s="27"/>
      <c r="R47" s="27"/>
      <c r="S47" s="27"/>
      <c r="T47" s="27"/>
      <c r="U47" s="27"/>
      <c r="V47" s="27"/>
      <c r="W47" s="27"/>
      <c r="X47" s="27"/>
      <c r="Y47" s="27"/>
    </row>
    <row r="48" spans="1:25" ht="28.9">
      <c r="A48" s="27"/>
      <c r="B48" s="7">
        <v>45</v>
      </c>
      <c r="C48" s="7" t="s">
        <v>121</v>
      </c>
      <c r="D48" s="7" t="s">
        <v>117</v>
      </c>
      <c r="E48" s="7"/>
      <c r="F48" s="7"/>
      <c r="G48" s="9" t="s">
        <v>242</v>
      </c>
      <c r="H48" s="9" t="s">
        <v>329</v>
      </c>
      <c r="I48" s="9" t="s">
        <v>240</v>
      </c>
      <c r="J48" s="9" t="s">
        <v>240</v>
      </c>
      <c r="K48" s="7" t="s">
        <v>240</v>
      </c>
      <c r="L48" s="27"/>
      <c r="M48" s="27"/>
      <c r="N48" s="27"/>
      <c r="O48" s="27"/>
      <c r="P48" s="27"/>
      <c r="Q48" s="27"/>
      <c r="R48" s="27"/>
      <c r="S48" s="27"/>
      <c r="T48" s="27"/>
      <c r="U48" s="27"/>
      <c r="V48" s="27"/>
      <c r="W48" s="27"/>
      <c r="X48" s="27"/>
      <c r="Y48" s="27"/>
    </row>
    <row r="49" spans="1:25" ht="28.9">
      <c r="A49" s="27"/>
      <c r="B49" s="7">
        <v>46</v>
      </c>
      <c r="C49" s="7" t="s">
        <v>367</v>
      </c>
      <c r="D49" s="7" t="s">
        <v>117</v>
      </c>
      <c r="E49" s="7"/>
      <c r="F49" s="7"/>
      <c r="G49" s="9" t="s">
        <v>240</v>
      </c>
      <c r="H49" s="9" t="s">
        <v>329</v>
      </c>
      <c r="I49" s="9" t="s">
        <v>242</v>
      </c>
      <c r="J49" s="9" t="s">
        <v>242</v>
      </c>
      <c r="K49" s="7" t="s">
        <v>240</v>
      </c>
      <c r="L49" s="27"/>
      <c r="M49" s="27"/>
      <c r="N49" s="27"/>
      <c r="O49" s="27"/>
      <c r="P49" s="27"/>
      <c r="Q49" s="27"/>
      <c r="R49" s="27"/>
      <c r="S49" s="27"/>
      <c r="T49" s="27"/>
      <c r="U49" s="27"/>
      <c r="V49" s="27"/>
      <c r="W49" s="27"/>
      <c r="X49" s="27"/>
      <c r="Y49" s="27"/>
    </row>
    <row r="50" spans="1:25">
      <c r="A50" s="27"/>
      <c r="B50" s="7">
        <v>47</v>
      </c>
      <c r="C50" s="7" t="s">
        <v>368</v>
      </c>
      <c r="D50" s="7" t="s">
        <v>117</v>
      </c>
      <c r="E50" s="7"/>
      <c r="F50" s="7"/>
      <c r="G50" s="9" t="s">
        <v>353</v>
      </c>
      <c r="H50" s="9" t="s">
        <v>354</v>
      </c>
      <c r="I50" s="9" t="s">
        <v>240</v>
      </c>
      <c r="J50" s="9" t="s">
        <v>240</v>
      </c>
      <c r="K50" s="7" t="s">
        <v>240</v>
      </c>
      <c r="L50" s="27"/>
      <c r="M50" s="27"/>
      <c r="N50" s="27"/>
      <c r="O50" s="27"/>
      <c r="P50" s="27"/>
      <c r="Q50" s="27"/>
      <c r="R50" s="27"/>
      <c r="S50" s="27"/>
      <c r="T50" s="27"/>
      <c r="U50" s="27"/>
      <c r="V50" s="27"/>
      <c r="W50" s="27"/>
      <c r="X50" s="27"/>
      <c r="Y50" s="27"/>
    </row>
    <row r="51" spans="1:25" ht="28.9">
      <c r="A51" s="27"/>
      <c r="B51" s="7">
        <v>48</v>
      </c>
      <c r="C51" s="7" t="s">
        <v>369</v>
      </c>
      <c r="D51" s="7" t="s">
        <v>117</v>
      </c>
      <c r="E51" s="7"/>
      <c r="F51" s="7"/>
      <c r="G51" s="9" t="s">
        <v>240</v>
      </c>
      <c r="H51" s="9" t="s">
        <v>329</v>
      </c>
      <c r="I51" s="9" t="s">
        <v>240</v>
      </c>
      <c r="J51" s="9" t="s">
        <v>240</v>
      </c>
      <c r="K51" s="7" t="s">
        <v>240</v>
      </c>
      <c r="L51" s="27"/>
      <c r="M51" s="27"/>
      <c r="N51" s="27"/>
      <c r="O51" s="27"/>
      <c r="P51" s="27"/>
      <c r="Q51" s="27"/>
      <c r="R51" s="27"/>
      <c r="S51" s="27"/>
      <c r="T51" s="27"/>
      <c r="U51" s="27"/>
      <c r="V51" s="27"/>
      <c r="W51" s="27"/>
      <c r="X51" s="27"/>
      <c r="Y51" s="27"/>
    </row>
    <row r="52" spans="1:25" ht="28.9">
      <c r="A52" s="27"/>
      <c r="B52" s="7">
        <v>49</v>
      </c>
      <c r="C52" s="7" t="s">
        <v>145</v>
      </c>
      <c r="D52" s="7" t="s">
        <v>117</v>
      </c>
      <c r="E52" s="7"/>
      <c r="F52" s="7"/>
      <c r="G52" s="9" t="s">
        <v>240</v>
      </c>
      <c r="H52" s="9" t="s">
        <v>329</v>
      </c>
      <c r="I52" s="9" t="s">
        <v>240</v>
      </c>
      <c r="J52" s="9" t="s">
        <v>240</v>
      </c>
      <c r="K52" s="7" t="s">
        <v>240</v>
      </c>
      <c r="L52" s="27"/>
      <c r="M52" s="27"/>
      <c r="N52" s="27"/>
      <c r="O52" s="27"/>
      <c r="P52" s="27"/>
      <c r="Q52" s="27"/>
      <c r="R52" s="27"/>
      <c r="S52" s="27"/>
      <c r="T52" s="27"/>
      <c r="U52" s="27"/>
      <c r="V52" s="27"/>
      <c r="W52" s="27"/>
      <c r="X52" s="27"/>
      <c r="Y52" s="27"/>
    </row>
    <row r="53" spans="1:25" ht="28.9">
      <c r="A53" s="27"/>
      <c r="B53" s="7">
        <v>50</v>
      </c>
      <c r="C53" s="7" t="s">
        <v>370</v>
      </c>
      <c r="D53" s="7" t="s">
        <v>247</v>
      </c>
      <c r="E53" s="7"/>
      <c r="F53" s="7"/>
      <c r="G53" s="9" t="s">
        <v>240</v>
      </c>
      <c r="H53" s="9" t="s">
        <v>329</v>
      </c>
      <c r="I53" s="9" t="s">
        <v>240</v>
      </c>
      <c r="J53" s="9" t="s">
        <v>240</v>
      </c>
      <c r="K53" s="7" t="s">
        <v>240</v>
      </c>
      <c r="L53" s="27"/>
      <c r="M53" s="27"/>
      <c r="N53" s="27"/>
      <c r="O53" s="27"/>
      <c r="P53" s="27"/>
      <c r="Q53" s="27"/>
      <c r="R53" s="27"/>
      <c r="S53" s="27"/>
      <c r="T53" s="27"/>
      <c r="U53" s="27"/>
      <c r="V53" s="27"/>
      <c r="W53" s="27"/>
      <c r="X53" s="27"/>
      <c r="Y53" s="27"/>
    </row>
    <row r="54" spans="1:25" ht="28.9">
      <c r="A54" s="27"/>
      <c r="B54" s="7">
        <v>51</v>
      </c>
      <c r="C54" s="7" t="s">
        <v>371</v>
      </c>
      <c r="D54" s="7" t="s">
        <v>247</v>
      </c>
      <c r="E54" s="7"/>
      <c r="F54" s="7"/>
      <c r="G54" s="9" t="s">
        <v>242</v>
      </c>
      <c r="H54" s="9" t="s">
        <v>324</v>
      </c>
      <c r="I54" s="9" t="s">
        <v>242</v>
      </c>
      <c r="J54" s="9" t="s">
        <v>242</v>
      </c>
      <c r="K54" s="7" t="s">
        <v>240</v>
      </c>
      <c r="L54" s="27"/>
      <c r="M54" s="27"/>
      <c r="N54" s="27"/>
      <c r="O54" s="27"/>
      <c r="P54" s="27"/>
      <c r="Q54" s="27"/>
      <c r="R54" s="27"/>
      <c r="S54" s="27"/>
      <c r="T54" s="27"/>
      <c r="U54" s="27"/>
      <c r="V54" s="27"/>
      <c r="W54" s="27"/>
      <c r="X54" s="27"/>
      <c r="Y54" s="27"/>
    </row>
    <row r="55" spans="1:25" ht="28.9">
      <c r="A55" s="27"/>
      <c r="B55" s="7">
        <v>52</v>
      </c>
      <c r="C55" s="7" t="s">
        <v>372</v>
      </c>
      <c r="D55" s="7" t="s">
        <v>247</v>
      </c>
      <c r="E55" s="7"/>
      <c r="F55" s="7"/>
      <c r="G55" s="9" t="s">
        <v>242</v>
      </c>
      <c r="H55" s="9" t="s">
        <v>324</v>
      </c>
      <c r="I55" s="9" t="s">
        <v>240</v>
      </c>
      <c r="J55" s="9" t="s">
        <v>240</v>
      </c>
      <c r="K55" s="7" t="s">
        <v>240</v>
      </c>
      <c r="L55" s="27"/>
      <c r="M55" s="27"/>
      <c r="N55" s="27"/>
      <c r="O55" s="27"/>
      <c r="P55" s="27"/>
      <c r="Q55" s="27"/>
      <c r="R55" s="27"/>
      <c r="S55" s="27"/>
      <c r="T55" s="27"/>
      <c r="U55" s="27"/>
      <c r="V55" s="27"/>
      <c r="W55" s="27"/>
      <c r="X55" s="27"/>
      <c r="Y55" s="27"/>
    </row>
    <row r="56" spans="1:25" ht="28.9">
      <c r="A56" s="27"/>
      <c r="B56" s="7">
        <v>53</v>
      </c>
      <c r="C56" s="7" t="s">
        <v>373</v>
      </c>
      <c r="D56" s="7" t="s">
        <v>247</v>
      </c>
      <c r="E56" s="7"/>
      <c r="F56" s="7"/>
      <c r="G56" s="9" t="s">
        <v>242</v>
      </c>
      <c r="H56" s="9" t="s">
        <v>324</v>
      </c>
      <c r="I56" s="9" t="s">
        <v>240</v>
      </c>
      <c r="J56" s="9" t="s">
        <v>240</v>
      </c>
      <c r="K56" s="7" t="s">
        <v>240</v>
      </c>
      <c r="L56" s="27"/>
      <c r="M56" s="27"/>
      <c r="N56" s="27"/>
      <c r="O56" s="27"/>
      <c r="P56" s="27"/>
      <c r="Q56" s="27"/>
      <c r="R56" s="27"/>
      <c r="S56" s="27"/>
      <c r="T56" s="27"/>
      <c r="U56" s="27"/>
      <c r="V56" s="27"/>
      <c r="W56" s="27"/>
      <c r="X56" s="27"/>
      <c r="Y56" s="27"/>
    </row>
    <row r="57" spans="1:25" ht="28.9">
      <c r="A57" s="27"/>
      <c r="B57" s="7">
        <v>54</v>
      </c>
      <c r="C57" s="7" t="s">
        <v>374</v>
      </c>
      <c r="D57" s="7" t="s">
        <v>244</v>
      </c>
      <c r="E57" s="7"/>
      <c r="F57" s="7"/>
      <c r="G57" s="9" t="s">
        <v>242</v>
      </c>
      <c r="H57" s="9" t="s">
        <v>324</v>
      </c>
      <c r="I57" s="9" t="s">
        <v>242</v>
      </c>
      <c r="J57" s="9" t="s">
        <v>242</v>
      </c>
      <c r="K57" s="7" t="s">
        <v>240</v>
      </c>
      <c r="L57" s="27"/>
      <c r="M57" s="27"/>
      <c r="N57" s="27"/>
      <c r="O57" s="27"/>
      <c r="P57" s="27"/>
      <c r="Q57" s="27"/>
      <c r="R57" s="27"/>
      <c r="S57" s="27"/>
      <c r="T57" s="27"/>
      <c r="U57" s="27"/>
      <c r="V57" s="27"/>
      <c r="W57" s="27"/>
      <c r="X57" s="27"/>
      <c r="Y57" s="27"/>
    </row>
    <row r="58" spans="1:25" ht="28.9">
      <c r="A58" s="27"/>
      <c r="B58" s="7">
        <v>55</v>
      </c>
      <c r="C58" s="7" t="s">
        <v>375</v>
      </c>
      <c r="D58" s="7" t="s">
        <v>248</v>
      </c>
      <c r="E58" s="7"/>
      <c r="F58" s="7"/>
      <c r="G58" s="9" t="s">
        <v>240</v>
      </c>
      <c r="H58" s="9" t="s">
        <v>329</v>
      </c>
      <c r="I58" s="9" t="s">
        <v>347</v>
      </c>
      <c r="J58" s="9" t="s">
        <v>242</v>
      </c>
      <c r="K58" s="7" t="s">
        <v>240</v>
      </c>
      <c r="L58" s="27"/>
      <c r="M58" s="27"/>
      <c r="N58" s="27"/>
      <c r="O58" s="27"/>
      <c r="P58" s="27"/>
      <c r="Q58" s="27"/>
      <c r="R58" s="27"/>
      <c r="S58" s="27"/>
      <c r="T58" s="27"/>
      <c r="U58" s="27"/>
      <c r="V58" s="27"/>
      <c r="W58" s="27"/>
      <c r="X58" s="27"/>
      <c r="Y58" s="27"/>
    </row>
    <row r="59" spans="1:25" ht="28.9">
      <c r="A59" s="27"/>
      <c r="B59" s="7">
        <v>56</v>
      </c>
      <c r="C59" s="7" t="s">
        <v>376</v>
      </c>
      <c r="D59" s="7" t="s">
        <v>244</v>
      </c>
      <c r="E59" s="7"/>
      <c r="F59" s="7"/>
      <c r="G59" s="9" t="s">
        <v>240</v>
      </c>
      <c r="H59" s="9" t="s">
        <v>329</v>
      </c>
      <c r="I59" s="9" t="s">
        <v>242</v>
      </c>
      <c r="J59" s="9" t="s">
        <v>242</v>
      </c>
      <c r="K59" s="7" t="s">
        <v>240</v>
      </c>
      <c r="L59" s="27"/>
      <c r="M59" s="27"/>
      <c r="N59" s="27"/>
      <c r="O59" s="27"/>
      <c r="P59" s="27"/>
      <c r="Q59" s="27"/>
      <c r="R59" s="27"/>
      <c r="S59" s="27"/>
      <c r="T59" s="27"/>
      <c r="U59" s="27"/>
      <c r="V59" s="27"/>
      <c r="W59" s="27"/>
      <c r="X59" s="27"/>
      <c r="Y59" s="27"/>
    </row>
    <row r="60" spans="1:25" ht="28.9">
      <c r="A60" s="27"/>
      <c r="B60" s="7">
        <v>57</v>
      </c>
      <c r="C60" s="7" t="s">
        <v>377</v>
      </c>
      <c r="D60" s="7" t="s">
        <v>244</v>
      </c>
      <c r="E60" s="7"/>
      <c r="F60" s="7"/>
      <c r="G60" s="9" t="s">
        <v>240</v>
      </c>
      <c r="H60" s="9" t="s">
        <v>329</v>
      </c>
      <c r="I60" s="9" t="s">
        <v>347</v>
      </c>
      <c r="J60" s="9" t="s">
        <v>242</v>
      </c>
      <c r="K60" s="7" t="s">
        <v>240</v>
      </c>
      <c r="L60" s="27"/>
      <c r="M60" s="27"/>
      <c r="N60" s="27"/>
      <c r="O60" s="27"/>
      <c r="P60" s="27"/>
      <c r="Q60" s="27"/>
      <c r="R60" s="27"/>
      <c r="S60" s="27"/>
      <c r="T60" s="27"/>
      <c r="U60" s="27"/>
      <c r="V60" s="27"/>
      <c r="W60" s="27"/>
      <c r="X60" s="27"/>
      <c r="Y60" s="27"/>
    </row>
    <row r="61" spans="1:25" ht="28.9">
      <c r="A61" s="27"/>
      <c r="B61" s="7">
        <v>58</v>
      </c>
      <c r="C61" s="7" t="s">
        <v>378</v>
      </c>
      <c r="D61" s="7" t="s">
        <v>244</v>
      </c>
      <c r="E61" s="7"/>
      <c r="F61" s="7"/>
      <c r="G61" s="9" t="s">
        <v>240</v>
      </c>
      <c r="H61" s="9" t="s">
        <v>329</v>
      </c>
      <c r="I61" s="9" t="s">
        <v>242</v>
      </c>
      <c r="J61" s="9" t="s">
        <v>242</v>
      </c>
      <c r="K61" s="7" t="s">
        <v>240</v>
      </c>
      <c r="L61" s="27"/>
      <c r="M61" s="27"/>
      <c r="N61" s="27"/>
      <c r="O61" s="27"/>
      <c r="P61" s="27"/>
      <c r="Q61" s="27"/>
      <c r="R61" s="27"/>
      <c r="S61" s="27"/>
      <c r="T61" s="27"/>
      <c r="U61" s="27"/>
      <c r="V61" s="27"/>
      <c r="W61" s="27"/>
      <c r="X61" s="27"/>
      <c r="Y61" s="27"/>
    </row>
    <row r="62" spans="1:25" ht="28.9">
      <c r="A62" s="27"/>
      <c r="B62" s="7">
        <v>59</v>
      </c>
      <c r="C62" s="7" t="s">
        <v>379</v>
      </c>
      <c r="D62" s="7" t="s">
        <v>244</v>
      </c>
      <c r="E62" s="7"/>
      <c r="F62" s="7"/>
      <c r="G62" s="9" t="s">
        <v>240</v>
      </c>
      <c r="H62" s="9" t="s">
        <v>329</v>
      </c>
      <c r="I62" s="9" t="s">
        <v>347</v>
      </c>
      <c r="J62" s="9" t="s">
        <v>242</v>
      </c>
      <c r="K62" s="7" t="s">
        <v>240</v>
      </c>
      <c r="L62" s="27"/>
      <c r="M62" s="27"/>
      <c r="N62" s="27"/>
      <c r="O62" s="27"/>
      <c r="P62" s="27"/>
      <c r="Q62" s="27"/>
      <c r="R62" s="27"/>
      <c r="S62" s="27"/>
      <c r="T62" s="27"/>
      <c r="U62" s="27"/>
      <c r="V62" s="27"/>
      <c r="W62" s="27"/>
      <c r="X62" s="27"/>
      <c r="Y62" s="27"/>
    </row>
    <row r="63" spans="1:25" ht="28.9">
      <c r="A63" s="27"/>
      <c r="B63" s="7">
        <v>60</v>
      </c>
      <c r="C63" s="7" t="s">
        <v>380</v>
      </c>
      <c r="D63" s="7" t="s">
        <v>244</v>
      </c>
      <c r="E63" s="7"/>
      <c r="F63" s="7"/>
      <c r="G63" s="9" t="s">
        <v>240</v>
      </c>
      <c r="H63" s="9" t="s">
        <v>329</v>
      </c>
      <c r="I63" s="9" t="s">
        <v>347</v>
      </c>
      <c r="J63" s="9" t="s">
        <v>242</v>
      </c>
      <c r="K63" s="7" t="s">
        <v>240</v>
      </c>
      <c r="L63" s="27"/>
      <c r="M63" s="27"/>
      <c r="N63" s="27"/>
      <c r="O63" s="27"/>
      <c r="P63" s="27"/>
      <c r="Q63" s="27"/>
      <c r="R63" s="27"/>
      <c r="S63" s="27"/>
      <c r="T63" s="27"/>
      <c r="U63" s="27"/>
      <c r="V63" s="27"/>
      <c r="W63" s="27"/>
      <c r="X63" s="27"/>
      <c r="Y63" s="27"/>
    </row>
    <row r="64" spans="1:25" ht="28.9">
      <c r="A64" s="27"/>
      <c r="B64" s="7">
        <v>61</v>
      </c>
      <c r="C64" s="7" t="s">
        <v>381</v>
      </c>
      <c r="D64" s="7" t="s">
        <v>244</v>
      </c>
      <c r="E64" s="7"/>
      <c r="F64" s="7"/>
      <c r="G64" s="9" t="s">
        <v>240</v>
      </c>
      <c r="H64" s="9" t="s">
        <v>329</v>
      </c>
      <c r="I64" s="9" t="s">
        <v>347</v>
      </c>
      <c r="J64" s="9" t="s">
        <v>347</v>
      </c>
      <c r="K64" s="7" t="s">
        <v>240</v>
      </c>
      <c r="L64" s="27"/>
      <c r="M64" s="27"/>
      <c r="N64" s="27"/>
      <c r="O64" s="27"/>
      <c r="P64" s="27"/>
      <c r="Q64" s="27"/>
      <c r="R64" s="27"/>
      <c r="S64" s="27"/>
      <c r="T64" s="27"/>
      <c r="U64" s="27"/>
      <c r="V64" s="27"/>
      <c r="W64" s="27"/>
      <c r="X64" s="27"/>
      <c r="Y64" s="27"/>
    </row>
    <row r="65" spans="1:25" ht="28.9">
      <c r="A65" s="27"/>
      <c r="B65" s="7">
        <v>62</v>
      </c>
      <c r="C65" s="7" t="s">
        <v>382</v>
      </c>
      <c r="D65" s="7" t="s">
        <v>244</v>
      </c>
      <c r="E65" s="7"/>
      <c r="F65" s="7"/>
      <c r="G65" s="9" t="s">
        <v>240</v>
      </c>
      <c r="H65" s="9" t="s">
        <v>329</v>
      </c>
      <c r="I65" s="9" t="s">
        <v>347</v>
      </c>
      <c r="J65" s="9" t="s">
        <v>242</v>
      </c>
      <c r="K65" s="7" t="s">
        <v>240</v>
      </c>
      <c r="L65" s="27"/>
      <c r="M65" s="27"/>
      <c r="N65" s="27"/>
      <c r="O65" s="27"/>
      <c r="P65" s="27"/>
      <c r="Q65" s="27"/>
      <c r="R65" s="27"/>
      <c r="S65" s="27"/>
      <c r="T65" s="27"/>
      <c r="U65" s="27"/>
      <c r="V65" s="27"/>
      <c r="W65" s="27"/>
      <c r="X65" s="27"/>
      <c r="Y65" s="27"/>
    </row>
    <row r="66" spans="1:25" ht="28.9">
      <c r="A66" s="27"/>
      <c r="B66" s="7">
        <v>63</v>
      </c>
      <c r="C66" s="7" t="s">
        <v>383</v>
      </c>
      <c r="D66" s="7" t="s">
        <v>244</v>
      </c>
      <c r="E66" s="7"/>
      <c r="F66" s="7"/>
      <c r="G66" s="9" t="s">
        <v>242</v>
      </c>
      <c r="H66" s="9" t="s">
        <v>324</v>
      </c>
      <c r="I66" s="9" t="s">
        <v>242</v>
      </c>
      <c r="J66" s="9" t="s">
        <v>242</v>
      </c>
      <c r="K66" s="7" t="s">
        <v>240</v>
      </c>
      <c r="L66" s="27"/>
      <c r="M66" s="27"/>
      <c r="N66" s="27"/>
      <c r="O66" s="27"/>
      <c r="P66" s="27"/>
      <c r="Q66" s="27"/>
      <c r="R66" s="27"/>
      <c r="S66" s="27"/>
      <c r="T66" s="27"/>
      <c r="U66" s="27"/>
      <c r="V66" s="27"/>
      <c r="W66" s="27"/>
      <c r="X66" s="27"/>
      <c r="Y66" s="27"/>
    </row>
    <row r="67" spans="1:25" ht="28.9">
      <c r="A67" s="27"/>
      <c r="B67" s="7">
        <v>64</v>
      </c>
      <c r="C67" s="7" t="s">
        <v>384</v>
      </c>
      <c r="D67" s="9" t="s">
        <v>243</v>
      </c>
      <c r="E67" s="7"/>
      <c r="F67" s="7"/>
      <c r="G67" s="9" t="s">
        <v>240</v>
      </c>
      <c r="H67" s="9" t="s">
        <v>329</v>
      </c>
      <c r="I67" s="9" t="s">
        <v>242</v>
      </c>
      <c r="J67" s="9" t="s">
        <v>242</v>
      </c>
      <c r="K67" s="7" t="s">
        <v>240</v>
      </c>
      <c r="L67" s="27"/>
      <c r="M67" s="27"/>
      <c r="N67" s="27"/>
      <c r="O67" s="27"/>
      <c r="P67" s="27"/>
      <c r="Q67" s="27"/>
      <c r="R67" s="27"/>
      <c r="S67" s="27"/>
      <c r="T67" s="27"/>
      <c r="U67" s="27"/>
      <c r="V67" s="27"/>
      <c r="W67" s="27"/>
      <c r="X67" s="27"/>
      <c r="Y67" s="27"/>
    </row>
    <row r="68" spans="1:25" ht="28.9">
      <c r="A68" s="27"/>
      <c r="B68" s="7">
        <v>65</v>
      </c>
      <c r="C68" s="7" t="s">
        <v>385</v>
      </c>
      <c r="D68" s="9" t="s">
        <v>243</v>
      </c>
      <c r="E68" s="7"/>
      <c r="F68" s="7"/>
      <c r="G68" s="9" t="s">
        <v>240</v>
      </c>
      <c r="H68" s="9" t="s">
        <v>329</v>
      </c>
      <c r="I68" s="9" t="s">
        <v>242</v>
      </c>
      <c r="J68" s="9" t="s">
        <v>242</v>
      </c>
      <c r="K68" s="7" t="s">
        <v>240</v>
      </c>
      <c r="L68" s="27"/>
      <c r="M68" s="27"/>
      <c r="N68" s="27"/>
      <c r="O68" s="27"/>
      <c r="P68" s="27"/>
      <c r="Q68" s="27"/>
      <c r="R68" s="27"/>
      <c r="S68" s="27"/>
      <c r="T68" s="27"/>
      <c r="U68" s="27"/>
      <c r="V68" s="27"/>
      <c r="W68" s="27"/>
      <c r="X68" s="27"/>
      <c r="Y68" s="27"/>
    </row>
    <row r="69" spans="1:25" ht="29.45" thickBot="1">
      <c r="A69" s="27"/>
      <c r="B69" s="419">
        <v>66</v>
      </c>
      <c r="C69" s="419" t="s">
        <v>386</v>
      </c>
      <c r="D69" s="9" t="s">
        <v>243</v>
      </c>
      <c r="E69" s="419"/>
      <c r="F69" s="419"/>
      <c r="G69" s="420" t="s">
        <v>242</v>
      </c>
      <c r="H69" s="420" t="s">
        <v>324</v>
      </c>
      <c r="I69" s="420" t="s">
        <v>242</v>
      </c>
      <c r="J69" s="420" t="s">
        <v>242</v>
      </c>
      <c r="K69" s="7" t="s">
        <v>240</v>
      </c>
      <c r="L69" s="27"/>
      <c r="M69" s="27"/>
      <c r="N69" s="27"/>
      <c r="O69" s="27"/>
      <c r="P69" s="27"/>
      <c r="Q69" s="27"/>
      <c r="R69" s="27"/>
      <c r="S69" s="27"/>
      <c r="T69" s="27"/>
      <c r="U69" s="27"/>
      <c r="V69" s="27"/>
      <c r="W69" s="27"/>
      <c r="X69" s="27"/>
      <c r="Y69" s="27"/>
    </row>
    <row r="70" spans="1:25" ht="29.45" thickTop="1">
      <c r="A70" s="27"/>
      <c r="B70" s="421">
        <v>67</v>
      </c>
      <c r="C70" s="421" t="s">
        <v>261</v>
      </c>
      <c r="D70" s="421" t="s">
        <v>260</v>
      </c>
      <c r="E70" s="421"/>
      <c r="F70" s="421"/>
      <c r="G70" s="422" t="s">
        <v>242</v>
      </c>
      <c r="H70" s="422" t="s">
        <v>324</v>
      </c>
      <c r="I70" s="422" t="s">
        <v>240</v>
      </c>
      <c r="J70" s="422" t="s">
        <v>240</v>
      </c>
      <c r="K70" s="7" t="s">
        <v>240</v>
      </c>
      <c r="L70" s="27"/>
      <c r="M70" s="27"/>
      <c r="N70" s="27"/>
      <c r="O70" s="27"/>
      <c r="P70" s="27"/>
      <c r="Q70" s="27"/>
      <c r="R70" s="27"/>
      <c r="S70" s="27"/>
      <c r="T70" s="27"/>
      <c r="U70" s="27"/>
      <c r="V70" s="27"/>
      <c r="W70" s="27"/>
      <c r="X70" s="27"/>
      <c r="Y70" s="27"/>
    </row>
    <row r="71" spans="1:25" ht="28.9">
      <c r="A71" s="27"/>
      <c r="B71" s="7">
        <v>68</v>
      </c>
      <c r="C71" s="7" t="s">
        <v>387</v>
      </c>
      <c r="D71" s="7" t="s">
        <v>260</v>
      </c>
      <c r="E71" s="7"/>
      <c r="F71" s="7"/>
      <c r="G71" s="9" t="s">
        <v>242</v>
      </c>
      <c r="H71" s="9" t="s">
        <v>324</v>
      </c>
      <c r="I71" s="9" t="s">
        <v>240</v>
      </c>
      <c r="J71" s="9" t="s">
        <v>240</v>
      </c>
      <c r="K71" s="7" t="s">
        <v>240</v>
      </c>
      <c r="L71" s="27"/>
      <c r="M71" s="27"/>
      <c r="N71" s="27"/>
      <c r="O71" s="27"/>
      <c r="P71" s="27"/>
      <c r="Q71" s="27"/>
      <c r="R71" s="27"/>
      <c r="S71" s="27"/>
      <c r="T71" s="27"/>
      <c r="U71" s="27"/>
      <c r="V71" s="27"/>
      <c r="W71" s="27"/>
      <c r="X71" s="27"/>
      <c r="Y71" s="27"/>
    </row>
    <row r="72" spans="1:25" ht="28.9">
      <c r="A72" s="27"/>
      <c r="B72" s="7">
        <v>69</v>
      </c>
      <c r="C72" s="7" t="s">
        <v>388</v>
      </c>
      <c r="D72" s="7" t="s">
        <v>260</v>
      </c>
      <c r="E72" s="7"/>
      <c r="F72" s="7"/>
      <c r="G72" s="9" t="s">
        <v>242</v>
      </c>
      <c r="H72" s="9" t="s">
        <v>324</v>
      </c>
      <c r="I72" s="9" t="s">
        <v>240</v>
      </c>
      <c r="J72" s="9" t="s">
        <v>240</v>
      </c>
      <c r="K72" s="7" t="s">
        <v>240</v>
      </c>
      <c r="L72" s="27"/>
      <c r="M72" s="27"/>
      <c r="N72" s="27"/>
      <c r="O72" s="27"/>
      <c r="P72" s="27"/>
      <c r="Q72" s="27"/>
      <c r="R72" s="27"/>
      <c r="S72" s="27"/>
      <c r="T72" s="27"/>
      <c r="U72" s="27"/>
      <c r="V72" s="27"/>
      <c r="W72" s="27"/>
      <c r="X72" s="27"/>
      <c r="Y72" s="27"/>
    </row>
    <row r="73" spans="1:25" ht="28.9">
      <c r="A73" s="27"/>
      <c r="B73" s="7">
        <v>70</v>
      </c>
      <c r="C73" s="7" t="s">
        <v>389</v>
      </c>
      <c r="D73" s="7" t="s">
        <v>260</v>
      </c>
      <c r="E73" s="7"/>
      <c r="F73" s="7"/>
      <c r="G73" s="9" t="s">
        <v>240</v>
      </c>
      <c r="H73" s="9" t="s">
        <v>329</v>
      </c>
      <c r="I73" s="9" t="s">
        <v>240</v>
      </c>
      <c r="J73" s="9" t="s">
        <v>240</v>
      </c>
      <c r="K73" s="7" t="s">
        <v>240</v>
      </c>
      <c r="L73" s="27"/>
      <c r="M73" s="27"/>
      <c r="N73" s="27"/>
      <c r="O73" s="27"/>
      <c r="P73" s="27"/>
      <c r="Q73" s="27"/>
      <c r="R73" s="27"/>
      <c r="S73" s="27"/>
      <c r="T73" s="27"/>
      <c r="U73" s="27"/>
      <c r="V73" s="27"/>
      <c r="W73" s="27"/>
      <c r="X73" s="27"/>
      <c r="Y73" s="27"/>
    </row>
    <row r="74" spans="1:25">
      <c r="A74" s="27"/>
      <c r="B74" s="7">
        <v>71</v>
      </c>
      <c r="C74" s="7" t="s">
        <v>390</v>
      </c>
      <c r="D74" s="7" t="s">
        <v>260</v>
      </c>
      <c r="E74" s="7"/>
      <c r="F74" s="7"/>
      <c r="G74" s="9" t="s">
        <v>353</v>
      </c>
      <c r="H74" s="9" t="s">
        <v>354</v>
      </c>
      <c r="I74" s="9" t="s">
        <v>240</v>
      </c>
      <c r="J74" s="9" t="s">
        <v>240</v>
      </c>
      <c r="K74" s="7" t="s">
        <v>240</v>
      </c>
      <c r="L74" s="27"/>
      <c r="M74" s="27"/>
      <c r="N74" s="27"/>
      <c r="O74" s="27"/>
      <c r="P74" s="27"/>
      <c r="Q74" s="27"/>
      <c r="R74" s="27"/>
      <c r="S74" s="27"/>
      <c r="T74" s="27"/>
      <c r="U74" s="27"/>
      <c r="V74" s="27"/>
      <c r="W74" s="27"/>
      <c r="X74" s="27"/>
      <c r="Y74" s="27"/>
    </row>
    <row r="75" spans="1:25" ht="28.9">
      <c r="A75" s="27"/>
      <c r="B75" s="7">
        <v>72</v>
      </c>
      <c r="C75" s="7" t="s">
        <v>391</v>
      </c>
      <c r="D75" s="7" t="s">
        <v>268</v>
      </c>
      <c r="E75" s="7"/>
      <c r="F75" s="7"/>
      <c r="G75" s="9" t="s">
        <v>240</v>
      </c>
      <c r="H75" s="9" t="s">
        <v>329</v>
      </c>
      <c r="I75" s="9" t="s">
        <v>240</v>
      </c>
      <c r="J75" s="9" t="s">
        <v>240</v>
      </c>
      <c r="K75" s="7" t="s">
        <v>240</v>
      </c>
      <c r="L75" s="27"/>
      <c r="M75" s="27"/>
      <c r="N75" s="27"/>
      <c r="O75" s="27"/>
      <c r="P75" s="27"/>
      <c r="Q75" s="27"/>
      <c r="R75" s="27"/>
      <c r="S75" s="27"/>
      <c r="T75" s="27"/>
      <c r="U75" s="27"/>
      <c r="V75" s="27"/>
      <c r="W75" s="27"/>
      <c r="X75" s="27"/>
      <c r="Y75" s="27"/>
    </row>
    <row r="76" spans="1:25" ht="28.9">
      <c r="A76" s="27"/>
      <c r="B76" s="7">
        <v>73</v>
      </c>
      <c r="C76" s="7" t="s">
        <v>392</v>
      </c>
      <c r="D76" s="7" t="s">
        <v>268</v>
      </c>
      <c r="E76" s="7"/>
      <c r="F76" s="7"/>
      <c r="G76" s="9" t="s">
        <v>242</v>
      </c>
      <c r="H76" s="9" t="s">
        <v>324</v>
      </c>
      <c r="I76" s="9" t="s">
        <v>240</v>
      </c>
      <c r="J76" s="9" t="s">
        <v>240</v>
      </c>
      <c r="K76" s="7" t="s">
        <v>240</v>
      </c>
      <c r="L76" s="27"/>
      <c r="M76" s="27"/>
      <c r="N76" s="27"/>
      <c r="O76" s="27"/>
      <c r="P76" s="27"/>
      <c r="Q76" s="27"/>
      <c r="R76" s="27"/>
      <c r="S76" s="27"/>
      <c r="T76" s="27"/>
      <c r="U76" s="27"/>
      <c r="V76" s="27"/>
      <c r="W76" s="27"/>
      <c r="X76" s="27"/>
      <c r="Y76" s="27"/>
    </row>
    <row r="77" spans="1:25" ht="28.9">
      <c r="A77" s="27"/>
      <c r="B77" s="7">
        <v>74</v>
      </c>
      <c r="C77" s="7" t="s">
        <v>393</v>
      </c>
      <c r="D77" s="7" t="s">
        <v>268</v>
      </c>
      <c r="E77" s="7"/>
      <c r="F77" s="7"/>
      <c r="G77" s="9" t="s">
        <v>240</v>
      </c>
      <c r="H77" s="9" t="s">
        <v>329</v>
      </c>
      <c r="I77" s="9" t="s">
        <v>240</v>
      </c>
      <c r="J77" s="9" t="s">
        <v>240</v>
      </c>
      <c r="K77" s="7" t="s">
        <v>240</v>
      </c>
      <c r="L77" s="27"/>
      <c r="M77" s="27"/>
      <c r="N77" s="27"/>
      <c r="O77" s="27"/>
      <c r="P77" s="27"/>
      <c r="Q77" s="27"/>
      <c r="R77" s="27"/>
      <c r="S77" s="27"/>
      <c r="T77" s="27"/>
      <c r="U77" s="27"/>
      <c r="V77" s="27"/>
      <c r="W77" s="27"/>
      <c r="X77" s="27"/>
      <c r="Y77" s="27"/>
    </row>
    <row r="78" spans="1:25" ht="29.45" thickBot="1">
      <c r="A78" s="27"/>
      <c r="B78" s="419">
        <v>75</v>
      </c>
      <c r="C78" s="419" t="s">
        <v>394</v>
      </c>
      <c r="D78" s="419" t="s">
        <v>268</v>
      </c>
      <c r="E78" s="419"/>
      <c r="F78" s="419"/>
      <c r="G78" s="420" t="s">
        <v>242</v>
      </c>
      <c r="H78" s="420" t="s">
        <v>324</v>
      </c>
      <c r="I78" s="9" t="s">
        <v>240</v>
      </c>
      <c r="J78" s="9" t="s">
        <v>240</v>
      </c>
      <c r="K78" s="7" t="s">
        <v>240</v>
      </c>
      <c r="L78" s="27"/>
      <c r="M78" s="27"/>
      <c r="N78" s="27"/>
      <c r="O78" s="27"/>
      <c r="P78" s="27"/>
      <c r="Q78" s="27"/>
      <c r="R78" s="27"/>
      <c r="S78" s="27"/>
      <c r="T78" s="27"/>
      <c r="U78" s="27"/>
      <c r="V78" s="27"/>
      <c r="W78" s="27"/>
      <c r="X78" s="27"/>
      <c r="Y78" s="27"/>
    </row>
    <row r="79" spans="1:25" ht="29.45" thickTop="1">
      <c r="A79" s="27"/>
      <c r="B79" s="421">
        <v>76</v>
      </c>
      <c r="C79" s="421" t="s">
        <v>395</v>
      </c>
      <c r="D79" s="421" t="s">
        <v>396</v>
      </c>
      <c r="E79" s="421"/>
      <c r="F79" s="421"/>
      <c r="G79" s="421" t="s">
        <v>242</v>
      </c>
      <c r="H79" s="422" t="s">
        <v>324</v>
      </c>
      <c r="I79" s="421" t="s">
        <v>240</v>
      </c>
      <c r="J79" s="422" t="s">
        <v>242</v>
      </c>
      <c r="K79" s="7" t="s">
        <v>240</v>
      </c>
      <c r="L79" s="27"/>
      <c r="M79" s="27"/>
      <c r="N79" s="27"/>
      <c r="O79" s="27"/>
      <c r="P79" s="27"/>
      <c r="Q79" s="27"/>
      <c r="R79" s="27"/>
      <c r="S79" s="27"/>
      <c r="T79" s="27"/>
      <c r="U79" s="27"/>
      <c r="V79" s="27"/>
      <c r="W79" s="27"/>
      <c r="X79" s="27"/>
      <c r="Y79" s="27"/>
    </row>
    <row r="80" spans="1:25" ht="28.9">
      <c r="A80" s="27"/>
      <c r="B80" s="7">
        <v>77</v>
      </c>
      <c r="C80" s="7" t="s">
        <v>397</v>
      </c>
      <c r="D80" s="7" t="s">
        <v>396</v>
      </c>
      <c r="E80" s="7"/>
      <c r="F80" s="7"/>
      <c r="G80" s="7" t="s">
        <v>242</v>
      </c>
      <c r="H80" s="9" t="s">
        <v>324</v>
      </c>
      <c r="I80" s="7" t="s">
        <v>240</v>
      </c>
      <c r="J80" s="9" t="s">
        <v>242</v>
      </c>
      <c r="K80" s="7" t="s">
        <v>240</v>
      </c>
      <c r="L80" s="27"/>
      <c r="M80" s="27"/>
      <c r="N80" s="27"/>
      <c r="O80" s="27"/>
      <c r="P80" s="27"/>
      <c r="Q80" s="27"/>
      <c r="R80" s="27"/>
      <c r="S80" s="27"/>
      <c r="T80" s="27"/>
      <c r="U80" s="27"/>
      <c r="V80" s="27"/>
      <c r="W80" s="27"/>
      <c r="X80" s="27"/>
      <c r="Y80" s="27"/>
    </row>
    <row r="81" spans="1:25" ht="28.9">
      <c r="A81" s="27"/>
      <c r="B81" s="7">
        <v>78</v>
      </c>
      <c r="C81" s="7" t="s">
        <v>398</v>
      </c>
      <c r="D81" s="7" t="s">
        <v>396</v>
      </c>
      <c r="E81" s="7"/>
      <c r="F81" s="7"/>
      <c r="G81" s="7" t="s">
        <v>240</v>
      </c>
      <c r="H81" s="9" t="s">
        <v>329</v>
      </c>
      <c r="I81" s="7" t="s">
        <v>240</v>
      </c>
      <c r="J81" s="9" t="s">
        <v>242</v>
      </c>
      <c r="K81" s="7" t="s">
        <v>240</v>
      </c>
      <c r="L81" s="27"/>
      <c r="M81" s="27"/>
      <c r="N81" s="27"/>
      <c r="O81" s="27"/>
      <c r="P81" s="27"/>
      <c r="Q81" s="27"/>
      <c r="R81" s="27"/>
      <c r="S81" s="27"/>
      <c r="T81" s="27"/>
      <c r="U81" s="27"/>
      <c r="V81" s="27"/>
      <c r="W81" s="27"/>
      <c r="X81" s="27"/>
      <c r="Y81" s="27"/>
    </row>
    <row r="82" spans="1:25">
      <c r="A82" s="27"/>
      <c r="B82" s="7">
        <v>79</v>
      </c>
      <c r="C82" s="7"/>
      <c r="D82" s="7"/>
      <c r="E82" s="18"/>
      <c r="F82" s="18"/>
      <c r="G82" s="7"/>
      <c r="H82" s="9"/>
      <c r="I82" s="18"/>
      <c r="J82" s="18"/>
      <c r="K82" s="7"/>
      <c r="L82" s="27"/>
      <c r="M82" s="27"/>
      <c r="N82" s="27"/>
      <c r="O82" s="27"/>
      <c r="P82" s="27"/>
      <c r="Q82" s="27"/>
      <c r="R82" s="27"/>
      <c r="S82" s="27"/>
      <c r="T82" s="27"/>
      <c r="U82" s="27"/>
      <c r="V82" s="27"/>
      <c r="W82" s="27"/>
      <c r="X82" s="27"/>
      <c r="Y82" s="27"/>
    </row>
    <row r="83" spans="1:25">
      <c r="A83" s="27"/>
      <c r="B83" s="7">
        <v>80</v>
      </c>
      <c r="C83" s="18"/>
      <c r="D83" s="7"/>
      <c r="E83" s="18"/>
      <c r="F83" s="18"/>
      <c r="G83" s="7"/>
      <c r="H83" s="9"/>
      <c r="I83" s="18"/>
      <c r="J83" s="18"/>
      <c r="K83" s="7"/>
      <c r="L83" s="27"/>
      <c r="M83" s="27"/>
      <c r="N83" s="27"/>
      <c r="O83" s="27"/>
      <c r="P83" s="27"/>
      <c r="Q83" s="27"/>
      <c r="R83" s="27"/>
      <c r="S83" s="27"/>
      <c r="T83" s="27"/>
      <c r="U83" s="27"/>
      <c r="V83" s="27"/>
      <c r="W83" s="27"/>
      <c r="X83" s="27"/>
      <c r="Y83" s="27"/>
    </row>
    <row r="84" spans="1:25">
      <c r="A84" s="27"/>
      <c r="B84" s="7">
        <v>81</v>
      </c>
      <c r="C84" s="18"/>
      <c r="D84" s="7"/>
      <c r="E84" s="18"/>
      <c r="F84" s="18"/>
      <c r="G84" s="7"/>
      <c r="H84" s="9"/>
      <c r="I84" s="18"/>
      <c r="J84" s="18"/>
      <c r="K84" s="7"/>
      <c r="L84" s="27"/>
      <c r="M84" s="27"/>
      <c r="N84" s="27"/>
      <c r="O84" s="27"/>
      <c r="P84" s="27"/>
      <c r="Q84" s="27"/>
      <c r="R84" s="27"/>
      <c r="S84" s="27"/>
      <c r="T84" s="27"/>
      <c r="U84" s="27"/>
      <c r="V84" s="27"/>
      <c r="W84" s="27"/>
      <c r="X84" s="27"/>
      <c r="Y84" s="27"/>
    </row>
    <row r="85" spans="1:25">
      <c r="A85" s="27"/>
      <c r="B85" s="7">
        <v>82</v>
      </c>
      <c r="C85" s="18"/>
      <c r="D85" s="7"/>
      <c r="E85" s="18"/>
      <c r="F85" s="18"/>
      <c r="G85" s="7"/>
      <c r="H85" s="9"/>
      <c r="I85" s="18"/>
      <c r="J85" s="18"/>
      <c r="K85" s="7"/>
      <c r="L85" s="27"/>
      <c r="M85" s="27"/>
      <c r="N85" s="27"/>
      <c r="O85" s="27"/>
      <c r="P85" s="27"/>
      <c r="Q85" s="27"/>
      <c r="R85" s="27"/>
      <c r="S85" s="27"/>
      <c r="T85" s="27"/>
      <c r="U85" s="27"/>
      <c r="V85" s="27"/>
      <c r="W85" s="27"/>
      <c r="X85" s="27"/>
      <c r="Y85" s="27"/>
    </row>
    <row r="86" spans="1:25">
      <c r="A86" s="27"/>
      <c r="B86" s="7">
        <v>83</v>
      </c>
      <c r="C86" s="18"/>
      <c r="D86" s="7"/>
      <c r="E86" s="18"/>
      <c r="F86" s="18"/>
      <c r="G86" s="7"/>
      <c r="H86" s="9"/>
      <c r="I86" s="18"/>
      <c r="J86" s="18"/>
      <c r="K86" s="7"/>
      <c r="L86" s="27"/>
      <c r="M86" s="27"/>
      <c r="N86" s="27"/>
      <c r="O86" s="27"/>
      <c r="P86" s="27"/>
      <c r="Q86" s="27"/>
      <c r="R86" s="27"/>
      <c r="S86" s="27"/>
      <c r="T86" s="27"/>
      <c r="U86" s="27"/>
      <c r="V86" s="27"/>
      <c r="W86" s="27"/>
      <c r="X86" s="27"/>
      <c r="Y86" s="27"/>
    </row>
    <row r="87" spans="1:25">
      <c r="A87" s="27"/>
      <c r="B87" s="7">
        <v>84</v>
      </c>
      <c r="C87" s="18"/>
      <c r="D87" s="7"/>
      <c r="E87" s="18"/>
      <c r="F87" s="18"/>
      <c r="G87" s="7"/>
      <c r="H87" s="9"/>
      <c r="I87" s="18"/>
      <c r="J87" s="18"/>
      <c r="K87" s="7"/>
      <c r="L87" s="27"/>
      <c r="M87" s="27"/>
      <c r="N87" s="27"/>
      <c r="O87" s="27"/>
      <c r="P87" s="27"/>
      <c r="Q87" s="27"/>
      <c r="R87" s="27"/>
      <c r="S87" s="27"/>
      <c r="T87" s="27"/>
      <c r="U87" s="27"/>
      <c r="V87" s="27"/>
      <c r="W87" s="27"/>
      <c r="X87" s="27"/>
      <c r="Y87" s="27"/>
    </row>
    <row r="88" spans="1:25">
      <c r="A88" s="27"/>
      <c r="B88" s="7">
        <v>85</v>
      </c>
      <c r="C88" s="18"/>
      <c r="D88" s="7"/>
      <c r="E88" s="18"/>
      <c r="F88" s="18"/>
      <c r="G88" s="7"/>
      <c r="H88" s="9"/>
      <c r="I88" s="18"/>
      <c r="J88" s="18"/>
      <c r="K88" s="7"/>
      <c r="L88" s="27"/>
      <c r="M88" s="27"/>
      <c r="N88" s="27"/>
      <c r="O88" s="27"/>
      <c r="P88" s="27"/>
      <c r="Q88" s="27"/>
      <c r="R88" s="27"/>
      <c r="S88" s="27"/>
      <c r="T88" s="27"/>
      <c r="U88" s="27"/>
      <c r="V88" s="27"/>
      <c r="W88" s="27"/>
      <c r="X88" s="27"/>
      <c r="Y88" s="27"/>
    </row>
    <row r="89" spans="1:25">
      <c r="A89" s="27"/>
      <c r="B89" s="7">
        <v>86</v>
      </c>
      <c r="C89" s="18"/>
      <c r="D89" s="7"/>
      <c r="E89" s="18"/>
      <c r="F89" s="18"/>
      <c r="G89" s="7"/>
      <c r="H89" s="9"/>
      <c r="I89" s="18"/>
      <c r="J89" s="18"/>
      <c r="K89" s="7"/>
      <c r="L89" s="27"/>
      <c r="M89" s="27"/>
      <c r="N89" s="27"/>
      <c r="O89" s="27"/>
      <c r="P89" s="27"/>
      <c r="Q89" s="27"/>
      <c r="R89" s="27"/>
      <c r="S89" s="27"/>
      <c r="T89" s="27"/>
      <c r="U89" s="27"/>
      <c r="V89" s="27"/>
      <c r="W89" s="27"/>
      <c r="X89" s="27"/>
      <c r="Y89" s="27"/>
    </row>
    <row r="90" spans="1:25">
      <c r="A90" s="27"/>
      <c r="B90" s="7">
        <v>87</v>
      </c>
      <c r="C90" s="18"/>
      <c r="D90" s="7"/>
      <c r="E90" s="18"/>
      <c r="F90" s="18"/>
      <c r="G90" s="7"/>
      <c r="H90" s="9"/>
      <c r="I90" s="18"/>
      <c r="J90" s="18"/>
      <c r="K90" s="7"/>
      <c r="L90" s="27"/>
      <c r="M90" s="27"/>
      <c r="N90" s="27"/>
      <c r="O90" s="27"/>
      <c r="P90" s="27"/>
      <c r="Q90" s="27"/>
      <c r="R90" s="27"/>
      <c r="S90" s="27"/>
      <c r="T90" s="27"/>
      <c r="U90" s="27"/>
      <c r="V90" s="27"/>
      <c r="W90" s="27"/>
      <c r="X90" s="27"/>
      <c r="Y90" s="27"/>
    </row>
    <row r="91" spans="1:25">
      <c r="A91" s="27"/>
      <c r="B91" s="7">
        <v>88</v>
      </c>
      <c r="C91" s="18"/>
      <c r="D91" s="7"/>
      <c r="E91" s="18"/>
      <c r="F91" s="18"/>
      <c r="G91" s="7"/>
      <c r="H91" s="9"/>
      <c r="I91" s="18"/>
      <c r="J91" s="18"/>
      <c r="K91" s="7"/>
      <c r="L91" s="27"/>
      <c r="M91" s="27"/>
      <c r="N91" s="27"/>
      <c r="O91" s="27"/>
      <c r="P91" s="27"/>
      <c r="Q91" s="27"/>
      <c r="R91" s="27"/>
      <c r="S91" s="27"/>
      <c r="T91" s="27"/>
      <c r="U91" s="27"/>
      <c r="V91" s="27"/>
      <c r="W91" s="27"/>
      <c r="X91" s="27"/>
      <c r="Y91" s="27"/>
    </row>
    <row r="92" spans="1:25">
      <c r="A92" s="27"/>
      <c r="B92" s="7">
        <v>89</v>
      </c>
      <c r="C92" s="18"/>
      <c r="D92" s="7"/>
      <c r="E92" s="18"/>
      <c r="F92" s="18"/>
      <c r="G92" s="7"/>
      <c r="H92" s="9"/>
      <c r="I92" s="18"/>
      <c r="J92" s="18"/>
      <c r="K92" s="7"/>
      <c r="L92" s="27"/>
      <c r="M92" s="27"/>
      <c r="N92" s="27"/>
      <c r="O92" s="27"/>
      <c r="P92" s="27"/>
      <c r="Q92" s="27"/>
      <c r="R92" s="27"/>
      <c r="S92" s="27"/>
      <c r="T92" s="27"/>
      <c r="U92" s="27"/>
      <c r="V92" s="27"/>
      <c r="W92" s="27"/>
      <c r="X92" s="27"/>
      <c r="Y92" s="27"/>
    </row>
    <row r="93" spans="1:25">
      <c r="A93" s="27"/>
      <c r="B93" s="7">
        <v>90</v>
      </c>
      <c r="C93" s="18"/>
      <c r="D93" s="7"/>
      <c r="E93" s="18"/>
      <c r="F93" s="18"/>
      <c r="G93" s="7"/>
      <c r="H93" s="9"/>
      <c r="I93" s="18"/>
      <c r="J93" s="18"/>
      <c r="K93" s="7"/>
      <c r="L93" s="27"/>
      <c r="M93" s="27"/>
      <c r="N93" s="27"/>
      <c r="O93" s="27"/>
      <c r="P93" s="27"/>
      <c r="Q93" s="27"/>
      <c r="R93" s="27"/>
      <c r="S93" s="27"/>
      <c r="T93" s="27"/>
      <c r="U93" s="27"/>
      <c r="V93" s="27"/>
      <c r="W93" s="27"/>
      <c r="X93" s="27"/>
      <c r="Y93" s="27"/>
    </row>
    <row r="94" spans="1:25">
      <c r="A94" s="27"/>
      <c r="B94" s="7">
        <v>91</v>
      </c>
      <c r="C94" s="18"/>
      <c r="D94" s="7"/>
      <c r="E94" s="18"/>
      <c r="F94" s="18"/>
      <c r="G94" s="7"/>
      <c r="H94" s="9"/>
      <c r="I94" s="18"/>
      <c r="J94" s="18"/>
      <c r="K94" s="7"/>
      <c r="L94" s="27"/>
      <c r="M94" s="27"/>
      <c r="N94" s="27"/>
      <c r="O94" s="27"/>
      <c r="P94" s="27"/>
      <c r="Q94" s="27"/>
      <c r="R94" s="27"/>
      <c r="S94" s="27"/>
      <c r="T94" s="27"/>
      <c r="U94" s="27"/>
      <c r="V94" s="27"/>
      <c r="W94" s="27"/>
      <c r="X94" s="27"/>
      <c r="Y94" s="27"/>
    </row>
    <row r="95" spans="1:25">
      <c r="A95" s="27"/>
      <c r="B95" s="7">
        <v>92</v>
      </c>
      <c r="C95" s="18"/>
      <c r="D95" s="7"/>
      <c r="E95" s="18"/>
      <c r="F95" s="18"/>
      <c r="G95" s="7"/>
      <c r="H95" s="9"/>
      <c r="I95" s="18"/>
      <c r="J95" s="18"/>
      <c r="K95" s="7"/>
      <c r="L95" s="27"/>
      <c r="M95" s="27"/>
      <c r="N95" s="27"/>
      <c r="O95" s="27"/>
      <c r="P95" s="27"/>
      <c r="Q95" s="27"/>
      <c r="R95" s="27"/>
      <c r="S95" s="27"/>
      <c r="T95" s="27"/>
      <c r="U95" s="27"/>
      <c r="V95" s="27"/>
      <c r="W95" s="27"/>
      <c r="X95" s="27"/>
      <c r="Y95" s="27"/>
    </row>
    <row r="96" spans="1:25">
      <c r="A96" s="27"/>
      <c r="B96" s="7">
        <v>93</v>
      </c>
      <c r="C96" s="18"/>
      <c r="D96" s="7"/>
      <c r="E96" s="18"/>
      <c r="F96" s="18"/>
      <c r="G96" s="7"/>
      <c r="H96" s="9"/>
      <c r="I96" s="18"/>
      <c r="J96" s="18"/>
      <c r="K96" s="7"/>
      <c r="L96" s="27"/>
      <c r="M96" s="27"/>
      <c r="N96" s="27"/>
      <c r="O96" s="27"/>
      <c r="P96" s="27"/>
      <c r="Q96" s="27"/>
      <c r="R96" s="27"/>
      <c r="S96" s="27"/>
      <c r="T96" s="27"/>
      <c r="U96" s="27"/>
      <c r="V96" s="27"/>
      <c r="W96" s="27"/>
      <c r="X96" s="27"/>
      <c r="Y96" s="27"/>
    </row>
    <row r="97" spans="1:25">
      <c r="A97" s="27"/>
      <c r="B97" s="7">
        <v>94</v>
      </c>
      <c r="C97" s="18"/>
      <c r="D97" s="7"/>
      <c r="E97" s="18"/>
      <c r="F97" s="18"/>
      <c r="G97" s="7"/>
      <c r="H97" s="9"/>
      <c r="I97" s="18"/>
      <c r="J97" s="18"/>
      <c r="K97" s="7"/>
      <c r="L97" s="27"/>
      <c r="M97" s="27"/>
      <c r="N97" s="27"/>
      <c r="O97" s="27"/>
      <c r="P97" s="27"/>
      <c r="Q97" s="27"/>
      <c r="R97" s="27"/>
      <c r="S97" s="27"/>
      <c r="T97" s="27"/>
      <c r="U97" s="27"/>
      <c r="V97" s="27"/>
      <c r="W97" s="27"/>
      <c r="X97" s="27"/>
      <c r="Y97" s="27"/>
    </row>
    <row r="98" spans="1:25">
      <c r="A98" s="27"/>
      <c r="B98" s="7">
        <v>95</v>
      </c>
      <c r="C98" s="18"/>
      <c r="D98" s="7"/>
      <c r="E98" s="18"/>
      <c r="F98" s="18"/>
      <c r="G98" s="7"/>
      <c r="H98" s="9"/>
      <c r="I98" s="18"/>
      <c r="J98" s="18"/>
      <c r="K98" s="7"/>
      <c r="L98" s="27"/>
      <c r="M98" s="27"/>
      <c r="N98" s="27"/>
      <c r="O98" s="27"/>
      <c r="P98" s="27"/>
      <c r="Q98" s="27"/>
      <c r="R98" s="27"/>
      <c r="S98" s="27"/>
      <c r="T98" s="27"/>
      <c r="U98" s="27"/>
      <c r="V98" s="27"/>
      <c r="W98" s="27"/>
      <c r="X98" s="27"/>
      <c r="Y98" s="27"/>
    </row>
    <row r="99" spans="1:25">
      <c r="A99" s="27"/>
      <c r="B99" s="7">
        <v>96</v>
      </c>
      <c r="C99" s="18"/>
      <c r="D99" s="7"/>
      <c r="E99" s="18"/>
      <c r="F99" s="18"/>
      <c r="G99" s="7"/>
      <c r="H99" s="9"/>
      <c r="I99" s="18"/>
      <c r="J99" s="18"/>
      <c r="K99" s="7"/>
      <c r="L99" s="27"/>
      <c r="M99" s="27"/>
      <c r="N99" s="27"/>
      <c r="O99" s="27"/>
      <c r="P99" s="27"/>
      <c r="Q99" s="27"/>
      <c r="R99" s="27"/>
      <c r="S99" s="27"/>
      <c r="T99" s="27"/>
      <c r="U99" s="27"/>
      <c r="V99" s="27"/>
      <c r="W99" s="27"/>
      <c r="X99" s="27"/>
      <c r="Y99" s="27"/>
    </row>
    <row r="100" spans="1:25">
      <c r="A100" s="27"/>
      <c r="B100" s="32"/>
      <c r="C100" s="32"/>
      <c r="D100" s="32"/>
      <c r="E100" s="32"/>
      <c r="F100" s="32"/>
      <c r="G100" s="32"/>
      <c r="H100" s="32"/>
      <c r="I100" s="32"/>
      <c r="J100" s="32"/>
      <c r="K100" s="27"/>
      <c r="L100" s="27"/>
      <c r="M100" s="27"/>
      <c r="N100" s="27"/>
      <c r="O100" s="27"/>
      <c r="P100" s="27"/>
      <c r="Q100" s="27"/>
      <c r="R100" s="27"/>
      <c r="S100" s="27"/>
      <c r="T100" s="27"/>
      <c r="U100" s="27"/>
      <c r="V100" s="27"/>
      <c r="W100" s="27"/>
      <c r="X100" s="27"/>
      <c r="Y100" s="27"/>
    </row>
    <row r="101" spans="1:25">
      <c r="A101" s="27"/>
      <c r="B101" s="32"/>
      <c r="C101" s="32"/>
      <c r="D101" s="32"/>
      <c r="E101" s="32"/>
      <c r="F101" s="32"/>
      <c r="G101" s="32"/>
      <c r="H101" s="32"/>
      <c r="I101" s="32"/>
      <c r="J101" s="32"/>
      <c r="K101" s="27"/>
      <c r="L101" s="27"/>
      <c r="M101" s="27"/>
      <c r="N101" s="27"/>
      <c r="O101" s="27"/>
      <c r="P101" s="27"/>
      <c r="Q101" s="27"/>
      <c r="R101" s="27"/>
      <c r="S101" s="27"/>
      <c r="T101" s="27"/>
      <c r="U101" s="27"/>
      <c r="V101" s="27"/>
      <c r="W101" s="27"/>
      <c r="X101" s="27"/>
      <c r="Y101" s="27"/>
    </row>
    <row r="102" spans="1:25">
      <c r="A102" s="27"/>
      <c r="B102" s="32"/>
      <c r="C102" s="32"/>
      <c r="D102" s="32"/>
      <c r="E102" s="32"/>
      <c r="F102" s="32"/>
      <c r="G102" s="32"/>
      <c r="H102" s="32"/>
      <c r="I102" s="32"/>
      <c r="J102" s="32"/>
      <c r="K102" s="27"/>
      <c r="L102" s="27"/>
      <c r="M102" s="27"/>
      <c r="N102" s="27"/>
      <c r="O102" s="27"/>
      <c r="P102" s="27"/>
      <c r="Q102" s="27"/>
      <c r="R102" s="27"/>
      <c r="S102" s="27"/>
      <c r="T102" s="27"/>
      <c r="U102" s="27"/>
      <c r="V102" s="27"/>
      <c r="W102" s="27"/>
      <c r="X102" s="27"/>
      <c r="Y102" s="27"/>
    </row>
    <row r="103" spans="1:25">
      <c r="A103" s="27"/>
      <c r="B103" s="32"/>
      <c r="C103" s="32"/>
      <c r="D103" s="32"/>
      <c r="E103" s="32"/>
      <c r="F103" s="32"/>
      <c r="G103" s="32"/>
      <c r="H103" s="32"/>
      <c r="I103" s="32"/>
      <c r="J103" s="32"/>
      <c r="K103" s="27"/>
      <c r="L103" s="27"/>
      <c r="M103" s="27"/>
      <c r="N103" s="27"/>
      <c r="O103" s="27"/>
      <c r="P103" s="27"/>
      <c r="Q103" s="27"/>
      <c r="R103" s="27"/>
      <c r="S103" s="27"/>
      <c r="T103" s="27"/>
      <c r="U103" s="27"/>
      <c r="V103" s="27"/>
      <c r="W103" s="27"/>
      <c r="X103" s="27"/>
      <c r="Y103" s="27"/>
    </row>
    <row r="104" spans="1:25">
      <c r="A104" s="27"/>
      <c r="B104" s="27"/>
      <c r="C104" s="27"/>
      <c r="D104" s="50"/>
      <c r="E104" s="27"/>
      <c r="F104" s="27"/>
      <c r="G104" s="50"/>
      <c r="H104" s="51"/>
      <c r="I104" s="27"/>
      <c r="J104" s="27"/>
      <c r="K104" s="27"/>
      <c r="L104" s="27"/>
      <c r="M104" s="27"/>
      <c r="N104" s="27"/>
      <c r="O104" s="27"/>
      <c r="P104" s="27"/>
      <c r="Q104" s="27"/>
      <c r="R104" s="27"/>
      <c r="S104" s="27"/>
      <c r="T104" s="27"/>
      <c r="U104" s="27"/>
      <c r="V104" s="27"/>
      <c r="W104" s="27"/>
      <c r="X104" s="27"/>
      <c r="Y104" s="27"/>
    </row>
    <row r="105" spans="1:25">
      <c r="A105" s="27"/>
      <c r="B105" s="27"/>
      <c r="C105" s="27"/>
      <c r="D105" s="50"/>
      <c r="E105" s="27"/>
      <c r="F105" s="27"/>
      <c r="G105" s="50"/>
      <c r="H105" s="51"/>
      <c r="I105" s="27"/>
      <c r="J105" s="27"/>
      <c r="K105" s="27"/>
      <c r="L105" s="27"/>
      <c r="M105" s="27"/>
      <c r="N105" s="27"/>
      <c r="O105" s="27"/>
      <c r="P105" s="27"/>
      <c r="Q105" s="27"/>
      <c r="R105" s="27"/>
      <c r="S105" s="27"/>
      <c r="T105" s="27"/>
      <c r="U105" s="27"/>
      <c r="V105" s="27"/>
      <c r="W105" s="27"/>
      <c r="X105" s="27"/>
      <c r="Y105" s="27"/>
    </row>
    <row r="106" spans="1:25">
      <c r="A106" s="27"/>
      <c r="B106" s="27"/>
      <c r="C106" s="27"/>
      <c r="D106" s="50"/>
      <c r="E106" s="27"/>
      <c r="F106" s="27"/>
      <c r="G106" s="50"/>
      <c r="H106" s="51"/>
      <c r="I106" s="27"/>
      <c r="J106" s="27"/>
      <c r="K106" s="27"/>
      <c r="L106" s="27"/>
      <c r="M106" s="27"/>
      <c r="N106" s="27"/>
      <c r="O106" s="27"/>
      <c r="P106" s="27"/>
      <c r="Q106" s="27"/>
      <c r="R106" s="27"/>
      <c r="S106" s="27"/>
      <c r="T106" s="27"/>
      <c r="U106" s="27"/>
      <c r="V106" s="27"/>
      <c r="W106" s="27"/>
      <c r="X106" s="27"/>
      <c r="Y106" s="27"/>
    </row>
    <row r="107" spans="1:25">
      <c r="A107" s="27"/>
      <c r="C107" s="27"/>
      <c r="D107" s="50"/>
      <c r="E107" s="27"/>
      <c r="F107" s="27"/>
      <c r="G107" s="50"/>
      <c r="H107" s="51"/>
      <c r="I107" s="27"/>
      <c r="J107" s="27"/>
      <c r="K107" s="27"/>
      <c r="L107" s="27"/>
      <c r="M107" s="27"/>
      <c r="N107" s="27"/>
      <c r="O107" s="27"/>
      <c r="P107" s="27"/>
      <c r="Q107" s="27"/>
      <c r="R107" s="27"/>
      <c r="S107" s="27"/>
      <c r="T107" s="27"/>
      <c r="U107" s="27"/>
      <c r="V107" s="27"/>
      <c r="W107" s="27"/>
      <c r="X107" s="27"/>
      <c r="Y107" s="27"/>
    </row>
  </sheetData>
  <sheetProtection algorithmName="SHA-512" hashValue="2vCvav9LOe6Q2Rl87c+bTGoqu5Hklxm5GJtZzJCKiHxPWPyr2mifprCsTE4J6N4WXEsCZm2PK2ok4OJnG7f06g==" saltValue="pu1g9GygL52iNH3PP9/khw==" spinCount="100000" sheet="1" objects="1" scenarios="1"/>
  <mergeCells count="4">
    <mergeCell ref="C2:F2"/>
    <mergeCell ref="G2:H2"/>
    <mergeCell ref="I2:J2"/>
    <mergeCell ref="B2:B3"/>
  </mergeCells>
  <phoneticPr fontId="22" type="noConversion"/>
  <pageMargins left="0.7" right="0.7" top="0.75" bottom="0.75" header="0.3" footer="0.3"/>
  <pageSetup paperSize="9" scale="25"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7030A0"/>
  </sheetPr>
  <dimension ref="A1:AC134"/>
  <sheetViews>
    <sheetView zoomScale="70" zoomScaleNormal="70" workbookViewId="0">
      <pane xSplit="2" ySplit="5" topLeftCell="C6" activePane="bottomRight" state="frozen"/>
      <selection pane="bottomRight" activeCell="A130" sqref="A130:XFD1048576"/>
      <selection pane="bottomLeft" activeCell="A6" sqref="A6"/>
      <selection pane="topRight" activeCell="C1" sqref="C1"/>
    </sheetView>
  </sheetViews>
  <sheetFormatPr defaultColWidth="0" defaultRowHeight="14.45" zeroHeight="1"/>
  <cols>
    <col min="1" max="1" width="8.85546875" customWidth="1"/>
    <col min="2" max="2" width="72.28515625" bestFit="1" customWidth="1"/>
    <col min="3" max="3" width="16.140625" customWidth="1"/>
    <col min="4" max="4" width="18.85546875" customWidth="1"/>
    <col min="5" max="5" width="96.5703125" customWidth="1"/>
    <col min="6" max="6" width="25" customWidth="1"/>
    <col min="7" max="9" width="17.85546875" customWidth="1"/>
    <col min="10" max="11" width="41.28515625" customWidth="1"/>
    <col min="12" max="12" width="96" customWidth="1"/>
    <col min="13" max="18" width="9.140625" customWidth="1"/>
    <col min="19" max="29" width="0" hidden="1" customWidth="1"/>
    <col min="30" max="16384" width="9.140625" hidden="1"/>
  </cols>
  <sheetData>
    <row r="1" spans="1:18">
      <c r="A1" s="27"/>
      <c r="B1" s="27"/>
      <c r="C1" s="27"/>
      <c r="D1" s="27"/>
      <c r="E1" s="27"/>
      <c r="F1" s="27"/>
      <c r="G1" s="27"/>
      <c r="H1" s="27"/>
      <c r="I1" s="27"/>
      <c r="J1" s="27"/>
      <c r="K1" s="27"/>
      <c r="L1" s="27"/>
      <c r="M1" s="27"/>
      <c r="N1" s="27"/>
      <c r="O1" s="27"/>
      <c r="P1" s="27"/>
      <c r="Q1" s="27"/>
      <c r="R1" s="27"/>
    </row>
    <row r="2" spans="1:18" ht="15" thickBot="1">
      <c r="A2" s="27"/>
      <c r="B2" s="230">
        <v>1</v>
      </c>
      <c r="C2" s="230">
        <v>2</v>
      </c>
      <c r="D2" s="230">
        <v>3</v>
      </c>
      <c r="E2" s="230">
        <v>4</v>
      </c>
      <c r="F2" s="230">
        <v>5</v>
      </c>
      <c r="G2" s="230">
        <v>6</v>
      </c>
      <c r="H2" s="230">
        <v>7</v>
      </c>
      <c r="I2" s="376">
        <v>8</v>
      </c>
      <c r="J2" s="376">
        <v>9</v>
      </c>
      <c r="K2" s="230">
        <v>10</v>
      </c>
      <c r="L2" s="230">
        <v>11</v>
      </c>
      <c r="M2" s="27"/>
      <c r="N2" s="27"/>
      <c r="O2" s="27"/>
      <c r="P2" s="27"/>
      <c r="Q2" s="27"/>
      <c r="R2" s="27"/>
    </row>
    <row r="3" spans="1:18" ht="18">
      <c r="A3" s="27"/>
      <c r="B3" s="944" t="s">
        <v>312</v>
      </c>
      <c r="C3" s="941" t="s">
        <v>399</v>
      </c>
      <c r="D3" s="942"/>
      <c r="E3" s="942"/>
      <c r="F3" s="943"/>
      <c r="G3" s="938" t="s">
        <v>400</v>
      </c>
      <c r="H3" s="939"/>
      <c r="I3" s="939"/>
      <c r="J3" s="939"/>
      <c r="K3" s="940"/>
      <c r="L3" s="935" t="s">
        <v>401</v>
      </c>
      <c r="M3" s="27"/>
      <c r="N3" s="27"/>
      <c r="O3" s="27"/>
      <c r="P3" s="27"/>
      <c r="Q3" s="27"/>
      <c r="R3" s="27"/>
    </row>
    <row r="4" spans="1:18" ht="93" customHeight="1">
      <c r="A4" s="27"/>
      <c r="B4" s="945"/>
      <c r="C4" s="955" t="s">
        <v>402</v>
      </c>
      <c r="D4" s="953" t="s">
        <v>403</v>
      </c>
      <c r="E4" s="953" t="s">
        <v>404</v>
      </c>
      <c r="F4" s="951" t="s">
        <v>405</v>
      </c>
      <c r="G4" s="68" t="s">
        <v>406</v>
      </c>
      <c r="H4" s="377" t="s">
        <v>407</v>
      </c>
      <c r="I4" s="377" t="s">
        <v>408</v>
      </c>
      <c r="J4" s="949" t="s">
        <v>409</v>
      </c>
      <c r="K4" s="947" t="s">
        <v>410</v>
      </c>
      <c r="L4" s="936"/>
      <c r="M4" s="27"/>
      <c r="N4" s="27"/>
      <c r="O4" s="27"/>
      <c r="P4" s="27"/>
      <c r="Q4" s="27"/>
      <c r="R4" s="27"/>
    </row>
    <row r="5" spans="1:18" ht="15" thickBot="1">
      <c r="A5" s="27"/>
      <c r="B5" s="946"/>
      <c r="C5" s="956"/>
      <c r="D5" s="954"/>
      <c r="E5" s="954"/>
      <c r="F5" s="952"/>
      <c r="G5" s="381" t="s">
        <v>142</v>
      </c>
      <c r="H5" s="380" t="s">
        <v>411</v>
      </c>
      <c r="I5" s="380" t="s">
        <v>412</v>
      </c>
      <c r="J5" s="950"/>
      <c r="K5" s="948"/>
      <c r="L5" s="937"/>
      <c r="M5" s="27"/>
      <c r="N5" s="27"/>
      <c r="O5" s="27"/>
      <c r="P5" s="27"/>
      <c r="Q5" s="27"/>
      <c r="R5" s="27"/>
    </row>
    <row r="6" spans="1:18">
      <c r="A6" s="27"/>
      <c r="B6" s="389" t="s">
        <v>323</v>
      </c>
      <c r="C6" s="382" t="s">
        <v>413</v>
      </c>
      <c r="D6" s="378" t="s">
        <v>413</v>
      </c>
      <c r="E6" s="379" t="s">
        <v>414</v>
      </c>
      <c r="F6" s="385" t="s">
        <v>415</v>
      </c>
      <c r="G6" s="382" t="s">
        <v>415</v>
      </c>
      <c r="H6" s="378" t="s">
        <v>415</v>
      </c>
      <c r="I6" s="379">
        <v>1</v>
      </c>
      <c r="J6" s="378" t="s">
        <v>415</v>
      </c>
      <c r="K6" s="383">
        <v>1</v>
      </c>
      <c r="L6" s="393" t="s">
        <v>414</v>
      </c>
      <c r="M6" s="27"/>
      <c r="N6" s="27"/>
      <c r="O6" s="27"/>
      <c r="P6" s="27"/>
      <c r="Q6" s="27"/>
      <c r="R6" s="27"/>
    </row>
    <row r="7" spans="1:18">
      <c r="A7" s="27"/>
      <c r="B7" s="390" t="s">
        <v>325</v>
      </c>
      <c r="C7" s="384" t="s">
        <v>413</v>
      </c>
      <c r="D7" s="7" t="s">
        <v>413</v>
      </c>
      <c r="E7" s="9" t="s">
        <v>414</v>
      </c>
      <c r="F7" s="385" t="s">
        <v>415</v>
      </c>
      <c r="G7" s="384" t="s">
        <v>415</v>
      </c>
      <c r="H7" s="7" t="s">
        <v>415</v>
      </c>
      <c r="I7" s="9">
        <v>1</v>
      </c>
      <c r="J7" s="7" t="s">
        <v>415</v>
      </c>
      <c r="K7" s="385">
        <v>1</v>
      </c>
      <c r="L7" s="394" t="s">
        <v>414</v>
      </c>
      <c r="M7" s="27"/>
      <c r="N7" s="27"/>
      <c r="O7" s="27"/>
      <c r="P7" s="27"/>
      <c r="Q7" s="27"/>
      <c r="R7" s="27"/>
    </row>
    <row r="8" spans="1:18">
      <c r="A8" s="27"/>
      <c r="B8" s="390" t="s">
        <v>326</v>
      </c>
      <c r="C8" s="384" t="s">
        <v>413</v>
      </c>
      <c r="D8" s="7" t="s">
        <v>413</v>
      </c>
      <c r="E8" s="9" t="s">
        <v>414</v>
      </c>
      <c r="F8" s="385" t="s">
        <v>415</v>
      </c>
      <c r="G8" s="384" t="s">
        <v>415</v>
      </c>
      <c r="H8" s="7" t="s">
        <v>415</v>
      </c>
      <c r="I8" s="9">
        <v>1</v>
      </c>
      <c r="J8" s="7" t="s">
        <v>415</v>
      </c>
      <c r="K8" s="385">
        <v>1</v>
      </c>
      <c r="L8" s="394" t="s">
        <v>414</v>
      </c>
      <c r="M8" s="27"/>
      <c r="N8" s="27"/>
      <c r="O8" s="27"/>
      <c r="P8" s="27"/>
      <c r="Q8" s="27"/>
      <c r="R8" s="27"/>
    </row>
    <row r="9" spans="1:18">
      <c r="A9" s="27"/>
      <c r="B9" s="390" t="s">
        <v>327</v>
      </c>
      <c r="C9" s="384" t="s">
        <v>413</v>
      </c>
      <c r="D9" s="7" t="s">
        <v>413</v>
      </c>
      <c r="E9" s="9" t="s">
        <v>414</v>
      </c>
      <c r="F9" s="385" t="s">
        <v>415</v>
      </c>
      <c r="G9" s="384" t="s">
        <v>415</v>
      </c>
      <c r="H9" s="7" t="s">
        <v>415</v>
      </c>
      <c r="I9" s="9">
        <v>1</v>
      </c>
      <c r="J9" s="7" t="s">
        <v>415</v>
      </c>
      <c r="K9" s="385">
        <v>1</v>
      </c>
      <c r="L9" s="394" t="s">
        <v>414</v>
      </c>
      <c r="M9" s="27"/>
      <c r="N9" s="27"/>
      <c r="O9" s="27"/>
      <c r="P9" s="27"/>
      <c r="Q9" s="27"/>
      <c r="R9" s="27"/>
    </row>
    <row r="10" spans="1:18" ht="28.9">
      <c r="A10" s="27"/>
      <c r="B10" s="390" t="s">
        <v>328</v>
      </c>
      <c r="C10" s="384" t="s">
        <v>413</v>
      </c>
      <c r="D10" s="7" t="s">
        <v>413</v>
      </c>
      <c r="E10" s="9" t="s">
        <v>416</v>
      </c>
      <c r="F10" s="385" t="s">
        <v>415</v>
      </c>
      <c r="G10" s="384" t="s">
        <v>415</v>
      </c>
      <c r="H10" s="7" t="s">
        <v>415</v>
      </c>
      <c r="I10" s="9">
        <v>1</v>
      </c>
      <c r="J10" s="7" t="s">
        <v>415</v>
      </c>
      <c r="K10" s="385" t="s">
        <v>415</v>
      </c>
      <c r="L10" s="394" t="s">
        <v>417</v>
      </c>
      <c r="M10" s="27"/>
      <c r="N10" s="27"/>
      <c r="O10" s="27"/>
      <c r="P10" s="27"/>
      <c r="Q10" s="27"/>
      <c r="R10" s="27"/>
    </row>
    <row r="11" spans="1:18" ht="28.9">
      <c r="A11" s="27"/>
      <c r="B11" s="390" t="s">
        <v>330</v>
      </c>
      <c r="C11" s="384" t="s">
        <v>413</v>
      </c>
      <c r="D11" s="7" t="s">
        <v>413</v>
      </c>
      <c r="E11" s="9" t="s">
        <v>416</v>
      </c>
      <c r="F11" s="385" t="s">
        <v>415</v>
      </c>
      <c r="G11" s="384" t="s">
        <v>415</v>
      </c>
      <c r="H11" s="7" t="s">
        <v>415</v>
      </c>
      <c r="I11" s="9">
        <v>1</v>
      </c>
      <c r="J11" s="7" t="s">
        <v>415</v>
      </c>
      <c r="K11" s="385" t="s">
        <v>415</v>
      </c>
      <c r="L11" s="394" t="s">
        <v>417</v>
      </c>
      <c r="M11" s="27"/>
      <c r="N11" s="27"/>
      <c r="O11" s="27"/>
      <c r="P11" s="27"/>
      <c r="Q11" s="27"/>
      <c r="R11" s="27"/>
    </row>
    <row r="12" spans="1:18">
      <c r="A12" s="27"/>
      <c r="B12" s="390" t="s">
        <v>331</v>
      </c>
      <c r="C12" s="384" t="s">
        <v>413</v>
      </c>
      <c r="D12" s="7" t="s">
        <v>413</v>
      </c>
      <c r="E12" s="9" t="s">
        <v>414</v>
      </c>
      <c r="F12" s="385" t="s">
        <v>415</v>
      </c>
      <c r="G12" s="384" t="s">
        <v>415</v>
      </c>
      <c r="H12" s="7" t="s">
        <v>415</v>
      </c>
      <c r="I12" s="9">
        <v>1</v>
      </c>
      <c r="J12" s="7" t="s">
        <v>415</v>
      </c>
      <c r="K12" s="385">
        <v>1</v>
      </c>
      <c r="L12" s="394" t="s">
        <v>414</v>
      </c>
      <c r="M12" s="27"/>
      <c r="N12" s="27"/>
      <c r="O12" s="27"/>
      <c r="P12" s="27"/>
      <c r="Q12" s="27"/>
      <c r="R12" s="27"/>
    </row>
    <row r="13" spans="1:18" ht="28.9">
      <c r="A13" s="27"/>
      <c r="B13" s="390" t="s">
        <v>332</v>
      </c>
      <c r="C13" s="384" t="s">
        <v>413</v>
      </c>
      <c r="D13" s="7" t="s">
        <v>413</v>
      </c>
      <c r="E13" s="9" t="s">
        <v>416</v>
      </c>
      <c r="F13" s="385" t="s">
        <v>415</v>
      </c>
      <c r="G13" s="384" t="s">
        <v>415</v>
      </c>
      <c r="H13" s="7" t="s">
        <v>415</v>
      </c>
      <c r="I13" s="7">
        <v>1</v>
      </c>
      <c r="J13" s="7" t="s">
        <v>415</v>
      </c>
      <c r="K13" s="385" t="s">
        <v>415</v>
      </c>
      <c r="L13" s="394" t="s">
        <v>417</v>
      </c>
      <c r="M13" s="27"/>
      <c r="N13" s="27"/>
      <c r="O13" s="27"/>
      <c r="P13" s="27"/>
      <c r="Q13" s="27"/>
      <c r="R13" s="27"/>
    </row>
    <row r="14" spans="1:18" ht="28.9">
      <c r="A14" s="27"/>
      <c r="B14" s="390" t="s">
        <v>333</v>
      </c>
      <c r="C14" s="384" t="s">
        <v>413</v>
      </c>
      <c r="D14" s="7" t="s">
        <v>413</v>
      </c>
      <c r="E14" s="9" t="s">
        <v>416</v>
      </c>
      <c r="F14" s="385" t="s">
        <v>415</v>
      </c>
      <c r="G14" s="384" t="s">
        <v>415</v>
      </c>
      <c r="H14" s="7" t="s">
        <v>415</v>
      </c>
      <c r="I14" s="7">
        <v>1</v>
      </c>
      <c r="J14" s="7" t="s">
        <v>415</v>
      </c>
      <c r="K14" s="385" t="s">
        <v>415</v>
      </c>
      <c r="L14" s="394" t="s">
        <v>417</v>
      </c>
      <c r="M14" s="27"/>
      <c r="N14" s="27"/>
      <c r="O14" s="27"/>
      <c r="P14" s="27"/>
      <c r="Q14" s="27"/>
      <c r="R14" s="27"/>
    </row>
    <row r="15" spans="1:18" ht="28.9">
      <c r="A15" s="27"/>
      <c r="B15" s="390" t="s">
        <v>334</v>
      </c>
      <c r="C15" s="384" t="s">
        <v>413</v>
      </c>
      <c r="D15" s="7" t="s">
        <v>413</v>
      </c>
      <c r="E15" s="9" t="s">
        <v>416</v>
      </c>
      <c r="F15" s="385" t="s">
        <v>415</v>
      </c>
      <c r="G15" s="384" t="s">
        <v>415</v>
      </c>
      <c r="H15" s="7" t="s">
        <v>415</v>
      </c>
      <c r="I15" s="7">
        <v>1</v>
      </c>
      <c r="J15" s="7" t="s">
        <v>415</v>
      </c>
      <c r="K15" s="385" t="s">
        <v>415</v>
      </c>
      <c r="L15" s="394" t="s">
        <v>417</v>
      </c>
      <c r="M15" s="27"/>
      <c r="N15" s="27"/>
      <c r="O15" s="27"/>
      <c r="P15" s="27"/>
      <c r="Q15" s="27"/>
      <c r="R15" s="27"/>
    </row>
    <row r="16" spans="1:18">
      <c r="A16" s="27"/>
      <c r="B16" s="390" t="s">
        <v>335</v>
      </c>
      <c r="C16" s="384" t="s">
        <v>413</v>
      </c>
      <c r="D16" s="7" t="s">
        <v>413</v>
      </c>
      <c r="E16" s="9" t="s">
        <v>418</v>
      </c>
      <c r="F16" s="385" t="s">
        <v>415</v>
      </c>
      <c r="G16" s="384" t="s">
        <v>415</v>
      </c>
      <c r="H16" s="7" t="s">
        <v>415</v>
      </c>
      <c r="I16" s="7">
        <v>1</v>
      </c>
      <c r="J16" s="7" t="s">
        <v>415</v>
      </c>
      <c r="K16" s="385" t="s">
        <v>415</v>
      </c>
      <c r="L16" s="394" t="s">
        <v>419</v>
      </c>
      <c r="M16" s="27"/>
      <c r="N16" s="27"/>
      <c r="O16" s="27"/>
      <c r="P16" s="27"/>
      <c r="Q16" s="27"/>
      <c r="R16" s="27"/>
    </row>
    <row r="17" spans="1:18">
      <c r="A17" s="27"/>
      <c r="B17" s="390" t="s">
        <v>336</v>
      </c>
      <c r="C17" s="384" t="s">
        <v>146</v>
      </c>
      <c r="D17" s="7" t="s">
        <v>146</v>
      </c>
      <c r="E17" s="9" t="s">
        <v>418</v>
      </c>
      <c r="F17" s="385" t="s">
        <v>415</v>
      </c>
      <c r="G17" s="384" t="s">
        <v>415</v>
      </c>
      <c r="H17" s="7" t="s">
        <v>415</v>
      </c>
      <c r="I17" s="7">
        <v>1</v>
      </c>
      <c r="J17" s="7" t="s">
        <v>415</v>
      </c>
      <c r="K17" s="385" t="s">
        <v>415</v>
      </c>
      <c r="L17" s="394" t="s">
        <v>420</v>
      </c>
      <c r="M17" s="27"/>
      <c r="N17" s="27"/>
      <c r="O17" s="27"/>
      <c r="P17" s="27"/>
      <c r="Q17" s="27"/>
      <c r="R17" s="27"/>
    </row>
    <row r="18" spans="1:18">
      <c r="A18" s="27"/>
      <c r="B18" s="390" t="s">
        <v>113</v>
      </c>
      <c r="C18" s="384" t="s">
        <v>142</v>
      </c>
      <c r="D18" s="7" t="s">
        <v>421</v>
      </c>
      <c r="E18" s="7" t="s">
        <v>422</v>
      </c>
      <c r="F18" s="385" t="s">
        <v>411</v>
      </c>
      <c r="G18" s="384">
        <v>4</v>
      </c>
      <c r="H18" s="7">
        <v>7</v>
      </c>
      <c r="I18" s="7" t="s">
        <v>415</v>
      </c>
      <c r="J18" s="7">
        <v>10</v>
      </c>
      <c r="K18" s="385">
        <v>15</v>
      </c>
      <c r="L18" s="394" t="s">
        <v>423</v>
      </c>
      <c r="M18" s="27"/>
      <c r="N18" s="27"/>
      <c r="O18" s="27"/>
      <c r="P18" s="27"/>
      <c r="Q18" s="27"/>
      <c r="R18" s="27"/>
    </row>
    <row r="19" spans="1:18">
      <c r="A19" s="27"/>
      <c r="B19" s="390" t="s">
        <v>337</v>
      </c>
      <c r="C19" s="384" t="s">
        <v>142</v>
      </c>
      <c r="D19" s="7" t="s">
        <v>421</v>
      </c>
      <c r="E19" s="7" t="s">
        <v>337</v>
      </c>
      <c r="F19" s="385" t="s">
        <v>411</v>
      </c>
      <c r="G19" s="384">
        <v>10</v>
      </c>
      <c r="H19" s="7">
        <v>15</v>
      </c>
      <c r="I19" s="7" t="s">
        <v>415</v>
      </c>
      <c r="J19" s="7">
        <v>10</v>
      </c>
      <c r="K19" s="385">
        <v>15</v>
      </c>
      <c r="L19" s="394" t="s">
        <v>420</v>
      </c>
      <c r="M19" s="27"/>
      <c r="N19" s="27"/>
      <c r="O19" s="27"/>
      <c r="P19" s="27"/>
      <c r="Q19" s="27"/>
      <c r="R19" s="27"/>
    </row>
    <row r="20" spans="1:18">
      <c r="A20" s="27"/>
      <c r="B20" s="390" t="s">
        <v>141</v>
      </c>
      <c r="C20" s="384" t="s">
        <v>142</v>
      </c>
      <c r="D20" s="7" t="s">
        <v>421</v>
      </c>
      <c r="E20" s="7" t="s">
        <v>141</v>
      </c>
      <c r="F20" s="385" t="s">
        <v>411</v>
      </c>
      <c r="G20" s="384">
        <v>5</v>
      </c>
      <c r="H20" s="7">
        <v>10</v>
      </c>
      <c r="I20" s="7" t="s">
        <v>415</v>
      </c>
      <c r="J20" s="7">
        <v>10</v>
      </c>
      <c r="K20" s="385">
        <v>15</v>
      </c>
      <c r="L20" s="394" t="s">
        <v>420</v>
      </c>
      <c r="M20" s="27"/>
      <c r="N20" s="27"/>
      <c r="O20" s="27"/>
      <c r="P20" s="27"/>
      <c r="Q20" s="27"/>
      <c r="R20" s="27"/>
    </row>
    <row r="21" spans="1:18">
      <c r="A21" s="27"/>
      <c r="B21" s="390" t="s">
        <v>338</v>
      </c>
      <c r="C21" s="384" t="s">
        <v>142</v>
      </c>
      <c r="D21" s="7" t="s">
        <v>421</v>
      </c>
      <c r="E21" s="7" t="s">
        <v>338</v>
      </c>
      <c r="F21" s="385" t="s">
        <v>411</v>
      </c>
      <c r="G21" s="384">
        <v>10</v>
      </c>
      <c r="H21" s="7">
        <v>15</v>
      </c>
      <c r="I21" s="7" t="s">
        <v>415</v>
      </c>
      <c r="J21" s="7">
        <v>10</v>
      </c>
      <c r="K21" s="385">
        <v>15</v>
      </c>
      <c r="L21" s="394" t="s">
        <v>420</v>
      </c>
      <c r="M21" s="27"/>
      <c r="N21" s="27"/>
      <c r="O21" s="27"/>
      <c r="P21" s="27"/>
      <c r="Q21" s="27"/>
      <c r="R21" s="27"/>
    </row>
    <row r="22" spans="1:18">
      <c r="A22" s="27"/>
      <c r="B22" s="390" t="s">
        <v>339</v>
      </c>
      <c r="C22" s="384" t="s">
        <v>142</v>
      </c>
      <c r="D22" s="7" t="s">
        <v>421</v>
      </c>
      <c r="E22" s="7" t="s">
        <v>339</v>
      </c>
      <c r="F22" s="385" t="s">
        <v>411</v>
      </c>
      <c r="G22" s="384">
        <v>5</v>
      </c>
      <c r="H22" s="7">
        <v>10</v>
      </c>
      <c r="I22" s="7" t="s">
        <v>415</v>
      </c>
      <c r="J22" s="7">
        <v>3</v>
      </c>
      <c r="K22" s="385">
        <v>10</v>
      </c>
      <c r="L22" s="394" t="s">
        <v>420</v>
      </c>
      <c r="M22" s="27"/>
      <c r="N22" s="27"/>
      <c r="O22" s="27"/>
      <c r="P22" s="27"/>
      <c r="Q22" s="27"/>
      <c r="R22" s="27"/>
    </row>
    <row r="23" spans="1:18">
      <c r="A23" s="27"/>
      <c r="B23" s="390" t="s">
        <v>340</v>
      </c>
      <c r="C23" s="384" t="s">
        <v>146</v>
      </c>
      <c r="D23" s="7" t="s">
        <v>146</v>
      </c>
      <c r="E23" s="7" t="s">
        <v>414</v>
      </c>
      <c r="F23" s="385" t="s">
        <v>415</v>
      </c>
      <c r="G23" s="384" t="s">
        <v>415</v>
      </c>
      <c r="H23" s="7" t="s">
        <v>415</v>
      </c>
      <c r="I23" s="7">
        <v>1</v>
      </c>
      <c r="J23" s="7" t="s">
        <v>415</v>
      </c>
      <c r="K23" s="385" t="s">
        <v>415</v>
      </c>
      <c r="L23" s="394" t="s">
        <v>414</v>
      </c>
      <c r="M23" s="27"/>
      <c r="N23" s="27"/>
      <c r="O23" s="27"/>
      <c r="P23" s="27"/>
      <c r="Q23" s="27"/>
      <c r="R23" s="27"/>
    </row>
    <row r="24" spans="1:18">
      <c r="A24" s="27"/>
      <c r="B24" s="390" t="s">
        <v>341</v>
      </c>
      <c r="C24" s="384" t="s">
        <v>142</v>
      </c>
      <c r="D24" s="7" t="s">
        <v>421</v>
      </c>
      <c r="E24" s="7" t="s">
        <v>341</v>
      </c>
      <c r="F24" s="385" t="s">
        <v>411</v>
      </c>
      <c r="G24" s="384">
        <v>5</v>
      </c>
      <c r="H24" s="7">
        <v>10</v>
      </c>
      <c r="I24" s="7" t="s">
        <v>415</v>
      </c>
      <c r="J24" s="7">
        <v>3</v>
      </c>
      <c r="K24" s="385">
        <v>10</v>
      </c>
      <c r="L24" s="394" t="s">
        <v>420</v>
      </c>
      <c r="M24" s="27"/>
      <c r="N24" s="27"/>
      <c r="O24" s="27"/>
      <c r="P24" s="27"/>
      <c r="Q24" s="27"/>
      <c r="R24" s="27"/>
    </row>
    <row r="25" spans="1:18">
      <c r="A25" s="27"/>
      <c r="B25" s="390" t="s">
        <v>342</v>
      </c>
      <c r="C25" s="384" t="s">
        <v>142</v>
      </c>
      <c r="D25" s="7" t="s">
        <v>421</v>
      </c>
      <c r="E25" s="7" t="s">
        <v>342</v>
      </c>
      <c r="F25" s="385" t="s">
        <v>411</v>
      </c>
      <c r="G25" s="384">
        <v>5</v>
      </c>
      <c r="H25" s="7">
        <v>10</v>
      </c>
      <c r="I25" s="7" t="s">
        <v>415</v>
      </c>
      <c r="J25" s="7">
        <v>3</v>
      </c>
      <c r="K25" s="385">
        <v>10</v>
      </c>
      <c r="L25" s="394" t="s">
        <v>420</v>
      </c>
      <c r="M25" s="27"/>
      <c r="N25" s="27"/>
      <c r="O25" s="27"/>
      <c r="P25" s="27"/>
      <c r="Q25" s="27"/>
      <c r="R25" s="27"/>
    </row>
    <row r="26" spans="1:18">
      <c r="A26" s="27"/>
      <c r="B26" s="390" t="s">
        <v>343</v>
      </c>
      <c r="C26" s="384" t="s">
        <v>142</v>
      </c>
      <c r="D26" s="7" t="s">
        <v>421</v>
      </c>
      <c r="E26" s="7" t="s">
        <v>343</v>
      </c>
      <c r="F26" s="385" t="s">
        <v>411</v>
      </c>
      <c r="G26" s="384">
        <v>10</v>
      </c>
      <c r="H26" s="7">
        <v>15</v>
      </c>
      <c r="I26" s="7" t="s">
        <v>415</v>
      </c>
      <c r="J26" s="7">
        <v>7</v>
      </c>
      <c r="K26" s="385">
        <v>15</v>
      </c>
      <c r="L26" s="394" t="s">
        <v>420</v>
      </c>
      <c r="M26" s="27"/>
      <c r="N26" s="27"/>
      <c r="O26" s="27"/>
      <c r="P26" s="27"/>
      <c r="Q26" s="27"/>
      <c r="R26" s="27"/>
    </row>
    <row r="27" spans="1:18">
      <c r="A27" s="27"/>
      <c r="B27" s="390" t="s">
        <v>116</v>
      </c>
      <c r="C27" s="384" t="s">
        <v>142</v>
      </c>
      <c r="D27" s="7" t="s">
        <v>421</v>
      </c>
      <c r="E27" s="7" t="s">
        <v>116</v>
      </c>
      <c r="F27" s="385" t="s">
        <v>411</v>
      </c>
      <c r="G27" s="384">
        <v>5</v>
      </c>
      <c r="H27" s="7">
        <v>10</v>
      </c>
      <c r="I27" s="7" t="s">
        <v>415</v>
      </c>
      <c r="J27" s="7">
        <v>3</v>
      </c>
      <c r="K27" s="385">
        <v>10</v>
      </c>
      <c r="L27" s="394" t="s">
        <v>420</v>
      </c>
      <c r="M27" s="27"/>
      <c r="N27" s="27"/>
      <c r="O27" s="27"/>
      <c r="P27" s="27"/>
      <c r="Q27" s="27"/>
      <c r="R27" s="27"/>
    </row>
    <row r="28" spans="1:18">
      <c r="A28" s="27"/>
      <c r="B28" s="390" t="s">
        <v>344</v>
      </c>
      <c r="C28" s="384" t="s">
        <v>146</v>
      </c>
      <c r="D28" s="7" t="s">
        <v>146</v>
      </c>
      <c r="E28" s="7" t="s">
        <v>424</v>
      </c>
      <c r="F28" s="385" t="s">
        <v>415</v>
      </c>
      <c r="G28" s="384" t="s">
        <v>415</v>
      </c>
      <c r="H28" s="7" t="s">
        <v>415</v>
      </c>
      <c r="I28" s="7">
        <v>1</v>
      </c>
      <c r="J28" s="7" t="s">
        <v>415</v>
      </c>
      <c r="K28" s="385" t="s">
        <v>415</v>
      </c>
      <c r="L28" s="394" t="s">
        <v>424</v>
      </c>
      <c r="M28" s="27"/>
      <c r="N28" s="27"/>
      <c r="O28" s="27"/>
      <c r="P28" s="27"/>
      <c r="Q28" s="27"/>
      <c r="R28" s="27"/>
    </row>
    <row r="29" spans="1:18">
      <c r="A29" s="27"/>
      <c r="B29" s="390" t="s">
        <v>345</v>
      </c>
      <c r="C29" s="384" t="s">
        <v>146</v>
      </c>
      <c r="D29" s="7" t="s">
        <v>146</v>
      </c>
      <c r="E29" s="7" t="s">
        <v>424</v>
      </c>
      <c r="F29" s="385" t="s">
        <v>415</v>
      </c>
      <c r="G29" s="384" t="s">
        <v>415</v>
      </c>
      <c r="H29" s="7" t="s">
        <v>415</v>
      </c>
      <c r="I29" s="7">
        <v>1</v>
      </c>
      <c r="J29" s="7" t="s">
        <v>415</v>
      </c>
      <c r="K29" s="385" t="s">
        <v>415</v>
      </c>
      <c r="L29" s="394" t="s">
        <v>414</v>
      </c>
      <c r="M29" s="27"/>
      <c r="N29" s="27"/>
      <c r="O29" s="27"/>
      <c r="P29" s="27"/>
      <c r="Q29" s="27"/>
      <c r="R29" s="27"/>
    </row>
    <row r="30" spans="1:18">
      <c r="A30" s="27"/>
      <c r="B30" s="390" t="s">
        <v>346</v>
      </c>
      <c r="C30" s="384" t="s">
        <v>142</v>
      </c>
      <c r="D30" s="7" t="s">
        <v>421</v>
      </c>
      <c r="E30" s="7" t="s">
        <v>425</v>
      </c>
      <c r="F30" s="385" t="s">
        <v>411</v>
      </c>
      <c r="G30" s="384">
        <v>3</v>
      </c>
      <c r="H30" s="7">
        <v>5</v>
      </c>
      <c r="I30" s="7" t="s">
        <v>415</v>
      </c>
      <c r="J30" s="7">
        <v>4</v>
      </c>
      <c r="K30" s="385">
        <v>5</v>
      </c>
      <c r="L30" s="394" t="s">
        <v>426</v>
      </c>
      <c r="M30" s="27"/>
      <c r="N30" s="27"/>
      <c r="O30" s="27"/>
      <c r="P30" s="27"/>
      <c r="Q30" s="27"/>
      <c r="R30" s="27"/>
    </row>
    <row r="31" spans="1:18">
      <c r="A31" s="27"/>
      <c r="B31" s="390" t="s">
        <v>348</v>
      </c>
      <c r="C31" s="384" t="s">
        <v>142</v>
      </c>
      <c r="D31" s="7" t="s">
        <v>421</v>
      </c>
      <c r="E31" s="7" t="s">
        <v>348</v>
      </c>
      <c r="F31" s="385" t="s">
        <v>411</v>
      </c>
      <c r="G31" s="384">
        <v>3</v>
      </c>
      <c r="H31" s="7">
        <v>5</v>
      </c>
      <c r="I31" s="7" t="s">
        <v>415</v>
      </c>
      <c r="J31" s="7">
        <v>4</v>
      </c>
      <c r="K31" s="385">
        <v>5</v>
      </c>
      <c r="L31" s="394" t="s">
        <v>420</v>
      </c>
      <c r="M31" s="27"/>
      <c r="N31" s="27"/>
      <c r="O31" s="27"/>
      <c r="P31" s="27"/>
      <c r="Q31" s="27"/>
      <c r="R31" s="27"/>
    </row>
    <row r="32" spans="1:18">
      <c r="A32" s="27"/>
      <c r="B32" s="390" t="s">
        <v>349</v>
      </c>
      <c r="C32" s="384" t="s">
        <v>142</v>
      </c>
      <c r="D32" s="7" t="s">
        <v>421</v>
      </c>
      <c r="E32" s="7" t="s">
        <v>349</v>
      </c>
      <c r="F32" s="385" t="s">
        <v>411</v>
      </c>
      <c r="G32" s="384">
        <v>5</v>
      </c>
      <c r="H32" s="7">
        <v>10</v>
      </c>
      <c r="I32" s="7" t="s">
        <v>415</v>
      </c>
      <c r="J32" s="7">
        <v>20</v>
      </c>
      <c r="K32" s="385">
        <v>10</v>
      </c>
      <c r="L32" s="394" t="s">
        <v>420</v>
      </c>
      <c r="M32" s="27"/>
      <c r="N32" s="27"/>
      <c r="O32" s="27"/>
      <c r="P32" s="27"/>
      <c r="Q32" s="27"/>
      <c r="R32" s="27"/>
    </row>
    <row r="33" spans="1:18">
      <c r="A33" s="27"/>
      <c r="B33" s="390" t="s">
        <v>350</v>
      </c>
      <c r="C33" s="384" t="s">
        <v>142</v>
      </c>
      <c r="D33" s="7" t="s">
        <v>421</v>
      </c>
      <c r="E33" s="7" t="s">
        <v>350</v>
      </c>
      <c r="F33" s="385" t="s">
        <v>411</v>
      </c>
      <c r="G33" s="384">
        <v>3</v>
      </c>
      <c r="H33" s="7">
        <v>5</v>
      </c>
      <c r="I33" s="7" t="s">
        <v>415</v>
      </c>
      <c r="J33" s="7">
        <v>2</v>
      </c>
      <c r="K33" s="385" t="s">
        <v>415</v>
      </c>
      <c r="L33" s="394" t="s">
        <v>420</v>
      </c>
      <c r="M33" s="27"/>
      <c r="N33" s="27"/>
      <c r="O33" s="27"/>
      <c r="P33" s="27"/>
      <c r="Q33" s="27"/>
      <c r="R33" s="27"/>
    </row>
    <row r="34" spans="1:18">
      <c r="A34" s="27"/>
      <c r="B34" s="390" t="s">
        <v>351</v>
      </c>
      <c r="C34" s="384" t="s">
        <v>142</v>
      </c>
      <c r="D34" s="7" t="s">
        <v>421</v>
      </c>
      <c r="E34" s="7" t="s">
        <v>351</v>
      </c>
      <c r="F34" s="385" t="s">
        <v>411</v>
      </c>
      <c r="G34" s="384">
        <v>10</v>
      </c>
      <c r="H34" s="7">
        <v>20</v>
      </c>
      <c r="I34" s="7" t="s">
        <v>415</v>
      </c>
      <c r="J34" s="7">
        <v>10</v>
      </c>
      <c r="K34" s="385">
        <v>20</v>
      </c>
      <c r="L34" s="394" t="s">
        <v>420</v>
      </c>
      <c r="M34" s="27"/>
      <c r="N34" s="27"/>
      <c r="O34" s="27"/>
      <c r="P34" s="27"/>
      <c r="Q34" s="27"/>
      <c r="R34" s="27"/>
    </row>
    <row r="35" spans="1:18">
      <c r="A35" s="27"/>
      <c r="B35" s="390" t="s">
        <v>352</v>
      </c>
      <c r="C35" s="384" t="s">
        <v>142</v>
      </c>
      <c r="D35" s="7" t="s">
        <v>421</v>
      </c>
      <c r="E35" s="7" t="s">
        <v>352</v>
      </c>
      <c r="F35" s="385" t="s">
        <v>411</v>
      </c>
      <c r="G35" s="384">
        <v>1</v>
      </c>
      <c r="H35" s="7">
        <v>1</v>
      </c>
      <c r="I35" s="7" t="s">
        <v>415</v>
      </c>
      <c r="J35" s="7">
        <v>1</v>
      </c>
      <c r="K35" s="385">
        <v>1</v>
      </c>
      <c r="L35" s="394" t="s">
        <v>420</v>
      </c>
      <c r="M35" s="27"/>
      <c r="N35" s="27"/>
      <c r="O35" s="27"/>
      <c r="P35" s="27"/>
      <c r="Q35" s="27"/>
      <c r="R35" s="27"/>
    </row>
    <row r="36" spans="1:18">
      <c r="A36" s="27"/>
      <c r="B36" s="390" t="s">
        <v>119</v>
      </c>
      <c r="C36" s="384" t="s">
        <v>144</v>
      </c>
      <c r="D36" s="7" t="s">
        <v>144</v>
      </c>
      <c r="E36" s="7" t="s">
        <v>424</v>
      </c>
      <c r="F36" s="385" t="s">
        <v>415</v>
      </c>
      <c r="G36" s="384" t="s">
        <v>415</v>
      </c>
      <c r="H36" s="7" t="s">
        <v>415</v>
      </c>
      <c r="I36" s="7">
        <v>0</v>
      </c>
      <c r="J36" s="7" t="s">
        <v>415</v>
      </c>
      <c r="K36" s="385" t="s">
        <v>415</v>
      </c>
      <c r="L36" s="394" t="s">
        <v>424</v>
      </c>
      <c r="M36" s="27"/>
      <c r="N36" s="27"/>
      <c r="O36" s="27"/>
      <c r="P36" s="27"/>
      <c r="Q36" s="27"/>
      <c r="R36" s="27"/>
    </row>
    <row r="37" spans="1:18">
      <c r="A37" s="27"/>
      <c r="B37" s="390" t="s">
        <v>355</v>
      </c>
      <c r="C37" s="384" t="s">
        <v>142</v>
      </c>
      <c r="D37" s="7" t="s">
        <v>421</v>
      </c>
      <c r="E37" s="7" t="s">
        <v>355</v>
      </c>
      <c r="F37" s="385" t="s">
        <v>411</v>
      </c>
      <c r="G37" s="384">
        <v>1</v>
      </c>
      <c r="H37" s="7">
        <v>3</v>
      </c>
      <c r="I37" s="7" t="s">
        <v>415</v>
      </c>
      <c r="J37" s="7">
        <v>2</v>
      </c>
      <c r="K37" s="385">
        <v>3</v>
      </c>
      <c r="L37" s="394" t="s">
        <v>420</v>
      </c>
      <c r="M37" s="27"/>
      <c r="N37" s="27"/>
      <c r="O37" s="27"/>
      <c r="P37" s="27"/>
      <c r="Q37" s="27"/>
      <c r="R37" s="27"/>
    </row>
    <row r="38" spans="1:18">
      <c r="A38" s="27"/>
      <c r="B38" s="390" t="s">
        <v>356</v>
      </c>
      <c r="C38" s="384" t="s">
        <v>142</v>
      </c>
      <c r="D38" s="7" t="s">
        <v>421</v>
      </c>
      <c r="E38" s="7" t="s">
        <v>356</v>
      </c>
      <c r="F38" s="385" t="s">
        <v>411</v>
      </c>
      <c r="G38" s="384">
        <v>5</v>
      </c>
      <c r="H38" s="7">
        <v>10</v>
      </c>
      <c r="I38" s="7" t="s">
        <v>415</v>
      </c>
      <c r="J38" s="7">
        <v>5</v>
      </c>
      <c r="K38" s="385">
        <v>10</v>
      </c>
      <c r="L38" s="394" t="s">
        <v>420</v>
      </c>
      <c r="M38" s="27"/>
      <c r="N38" s="27"/>
      <c r="O38" s="27"/>
      <c r="P38" s="27"/>
      <c r="Q38" s="27"/>
      <c r="R38" s="27"/>
    </row>
    <row r="39" spans="1:18">
      <c r="A39" s="27"/>
      <c r="B39" s="390" t="s">
        <v>357</v>
      </c>
      <c r="C39" s="384" t="s">
        <v>144</v>
      </c>
      <c r="D39" s="7" t="s">
        <v>144</v>
      </c>
      <c r="E39" s="7" t="s">
        <v>424</v>
      </c>
      <c r="F39" s="385" t="s">
        <v>415</v>
      </c>
      <c r="G39" s="384" t="s">
        <v>415</v>
      </c>
      <c r="H39" s="7" t="s">
        <v>415</v>
      </c>
      <c r="I39" s="7">
        <v>0</v>
      </c>
      <c r="J39" s="7" t="s">
        <v>415</v>
      </c>
      <c r="K39" s="385" t="s">
        <v>415</v>
      </c>
      <c r="L39" s="394" t="s">
        <v>424</v>
      </c>
      <c r="M39" s="27"/>
      <c r="N39" s="27"/>
      <c r="O39" s="27"/>
      <c r="P39" s="27"/>
      <c r="Q39" s="27"/>
      <c r="R39" s="27"/>
    </row>
    <row r="40" spans="1:18">
      <c r="A40" s="27"/>
      <c r="B40" s="390" t="s">
        <v>358</v>
      </c>
      <c r="C40" s="384" t="s">
        <v>142</v>
      </c>
      <c r="D40" s="7" t="s">
        <v>421</v>
      </c>
      <c r="E40" s="7" t="s">
        <v>358</v>
      </c>
      <c r="F40" s="385" t="s">
        <v>411</v>
      </c>
      <c r="G40" s="384">
        <v>15</v>
      </c>
      <c r="H40" s="7">
        <v>20</v>
      </c>
      <c r="I40" s="7" t="s">
        <v>415</v>
      </c>
      <c r="J40" s="7">
        <v>15</v>
      </c>
      <c r="K40" s="385">
        <v>20</v>
      </c>
      <c r="L40" s="394" t="s">
        <v>420</v>
      </c>
      <c r="M40" s="27"/>
      <c r="N40" s="27"/>
      <c r="O40" s="27"/>
      <c r="P40" s="27"/>
      <c r="Q40" s="27"/>
      <c r="R40" s="27"/>
    </row>
    <row r="41" spans="1:18">
      <c r="A41" s="27"/>
      <c r="B41" s="390" t="s">
        <v>118</v>
      </c>
      <c r="C41" s="384" t="s">
        <v>144</v>
      </c>
      <c r="D41" s="7" t="s">
        <v>144</v>
      </c>
      <c r="E41" s="7" t="s">
        <v>424</v>
      </c>
      <c r="F41" s="385" t="s">
        <v>415</v>
      </c>
      <c r="G41" s="384" t="s">
        <v>415</v>
      </c>
      <c r="H41" s="7" t="s">
        <v>415</v>
      </c>
      <c r="I41" s="7">
        <v>0</v>
      </c>
      <c r="J41" s="7" t="s">
        <v>415</v>
      </c>
      <c r="K41" s="385" t="s">
        <v>415</v>
      </c>
      <c r="L41" s="394" t="s">
        <v>424</v>
      </c>
      <c r="M41" s="27"/>
      <c r="N41" s="27"/>
      <c r="O41" s="27"/>
      <c r="P41" s="27"/>
      <c r="Q41" s="27"/>
      <c r="R41" s="27"/>
    </row>
    <row r="42" spans="1:18">
      <c r="A42" s="27"/>
      <c r="B42" s="390" t="s">
        <v>363</v>
      </c>
      <c r="C42" s="384" t="s">
        <v>142</v>
      </c>
      <c r="D42" s="7" t="s">
        <v>421</v>
      </c>
      <c r="E42" s="7" t="s">
        <v>363</v>
      </c>
      <c r="F42" s="385" t="s">
        <v>411</v>
      </c>
      <c r="G42" s="384">
        <v>3</v>
      </c>
      <c r="H42" s="7">
        <v>5</v>
      </c>
      <c r="I42" s="7" t="s">
        <v>415</v>
      </c>
      <c r="J42" s="7">
        <v>2</v>
      </c>
      <c r="K42" s="385">
        <v>5</v>
      </c>
      <c r="L42" s="394" t="s">
        <v>420</v>
      </c>
      <c r="M42" s="27"/>
      <c r="N42" s="27"/>
      <c r="O42" s="27"/>
      <c r="P42" s="27"/>
      <c r="Q42" s="27"/>
      <c r="R42" s="27"/>
    </row>
    <row r="43" spans="1:18">
      <c r="A43" s="27"/>
      <c r="B43" s="390" t="s">
        <v>360</v>
      </c>
      <c r="C43" s="384" t="s">
        <v>142</v>
      </c>
      <c r="D43" s="7" t="s">
        <v>421</v>
      </c>
      <c r="E43" s="7" t="s">
        <v>427</v>
      </c>
      <c r="F43" s="385" t="s">
        <v>411</v>
      </c>
      <c r="G43" s="384">
        <v>3</v>
      </c>
      <c r="H43" s="7">
        <v>5</v>
      </c>
      <c r="I43" s="7" t="s">
        <v>415</v>
      </c>
      <c r="J43" s="7">
        <v>2</v>
      </c>
      <c r="K43" s="385">
        <v>5</v>
      </c>
      <c r="L43" s="394" t="s">
        <v>420</v>
      </c>
      <c r="M43" s="27"/>
      <c r="N43" s="27"/>
      <c r="O43" s="27"/>
      <c r="P43" s="27"/>
      <c r="Q43" s="27"/>
      <c r="R43" s="27"/>
    </row>
    <row r="44" spans="1:18">
      <c r="A44" s="27"/>
      <c r="B44" s="390" t="s">
        <v>361</v>
      </c>
      <c r="C44" s="384" t="s">
        <v>142</v>
      </c>
      <c r="D44" s="7" t="s">
        <v>421</v>
      </c>
      <c r="E44" s="7" t="s">
        <v>361</v>
      </c>
      <c r="F44" s="385" t="s">
        <v>411</v>
      </c>
      <c r="G44" s="384">
        <v>3</v>
      </c>
      <c r="H44" s="7">
        <v>5</v>
      </c>
      <c r="I44" s="7" t="s">
        <v>415</v>
      </c>
      <c r="J44" s="7">
        <v>2</v>
      </c>
      <c r="K44" s="385">
        <v>5</v>
      </c>
      <c r="L44" s="394" t="s">
        <v>420</v>
      </c>
      <c r="M44" s="27"/>
      <c r="N44" s="27"/>
      <c r="O44" s="27"/>
      <c r="P44" s="27"/>
      <c r="Q44" s="27"/>
      <c r="R44" s="27"/>
    </row>
    <row r="45" spans="1:18">
      <c r="A45" s="27"/>
      <c r="B45" s="390" t="s">
        <v>362</v>
      </c>
      <c r="C45" s="384" t="s">
        <v>146</v>
      </c>
      <c r="D45" s="7" t="s">
        <v>146</v>
      </c>
      <c r="E45" s="7" t="s">
        <v>424</v>
      </c>
      <c r="F45" s="385" t="s">
        <v>415</v>
      </c>
      <c r="G45" s="384" t="s">
        <v>415</v>
      </c>
      <c r="H45" s="7" t="s">
        <v>415</v>
      </c>
      <c r="I45" s="7">
        <v>1</v>
      </c>
      <c r="J45" s="7" t="s">
        <v>415</v>
      </c>
      <c r="K45" s="385" t="s">
        <v>415</v>
      </c>
      <c r="L45" s="394" t="s">
        <v>424</v>
      </c>
      <c r="M45" s="27"/>
      <c r="N45" s="27"/>
      <c r="O45" s="27"/>
      <c r="P45" s="27"/>
      <c r="Q45" s="27"/>
      <c r="R45" s="27"/>
    </row>
    <row r="46" spans="1:18">
      <c r="A46" s="27"/>
      <c r="B46" s="390" t="s">
        <v>359</v>
      </c>
      <c r="C46" s="384" t="s">
        <v>142</v>
      </c>
      <c r="D46" s="7" t="s">
        <v>421</v>
      </c>
      <c r="E46" s="7" t="s">
        <v>428</v>
      </c>
      <c r="F46" s="385" t="s">
        <v>411</v>
      </c>
      <c r="G46" s="384">
        <v>5</v>
      </c>
      <c r="H46" s="7">
        <v>10</v>
      </c>
      <c r="I46" s="7" t="s">
        <v>415</v>
      </c>
      <c r="J46" s="7">
        <v>5</v>
      </c>
      <c r="K46" s="385">
        <v>10</v>
      </c>
      <c r="L46" s="394" t="s">
        <v>429</v>
      </c>
      <c r="M46" s="27"/>
      <c r="N46" s="27"/>
      <c r="O46" s="27"/>
      <c r="P46" s="27"/>
      <c r="Q46" s="27"/>
      <c r="R46" s="27"/>
    </row>
    <row r="47" spans="1:18">
      <c r="A47" s="27"/>
      <c r="B47" s="390" t="s">
        <v>364</v>
      </c>
      <c r="C47" s="384" t="s">
        <v>146</v>
      </c>
      <c r="D47" s="7" t="s">
        <v>146</v>
      </c>
      <c r="E47" s="7" t="s">
        <v>424</v>
      </c>
      <c r="F47" s="385" t="s">
        <v>415</v>
      </c>
      <c r="G47" s="384" t="s">
        <v>415</v>
      </c>
      <c r="H47" s="7" t="s">
        <v>415</v>
      </c>
      <c r="I47" s="7">
        <v>1</v>
      </c>
      <c r="J47" s="7" t="s">
        <v>415</v>
      </c>
      <c r="K47" s="385" t="s">
        <v>415</v>
      </c>
      <c r="L47" s="394" t="s">
        <v>424</v>
      </c>
      <c r="M47" s="27"/>
      <c r="N47" s="27"/>
      <c r="O47" s="27"/>
      <c r="P47" s="27"/>
      <c r="Q47" s="27"/>
      <c r="R47" s="27"/>
    </row>
    <row r="48" spans="1:18">
      <c r="A48" s="27"/>
      <c r="B48" s="390" t="s">
        <v>365</v>
      </c>
      <c r="C48" s="384" t="s">
        <v>142</v>
      </c>
      <c r="D48" s="7" t="s">
        <v>421</v>
      </c>
      <c r="E48" s="7" t="s">
        <v>365</v>
      </c>
      <c r="F48" s="397" t="s">
        <v>411</v>
      </c>
      <c r="G48" s="384">
        <v>3</v>
      </c>
      <c r="H48" s="7">
        <v>5</v>
      </c>
      <c r="I48" s="7" t="s">
        <v>415</v>
      </c>
      <c r="J48" s="7">
        <v>1</v>
      </c>
      <c r="K48" s="385">
        <v>1</v>
      </c>
      <c r="L48" s="394" t="s">
        <v>420</v>
      </c>
      <c r="M48" s="27"/>
      <c r="N48" s="27"/>
      <c r="O48" s="27"/>
      <c r="P48" s="27"/>
      <c r="Q48" s="27"/>
      <c r="R48" s="27"/>
    </row>
    <row r="49" spans="1:18">
      <c r="A49" s="27"/>
      <c r="B49" s="390" t="s">
        <v>366</v>
      </c>
      <c r="C49" s="384" t="s">
        <v>146</v>
      </c>
      <c r="D49" s="7" t="s">
        <v>146</v>
      </c>
      <c r="E49" s="7" t="s">
        <v>351</v>
      </c>
      <c r="F49" s="385" t="s">
        <v>415</v>
      </c>
      <c r="G49" s="384" t="s">
        <v>415</v>
      </c>
      <c r="H49" s="7" t="s">
        <v>415</v>
      </c>
      <c r="I49" s="7">
        <v>1</v>
      </c>
      <c r="J49" s="7" t="s">
        <v>415</v>
      </c>
      <c r="K49" s="385" t="s">
        <v>415</v>
      </c>
      <c r="L49" s="394" t="s">
        <v>430</v>
      </c>
      <c r="M49" s="27"/>
      <c r="N49" s="27"/>
      <c r="O49" s="27"/>
      <c r="P49" s="27"/>
      <c r="Q49" s="27"/>
      <c r="R49" s="27"/>
    </row>
    <row r="50" spans="1:18">
      <c r="A50" s="27"/>
      <c r="B50" s="390" t="s">
        <v>121</v>
      </c>
      <c r="C50" s="384" t="s">
        <v>142</v>
      </c>
      <c r="D50" s="7" t="s">
        <v>421</v>
      </c>
      <c r="E50" s="7" t="s">
        <v>121</v>
      </c>
      <c r="F50" s="385" t="s">
        <v>411</v>
      </c>
      <c r="G50" s="384">
        <v>27</v>
      </c>
      <c r="H50" s="7" t="s">
        <v>431</v>
      </c>
      <c r="I50" s="7" t="s">
        <v>415</v>
      </c>
      <c r="J50" s="7">
        <v>16</v>
      </c>
      <c r="K50" s="385" t="s">
        <v>415</v>
      </c>
      <c r="L50" s="394" t="s">
        <v>432</v>
      </c>
      <c r="M50" s="27"/>
      <c r="N50" s="27"/>
      <c r="O50" s="27"/>
      <c r="P50" s="27"/>
      <c r="Q50" s="27"/>
      <c r="R50" s="27"/>
    </row>
    <row r="51" spans="1:18">
      <c r="A51" s="27"/>
      <c r="B51" s="390" t="s">
        <v>367</v>
      </c>
      <c r="C51" s="384" t="s">
        <v>142</v>
      </c>
      <c r="D51" s="7" t="s">
        <v>421</v>
      </c>
      <c r="E51" s="7" t="s">
        <v>367</v>
      </c>
      <c r="F51" s="385" t="s">
        <v>411</v>
      </c>
      <c r="G51" s="384">
        <v>3</v>
      </c>
      <c r="H51" s="7">
        <v>5</v>
      </c>
      <c r="I51" s="7" t="s">
        <v>415</v>
      </c>
      <c r="J51" s="7">
        <v>2</v>
      </c>
      <c r="K51" s="385">
        <v>5</v>
      </c>
      <c r="L51" s="394" t="s">
        <v>420</v>
      </c>
      <c r="M51" s="27"/>
      <c r="N51" s="27"/>
      <c r="O51" s="27"/>
      <c r="P51" s="27"/>
      <c r="Q51" s="27"/>
      <c r="R51" s="27"/>
    </row>
    <row r="52" spans="1:18">
      <c r="A52" s="27"/>
      <c r="B52" s="390" t="s">
        <v>368</v>
      </c>
      <c r="C52" s="384" t="s">
        <v>144</v>
      </c>
      <c r="D52" s="7" t="s">
        <v>144</v>
      </c>
      <c r="E52" s="7" t="s">
        <v>424</v>
      </c>
      <c r="F52" s="385" t="s">
        <v>415</v>
      </c>
      <c r="G52" s="384" t="s">
        <v>415</v>
      </c>
      <c r="H52" s="7" t="s">
        <v>415</v>
      </c>
      <c r="I52" s="7">
        <v>0</v>
      </c>
      <c r="J52" s="7" t="s">
        <v>415</v>
      </c>
      <c r="K52" s="385" t="s">
        <v>415</v>
      </c>
      <c r="L52" s="394" t="s">
        <v>424</v>
      </c>
      <c r="M52" s="27"/>
      <c r="N52" s="27"/>
      <c r="O52" s="27"/>
      <c r="P52" s="27"/>
      <c r="Q52" s="27"/>
      <c r="R52" s="27"/>
    </row>
    <row r="53" spans="1:18">
      <c r="A53" s="27"/>
      <c r="B53" s="390" t="s">
        <v>369</v>
      </c>
      <c r="C53" s="384" t="s">
        <v>142</v>
      </c>
      <c r="D53" s="7" t="s">
        <v>421</v>
      </c>
      <c r="E53" s="7" t="s">
        <v>369</v>
      </c>
      <c r="F53" s="385" t="s">
        <v>411</v>
      </c>
      <c r="G53" s="384">
        <v>3</v>
      </c>
      <c r="H53" s="7">
        <v>5</v>
      </c>
      <c r="I53" s="7" t="s">
        <v>415</v>
      </c>
      <c r="J53" s="7">
        <v>1</v>
      </c>
      <c r="K53" s="385" t="s">
        <v>415</v>
      </c>
      <c r="L53" s="394" t="s">
        <v>420</v>
      </c>
      <c r="M53" s="27"/>
      <c r="N53" s="27"/>
      <c r="O53" s="27"/>
      <c r="P53" s="27"/>
      <c r="Q53" s="27"/>
      <c r="R53" s="27"/>
    </row>
    <row r="54" spans="1:18">
      <c r="A54" s="27"/>
      <c r="B54" s="390" t="s">
        <v>145</v>
      </c>
      <c r="C54" s="384" t="s">
        <v>146</v>
      </c>
      <c r="D54" s="7" t="s">
        <v>146</v>
      </c>
      <c r="E54" s="7" t="s">
        <v>424</v>
      </c>
      <c r="F54" s="385" t="s">
        <v>415</v>
      </c>
      <c r="G54" s="384" t="s">
        <v>415</v>
      </c>
      <c r="H54" s="7" t="s">
        <v>415</v>
      </c>
      <c r="I54" s="7">
        <v>1</v>
      </c>
      <c r="J54" s="7" t="s">
        <v>415</v>
      </c>
      <c r="K54" s="385" t="s">
        <v>415</v>
      </c>
      <c r="L54" s="394" t="s">
        <v>424</v>
      </c>
      <c r="M54" s="27"/>
      <c r="N54" s="27"/>
      <c r="O54" s="27"/>
      <c r="P54" s="27"/>
      <c r="Q54" s="27"/>
      <c r="R54" s="27"/>
    </row>
    <row r="55" spans="1:18">
      <c r="A55" s="27"/>
      <c r="B55" s="390" t="s">
        <v>370</v>
      </c>
      <c r="C55" s="384" t="s">
        <v>142</v>
      </c>
      <c r="D55" s="7" t="s">
        <v>421</v>
      </c>
      <c r="E55" s="7" t="s">
        <v>433</v>
      </c>
      <c r="F55" s="385" t="s">
        <v>411</v>
      </c>
      <c r="G55" s="384">
        <v>30</v>
      </c>
      <c r="H55" s="7" t="s">
        <v>431</v>
      </c>
      <c r="I55" s="7" t="s">
        <v>415</v>
      </c>
      <c r="J55" s="7">
        <v>7</v>
      </c>
      <c r="K55" s="385" t="s">
        <v>415</v>
      </c>
      <c r="L55" s="394" t="s">
        <v>434</v>
      </c>
      <c r="M55" s="27"/>
      <c r="N55" s="27"/>
      <c r="O55" s="27"/>
      <c r="P55" s="27"/>
      <c r="Q55" s="27"/>
      <c r="R55" s="27"/>
    </row>
    <row r="56" spans="1:18">
      <c r="A56" s="27"/>
      <c r="B56" s="390" t="s">
        <v>371</v>
      </c>
      <c r="C56" s="384" t="s">
        <v>142</v>
      </c>
      <c r="D56" s="7" t="s">
        <v>421</v>
      </c>
      <c r="E56" s="7" t="s">
        <v>371</v>
      </c>
      <c r="F56" s="385" t="s">
        <v>411</v>
      </c>
      <c r="G56" s="384" t="s">
        <v>431</v>
      </c>
      <c r="H56" s="7" t="s">
        <v>431</v>
      </c>
      <c r="I56" s="7" t="s">
        <v>415</v>
      </c>
      <c r="J56" s="7">
        <v>15</v>
      </c>
      <c r="K56" s="385" t="s">
        <v>431</v>
      </c>
      <c r="L56" s="394" t="s">
        <v>420</v>
      </c>
      <c r="M56" s="27"/>
      <c r="N56" s="27"/>
      <c r="O56" s="27"/>
      <c r="P56" s="27"/>
      <c r="Q56" s="27"/>
      <c r="R56" s="27"/>
    </row>
    <row r="57" spans="1:18">
      <c r="A57" s="27"/>
      <c r="B57" s="390" t="s">
        <v>372</v>
      </c>
      <c r="C57" s="384" t="s">
        <v>142</v>
      </c>
      <c r="D57" s="7" t="s">
        <v>421</v>
      </c>
      <c r="E57" s="7" t="s">
        <v>372</v>
      </c>
      <c r="F57" s="385" t="s">
        <v>411</v>
      </c>
      <c r="G57" s="384">
        <v>15</v>
      </c>
      <c r="H57" s="7" t="s">
        <v>431</v>
      </c>
      <c r="I57" s="7" t="s">
        <v>415</v>
      </c>
      <c r="J57" s="7">
        <v>10</v>
      </c>
      <c r="K57" s="385">
        <v>25</v>
      </c>
      <c r="L57" s="394" t="s">
        <v>420</v>
      </c>
      <c r="M57" s="27"/>
      <c r="N57" s="27"/>
      <c r="O57" s="27"/>
      <c r="P57" s="27"/>
      <c r="Q57" s="27"/>
      <c r="R57" s="27"/>
    </row>
    <row r="58" spans="1:18">
      <c r="A58" s="27"/>
      <c r="B58" s="390" t="s">
        <v>373</v>
      </c>
      <c r="C58" s="384" t="s">
        <v>142</v>
      </c>
      <c r="D58" s="7" t="s">
        <v>421</v>
      </c>
      <c r="E58" s="7" t="s">
        <v>373</v>
      </c>
      <c r="F58" s="385" t="s">
        <v>411</v>
      </c>
      <c r="G58" s="384">
        <v>30</v>
      </c>
      <c r="H58" s="7" t="s">
        <v>431</v>
      </c>
      <c r="I58" s="7" t="s">
        <v>415</v>
      </c>
      <c r="J58" s="7">
        <v>10</v>
      </c>
      <c r="K58" s="385">
        <v>25</v>
      </c>
      <c r="L58" s="394" t="s">
        <v>420</v>
      </c>
      <c r="M58" s="27"/>
      <c r="N58" s="27"/>
      <c r="O58" s="27"/>
      <c r="P58" s="27"/>
      <c r="Q58" s="27"/>
      <c r="R58" s="27"/>
    </row>
    <row r="59" spans="1:18">
      <c r="A59" s="27"/>
      <c r="B59" s="390" t="s">
        <v>374</v>
      </c>
      <c r="C59" s="384" t="s">
        <v>142</v>
      </c>
      <c r="D59" s="7" t="s">
        <v>421</v>
      </c>
      <c r="E59" s="7" t="s">
        <v>374</v>
      </c>
      <c r="F59" s="385" t="s">
        <v>411</v>
      </c>
      <c r="G59" s="384">
        <v>1</v>
      </c>
      <c r="H59" s="7">
        <v>3</v>
      </c>
      <c r="I59" s="7" t="s">
        <v>415</v>
      </c>
      <c r="J59" s="7">
        <v>2</v>
      </c>
      <c r="K59" s="385" t="s">
        <v>415</v>
      </c>
      <c r="L59" s="394" t="s">
        <v>432</v>
      </c>
      <c r="M59" s="27"/>
      <c r="N59" s="27"/>
      <c r="O59" s="27"/>
      <c r="P59" s="27"/>
      <c r="Q59" s="27"/>
      <c r="R59" s="27"/>
    </row>
    <row r="60" spans="1:18">
      <c r="A60" s="27"/>
      <c r="B60" s="390" t="s">
        <v>375</v>
      </c>
      <c r="C60" s="384" t="s">
        <v>142</v>
      </c>
      <c r="D60" s="7" t="s">
        <v>421</v>
      </c>
      <c r="E60" s="7" t="s">
        <v>375</v>
      </c>
      <c r="F60" s="385" t="s">
        <v>411</v>
      </c>
      <c r="G60" s="384">
        <v>7</v>
      </c>
      <c r="H60" s="7">
        <v>15</v>
      </c>
      <c r="I60" s="7" t="s">
        <v>415</v>
      </c>
      <c r="J60" s="7">
        <v>14</v>
      </c>
      <c r="K60" s="385" t="s">
        <v>415</v>
      </c>
      <c r="L60" s="394" t="s">
        <v>420</v>
      </c>
      <c r="M60" s="27"/>
      <c r="N60" s="27"/>
      <c r="O60" s="27"/>
      <c r="P60" s="27"/>
      <c r="Q60" s="27"/>
      <c r="R60" s="27"/>
    </row>
    <row r="61" spans="1:18">
      <c r="A61" s="27"/>
      <c r="B61" s="390" t="s">
        <v>376</v>
      </c>
      <c r="C61" s="384" t="s">
        <v>142</v>
      </c>
      <c r="D61" s="7" t="s">
        <v>421</v>
      </c>
      <c r="E61" s="7" t="s">
        <v>435</v>
      </c>
      <c r="F61" s="385" t="s">
        <v>411</v>
      </c>
      <c r="G61" s="384">
        <v>1</v>
      </c>
      <c r="H61" s="7">
        <v>3</v>
      </c>
      <c r="I61" s="7" t="s">
        <v>415</v>
      </c>
      <c r="J61" s="7">
        <v>2</v>
      </c>
      <c r="K61" s="385" t="s">
        <v>415</v>
      </c>
      <c r="L61" s="394" t="s">
        <v>420</v>
      </c>
      <c r="M61" s="27"/>
      <c r="N61" s="27"/>
      <c r="O61" s="27"/>
      <c r="P61" s="27"/>
      <c r="Q61" s="27"/>
      <c r="R61" s="27"/>
    </row>
    <row r="62" spans="1:18">
      <c r="A62" s="27"/>
      <c r="B62" s="390" t="s">
        <v>377</v>
      </c>
      <c r="C62" s="384" t="s">
        <v>142</v>
      </c>
      <c r="D62" s="7" t="s">
        <v>421</v>
      </c>
      <c r="E62" s="7" t="s">
        <v>436</v>
      </c>
      <c r="F62" s="385" t="s">
        <v>411</v>
      </c>
      <c r="G62" s="384">
        <v>3</v>
      </c>
      <c r="H62" s="7">
        <v>6</v>
      </c>
      <c r="I62" s="7" t="s">
        <v>415</v>
      </c>
      <c r="J62" s="7">
        <v>4</v>
      </c>
      <c r="K62" s="385" t="s">
        <v>415</v>
      </c>
      <c r="L62" s="394" t="s">
        <v>420</v>
      </c>
      <c r="M62" s="27"/>
      <c r="N62" s="27"/>
      <c r="O62" s="27"/>
      <c r="P62" s="27"/>
      <c r="Q62" s="27"/>
      <c r="R62" s="27"/>
    </row>
    <row r="63" spans="1:18">
      <c r="A63" s="27"/>
      <c r="B63" s="390" t="s">
        <v>378</v>
      </c>
      <c r="C63" s="384" t="s">
        <v>142</v>
      </c>
      <c r="D63" s="7" t="s">
        <v>421</v>
      </c>
      <c r="E63" s="7" t="s">
        <v>437</v>
      </c>
      <c r="F63" s="385" t="s">
        <v>411</v>
      </c>
      <c r="G63" s="384">
        <v>1</v>
      </c>
      <c r="H63" s="7">
        <v>4</v>
      </c>
      <c r="I63" s="7" t="s">
        <v>415</v>
      </c>
      <c r="J63" s="7">
        <v>3</v>
      </c>
      <c r="K63" s="385" t="s">
        <v>415</v>
      </c>
      <c r="L63" s="394" t="s">
        <v>420</v>
      </c>
      <c r="M63" s="27"/>
      <c r="N63" s="27"/>
      <c r="O63" s="27"/>
      <c r="P63" s="27"/>
      <c r="Q63" s="27"/>
      <c r="R63" s="27"/>
    </row>
    <row r="64" spans="1:18">
      <c r="A64" s="27"/>
      <c r="B64" s="390" t="s">
        <v>379</v>
      </c>
      <c r="C64" s="384" t="s">
        <v>142</v>
      </c>
      <c r="D64" s="7" t="s">
        <v>421</v>
      </c>
      <c r="E64" s="7" t="s">
        <v>438</v>
      </c>
      <c r="F64" s="385" t="s">
        <v>411</v>
      </c>
      <c r="G64" s="384">
        <v>3</v>
      </c>
      <c r="H64" s="7">
        <v>5</v>
      </c>
      <c r="I64" s="7" t="s">
        <v>415</v>
      </c>
      <c r="J64" s="7">
        <v>4</v>
      </c>
      <c r="K64" s="385" t="s">
        <v>415</v>
      </c>
      <c r="L64" s="394" t="s">
        <v>420</v>
      </c>
      <c r="M64" s="27"/>
      <c r="N64" s="27"/>
      <c r="O64" s="27"/>
      <c r="P64" s="27"/>
      <c r="Q64" s="27"/>
      <c r="R64" s="27"/>
    </row>
    <row r="65" spans="1:18">
      <c r="A65" s="27"/>
      <c r="B65" s="390" t="s">
        <v>380</v>
      </c>
      <c r="C65" s="384" t="s">
        <v>142</v>
      </c>
      <c r="D65" s="7" t="s">
        <v>421</v>
      </c>
      <c r="E65" s="7" t="s">
        <v>439</v>
      </c>
      <c r="F65" s="385" t="s">
        <v>411</v>
      </c>
      <c r="G65" s="384">
        <v>3</v>
      </c>
      <c r="H65" s="7">
        <v>5</v>
      </c>
      <c r="I65" s="7" t="s">
        <v>415</v>
      </c>
      <c r="J65" s="7">
        <v>2</v>
      </c>
      <c r="K65" s="385" t="s">
        <v>415</v>
      </c>
      <c r="L65" s="394" t="s">
        <v>420</v>
      </c>
      <c r="M65" s="27"/>
      <c r="N65" s="27"/>
      <c r="O65" s="27"/>
      <c r="P65" s="27"/>
      <c r="Q65" s="27"/>
      <c r="R65" s="27"/>
    </row>
    <row r="66" spans="1:18">
      <c r="A66" s="27"/>
      <c r="B66" s="390" t="s">
        <v>381</v>
      </c>
      <c r="C66" s="384" t="s">
        <v>142</v>
      </c>
      <c r="D66" s="7" t="s">
        <v>421</v>
      </c>
      <c r="E66" s="7" t="s">
        <v>440</v>
      </c>
      <c r="F66" s="385" t="s">
        <v>411</v>
      </c>
      <c r="G66" s="384">
        <v>10</v>
      </c>
      <c r="H66" s="7">
        <v>20</v>
      </c>
      <c r="I66" s="7" t="s">
        <v>415</v>
      </c>
      <c r="J66" s="7">
        <v>20</v>
      </c>
      <c r="K66" s="385" t="s">
        <v>415</v>
      </c>
      <c r="L66" s="394" t="s">
        <v>420</v>
      </c>
      <c r="M66" s="27"/>
      <c r="N66" s="27"/>
      <c r="O66" s="27"/>
      <c r="P66" s="27"/>
      <c r="Q66" s="27"/>
      <c r="R66" s="27"/>
    </row>
    <row r="67" spans="1:18">
      <c r="A67" s="27"/>
      <c r="B67" s="390" t="s">
        <v>382</v>
      </c>
      <c r="C67" s="384" t="s">
        <v>142</v>
      </c>
      <c r="D67" s="7" t="s">
        <v>421</v>
      </c>
      <c r="E67" s="7" t="s">
        <v>441</v>
      </c>
      <c r="F67" s="385" t="s">
        <v>411</v>
      </c>
      <c r="G67" s="384">
        <v>5</v>
      </c>
      <c r="H67" s="7">
        <v>15</v>
      </c>
      <c r="I67" s="7" t="s">
        <v>415</v>
      </c>
      <c r="J67" s="7">
        <v>6</v>
      </c>
      <c r="K67" s="385" t="s">
        <v>415</v>
      </c>
      <c r="L67" s="394" t="s">
        <v>420</v>
      </c>
      <c r="M67" s="27"/>
      <c r="N67" s="27"/>
      <c r="O67" s="27"/>
      <c r="P67" s="27"/>
      <c r="Q67" s="27"/>
      <c r="R67" s="27"/>
    </row>
    <row r="68" spans="1:18">
      <c r="A68" s="27"/>
      <c r="B68" s="390" t="s">
        <v>383</v>
      </c>
      <c r="C68" s="384" t="s">
        <v>142</v>
      </c>
      <c r="D68" s="7" t="s">
        <v>421</v>
      </c>
      <c r="E68" s="7" t="s">
        <v>383</v>
      </c>
      <c r="F68" s="385" t="s">
        <v>411</v>
      </c>
      <c r="G68" s="384">
        <v>1</v>
      </c>
      <c r="H68" s="7">
        <v>4</v>
      </c>
      <c r="I68" s="7" t="s">
        <v>415</v>
      </c>
      <c r="J68" s="7">
        <v>3</v>
      </c>
      <c r="K68" s="385" t="s">
        <v>415</v>
      </c>
      <c r="L68" s="394" t="s">
        <v>432</v>
      </c>
      <c r="M68" s="27"/>
      <c r="N68" s="27"/>
      <c r="O68" s="27"/>
      <c r="P68" s="27"/>
      <c r="Q68" s="27"/>
      <c r="R68" s="27"/>
    </row>
    <row r="69" spans="1:18">
      <c r="A69" s="27"/>
      <c r="B69" s="390" t="s">
        <v>384</v>
      </c>
      <c r="C69" s="384" t="s">
        <v>142</v>
      </c>
      <c r="D69" s="7" t="s">
        <v>421</v>
      </c>
      <c r="E69" s="7" t="s">
        <v>384</v>
      </c>
      <c r="F69" s="397" t="s">
        <v>411</v>
      </c>
      <c r="G69" s="384">
        <v>5</v>
      </c>
      <c r="H69" s="7">
        <v>15</v>
      </c>
      <c r="I69" s="7" t="s">
        <v>415</v>
      </c>
      <c r="J69" s="7">
        <v>12</v>
      </c>
      <c r="K69" s="385" t="s">
        <v>415</v>
      </c>
      <c r="L69" s="394" t="s">
        <v>420</v>
      </c>
      <c r="M69" s="27"/>
      <c r="N69" s="27"/>
      <c r="O69" s="27"/>
      <c r="P69" s="27"/>
      <c r="Q69" s="27"/>
      <c r="R69" s="27"/>
    </row>
    <row r="70" spans="1:18">
      <c r="A70" s="27"/>
      <c r="B70" s="390" t="s">
        <v>385</v>
      </c>
      <c r="C70" s="384" t="s">
        <v>142</v>
      </c>
      <c r="D70" s="7" t="s">
        <v>421</v>
      </c>
      <c r="E70" s="7" t="s">
        <v>385</v>
      </c>
      <c r="F70" s="397" t="s">
        <v>411</v>
      </c>
      <c r="G70" s="384">
        <v>4</v>
      </c>
      <c r="H70" s="7">
        <v>13</v>
      </c>
      <c r="I70" s="7" t="s">
        <v>415</v>
      </c>
      <c r="J70" s="7">
        <v>11</v>
      </c>
      <c r="K70" s="385" t="s">
        <v>415</v>
      </c>
      <c r="L70" s="394" t="s">
        <v>420</v>
      </c>
      <c r="M70" s="27"/>
      <c r="N70" s="27"/>
      <c r="O70" s="27"/>
      <c r="P70" s="27"/>
      <c r="Q70" s="27"/>
      <c r="R70" s="27"/>
    </row>
    <row r="71" spans="1:18">
      <c r="A71" s="27"/>
      <c r="B71" s="390" t="s">
        <v>386</v>
      </c>
      <c r="C71" s="384" t="s">
        <v>142</v>
      </c>
      <c r="D71" s="7" t="s">
        <v>421</v>
      </c>
      <c r="E71" s="7" t="s">
        <v>386</v>
      </c>
      <c r="F71" s="397" t="s">
        <v>411</v>
      </c>
      <c r="G71" s="384">
        <v>4</v>
      </c>
      <c r="H71" s="7">
        <v>13</v>
      </c>
      <c r="I71" s="7" t="s">
        <v>415</v>
      </c>
      <c r="J71" s="7">
        <v>11</v>
      </c>
      <c r="K71" s="385" t="s">
        <v>415</v>
      </c>
      <c r="L71" s="394" t="s">
        <v>420</v>
      </c>
      <c r="M71" s="27"/>
      <c r="N71" s="27"/>
      <c r="O71" s="27"/>
      <c r="P71" s="27"/>
      <c r="Q71" s="27"/>
      <c r="R71" s="27"/>
    </row>
    <row r="72" spans="1:18">
      <c r="A72" s="27"/>
      <c r="B72" s="390" t="s">
        <v>261</v>
      </c>
      <c r="C72" s="384" t="s">
        <v>142</v>
      </c>
      <c r="D72" s="7" t="s">
        <v>421</v>
      </c>
      <c r="E72" s="7" t="s">
        <v>261</v>
      </c>
      <c r="F72" s="385" t="s">
        <v>411</v>
      </c>
      <c r="G72" s="384">
        <v>5</v>
      </c>
      <c r="H72" s="7">
        <v>12</v>
      </c>
      <c r="I72" s="7" t="s">
        <v>415</v>
      </c>
      <c r="J72" s="7">
        <v>2</v>
      </c>
      <c r="K72" s="392">
        <v>5</v>
      </c>
      <c r="L72" s="394" t="s">
        <v>420</v>
      </c>
      <c r="M72" s="27"/>
      <c r="N72" s="27"/>
      <c r="O72" s="27"/>
      <c r="P72" s="27"/>
      <c r="Q72" s="27"/>
      <c r="R72" s="27"/>
    </row>
    <row r="73" spans="1:18">
      <c r="A73" s="27"/>
      <c r="B73" s="390" t="s">
        <v>387</v>
      </c>
      <c r="C73" s="384" t="s">
        <v>142</v>
      </c>
      <c r="D73" s="7" t="s">
        <v>421</v>
      </c>
      <c r="E73" s="7" t="s">
        <v>387</v>
      </c>
      <c r="F73" s="385" t="s">
        <v>411</v>
      </c>
      <c r="G73" s="384">
        <v>5</v>
      </c>
      <c r="H73" s="7">
        <v>12</v>
      </c>
      <c r="I73" s="7" t="s">
        <v>415</v>
      </c>
      <c r="J73" s="7">
        <v>2</v>
      </c>
      <c r="K73" s="392">
        <v>6</v>
      </c>
      <c r="L73" s="394" t="s">
        <v>420</v>
      </c>
      <c r="M73" s="27"/>
      <c r="N73" s="27"/>
      <c r="O73" s="27"/>
      <c r="P73" s="27"/>
      <c r="Q73" s="27"/>
      <c r="R73" s="27"/>
    </row>
    <row r="74" spans="1:18">
      <c r="A74" s="27"/>
      <c r="B74" s="390" t="s">
        <v>388</v>
      </c>
      <c r="C74" s="384" t="s">
        <v>142</v>
      </c>
      <c r="D74" s="7" t="s">
        <v>421</v>
      </c>
      <c r="E74" s="7" t="s">
        <v>388</v>
      </c>
      <c r="F74" s="385" t="s">
        <v>411</v>
      </c>
      <c r="G74" s="384">
        <v>10</v>
      </c>
      <c r="H74" s="7">
        <v>20</v>
      </c>
      <c r="I74" s="7" t="s">
        <v>415</v>
      </c>
      <c r="J74" s="7">
        <v>4</v>
      </c>
      <c r="K74" s="392">
        <v>12</v>
      </c>
      <c r="L74" s="394" t="s">
        <v>420</v>
      </c>
      <c r="M74" s="27"/>
      <c r="N74" s="27"/>
      <c r="O74" s="27"/>
      <c r="P74" s="27"/>
      <c r="Q74" s="27"/>
      <c r="R74" s="27"/>
    </row>
    <row r="75" spans="1:18">
      <c r="A75" s="27"/>
      <c r="B75" s="390" t="s">
        <v>389</v>
      </c>
      <c r="C75" s="384" t="s">
        <v>142</v>
      </c>
      <c r="D75" s="7" t="s">
        <v>421</v>
      </c>
      <c r="E75" s="7" t="s">
        <v>442</v>
      </c>
      <c r="F75" s="385" t="s">
        <v>411</v>
      </c>
      <c r="G75" s="384">
        <v>5</v>
      </c>
      <c r="H75" s="7">
        <v>12</v>
      </c>
      <c r="I75" s="7" t="s">
        <v>415</v>
      </c>
      <c r="J75" s="7">
        <v>2</v>
      </c>
      <c r="K75" s="392" t="s">
        <v>415</v>
      </c>
      <c r="L75" s="394" t="s">
        <v>443</v>
      </c>
      <c r="M75" s="27"/>
      <c r="N75" s="27"/>
      <c r="O75" s="27"/>
      <c r="P75" s="27"/>
      <c r="Q75" s="27"/>
      <c r="R75" s="27"/>
    </row>
    <row r="76" spans="1:18">
      <c r="A76" s="27"/>
      <c r="B76" s="390" t="s">
        <v>390</v>
      </c>
      <c r="C76" s="384" t="s">
        <v>146</v>
      </c>
      <c r="D76" s="7" t="s">
        <v>146</v>
      </c>
      <c r="E76" s="7" t="s">
        <v>424</v>
      </c>
      <c r="F76" s="385" t="s">
        <v>415</v>
      </c>
      <c r="G76" s="384" t="s">
        <v>415</v>
      </c>
      <c r="H76" s="7" t="s">
        <v>415</v>
      </c>
      <c r="I76" s="7">
        <v>1</v>
      </c>
      <c r="J76" s="7" t="s">
        <v>415</v>
      </c>
      <c r="K76" s="392" t="s">
        <v>415</v>
      </c>
      <c r="L76" s="394" t="s">
        <v>424</v>
      </c>
      <c r="M76" s="27"/>
      <c r="N76" s="27"/>
      <c r="O76" s="27"/>
      <c r="P76" s="27"/>
      <c r="Q76" s="27"/>
      <c r="R76" s="27"/>
    </row>
    <row r="77" spans="1:18" ht="28.9">
      <c r="A77" s="27"/>
      <c r="B77" s="390" t="s">
        <v>391</v>
      </c>
      <c r="C77" s="384" t="s">
        <v>142</v>
      </c>
      <c r="D77" s="7" t="s">
        <v>421</v>
      </c>
      <c r="E77" s="7" t="s">
        <v>444</v>
      </c>
      <c r="F77" s="385" t="s">
        <v>411</v>
      </c>
      <c r="G77" s="384">
        <v>20</v>
      </c>
      <c r="H77" s="7" t="s">
        <v>431</v>
      </c>
      <c r="I77" s="7" t="s">
        <v>415</v>
      </c>
      <c r="J77" s="7">
        <v>10</v>
      </c>
      <c r="K77" s="392" t="s">
        <v>415</v>
      </c>
      <c r="L77" s="394" t="s">
        <v>445</v>
      </c>
      <c r="M77" s="27"/>
      <c r="N77" s="27"/>
      <c r="O77" s="27"/>
      <c r="P77" s="27"/>
      <c r="Q77" s="27"/>
      <c r="R77" s="27"/>
    </row>
    <row r="78" spans="1:18">
      <c r="A78" s="27"/>
      <c r="B78" s="390" t="s">
        <v>392</v>
      </c>
      <c r="C78" s="384" t="s">
        <v>142</v>
      </c>
      <c r="D78" s="7" t="s">
        <v>421</v>
      </c>
      <c r="E78" s="7" t="s">
        <v>392</v>
      </c>
      <c r="F78" s="385" t="s">
        <v>411</v>
      </c>
      <c r="G78" s="384">
        <v>20</v>
      </c>
      <c r="H78" s="7" t="s">
        <v>431</v>
      </c>
      <c r="I78" s="7" t="s">
        <v>415</v>
      </c>
      <c r="J78" s="7">
        <v>10</v>
      </c>
      <c r="K78" s="392" t="s">
        <v>415</v>
      </c>
      <c r="L78" s="394" t="s">
        <v>420</v>
      </c>
      <c r="M78" s="27"/>
      <c r="N78" s="27"/>
      <c r="O78" s="27"/>
      <c r="P78" s="27"/>
      <c r="Q78" s="27"/>
      <c r="R78" s="27"/>
    </row>
    <row r="79" spans="1:18" ht="28.9">
      <c r="A79" s="27"/>
      <c r="B79" s="390" t="s">
        <v>393</v>
      </c>
      <c r="C79" s="384" t="s">
        <v>142</v>
      </c>
      <c r="D79" s="7" t="s">
        <v>421</v>
      </c>
      <c r="E79" s="7" t="s">
        <v>444</v>
      </c>
      <c r="F79" s="385" t="s">
        <v>411</v>
      </c>
      <c r="G79" s="384">
        <v>20</v>
      </c>
      <c r="H79" s="7" t="s">
        <v>431</v>
      </c>
      <c r="I79" s="7" t="s">
        <v>415</v>
      </c>
      <c r="J79" s="7">
        <v>10</v>
      </c>
      <c r="K79" s="392" t="s">
        <v>415</v>
      </c>
      <c r="L79" s="394" t="s">
        <v>445</v>
      </c>
      <c r="M79" s="27"/>
      <c r="N79" s="27"/>
      <c r="O79" s="27"/>
      <c r="P79" s="27"/>
      <c r="Q79" s="27"/>
      <c r="R79" s="27"/>
    </row>
    <row r="80" spans="1:18">
      <c r="A80" s="27"/>
      <c r="B80" s="390" t="s">
        <v>394</v>
      </c>
      <c r="C80" s="384" t="s">
        <v>142</v>
      </c>
      <c r="D80" s="7" t="s">
        <v>421</v>
      </c>
      <c r="E80" s="7" t="s">
        <v>394</v>
      </c>
      <c r="F80" s="385" t="s">
        <v>411</v>
      </c>
      <c r="G80" s="384">
        <v>20</v>
      </c>
      <c r="H80" s="7" t="s">
        <v>431</v>
      </c>
      <c r="I80" s="7" t="s">
        <v>415</v>
      </c>
      <c r="J80" s="7">
        <v>10</v>
      </c>
      <c r="K80" s="392" t="s">
        <v>415</v>
      </c>
      <c r="L80" s="394" t="s">
        <v>420</v>
      </c>
      <c r="M80" s="27"/>
      <c r="N80" s="27"/>
      <c r="O80" s="27"/>
      <c r="P80" s="27"/>
      <c r="Q80" s="27"/>
      <c r="R80" s="27"/>
    </row>
    <row r="81" spans="1:18">
      <c r="A81" s="27"/>
      <c r="B81" s="390" t="s">
        <v>395</v>
      </c>
      <c r="C81" s="384" t="s">
        <v>142</v>
      </c>
      <c r="D81" s="7" t="s">
        <v>421</v>
      </c>
      <c r="E81" s="7" t="s">
        <v>395</v>
      </c>
      <c r="F81" s="385" t="s">
        <v>411</v>
      </c>
      <c r="G81" s="384">
        <v>5</v>
      </c>
      <c r="H81" s="7">
        <v>10</v>
      </c>
      <c r="I81" s="7" t="s">
        <v>415</v>
      </c>
      <c r="J81" s="7">
        <v>4</v>
      </c>
      <c r="K81" s="392">
        <v>10</v>
      </c>
      <c r="L81" s="394" t="s">
        <v>420</v>
      </c>
      <c r="M81" s="27"/>
      <c r="N81" s="27"/>
      <c r="O81" s="27"/>
      <c r="P81" s="27"/>
      <c r="Q81" s="27"/>
      <c r="R81" s="27"/>
    </row>
    <row r="82" spans="1:18">
      <c r="A82" s="27"/>
      <c r="B82" s="390" t="s">
        <v>397</v>
      </c>
      <c r="C82" s="384" t="s">
        <v>142</v>
      </c>
      <c r="D82" s="7" t="s">
        <v>421</v>
      </c>
      <c r="E82" s="7" t="s">
        <v>397</v>
      </c>
      <c r="F82" s="385" t="s">
        <v>411</v>
      </c>
      <c r="G82" s="384">
        <v>5</v>
      </c>
      <c r="H82" s="7">
        <v>10</v>
      </c>
      <c r="I82" s="7" t="s">
        <v>415</v>
      </c>
      <c r="J82" s="7">
        <v>4</v>
      </c>
      <c r="K82" s="392">
        <v>10</v>
      </c>
      <c r="L82" s="394" t="s">
        <v>420</v>
      </c>
      <c r="M82" s="27"/>
      <c r="N82" s="27"/>
      <c r="O82" s="27"/>
      <c r="P82" s="27"/>
      <c r="Q82" s="27"/>
      <c r="R82" s="27"/>
    </row>
    <row r="83" spans="1:18">
      <c r="A83" s="27"/>
      <c r="B83" s="390" t="s">
        <v>398</v>
      </c>
      <c r="C83" s="384" t="s">
        <v>146</v>
      </c>
      <c r="D83" s="7" t="s">
        <v>146</v>
      </c>
      <c r="E83" s="9" t="s">
        <v>446</v>
      </c>
      <c r="F83" s="385" t="s">
        <v>415</v>
      </c>
      <c r="G83" s="384" t="s">
        <v>415</v>
      </c>
      <c r="H83" s="7" t="s">
        <v>415</v>
      </c>
      <c r="I83" s="7">
        <v>1</v>
      </c>
      <c r="J83" s="7" t="s">
        <v>415</v>
      </c>
      <c r="K83" s="392" t="s">
        <v>415</v>
      </c>
      <c r="L83" s="394" t="s">
        <v>447</v>
      </c>
      <c r="M83" s="27"/>
      <c r="N83" s="27"/>
      <c r="O83" s="27"/>
      <c r="P83" s="27"/>
      <c r="Q83" s="27"/>
      <c r="R83" s="27"/>
    </row>
    <row r="84" spans="1:18">
      <c r="A84" s="27"/>
      <c r="B84" s="390"/>
      <c r="C84" s="384"/>
      <c r="D84" s="7"/>
      <c r="E84" s="7"/>
      <c r="F84" s="385"/>
      <c r="G84" s="384"/>
      <c r="H84" s="7"/>
      <c r="I84" s="7"/>
      <c r="J84" s="7"/>
      <c r="K84" s="385"/>
      <c r="L84" s="390"/>
      <c r="M84" s="27"/>
      <c r="N84" s="27"/>
      <c r="O84" s="27"/>
      <c r="P84" s="27"/>
      <c r="Q84" s="27"/>
      <c r="R84" s="27"/>
    </row>
    <row r="85" spans="1:18">
      <c r="A85" s="27"/>
      <c r="B85" s="390"/>
      <c r="C85" s="384"/>
      <c r="D85" s="7"/>
      <c r="E85" s="7"/>
      <c r="F85" s="385"/>
      <c r="G85" s="384"/>
      <c r="H85" s="7"/>
      <c r="I85" s="7"/>
      <c r="J85" s="7"/>
      <c r="K85" s="385"/>
      <c r="L85" s="390"/>
      <c r="M85" s="27"/>
      <c r="N85" s="27"/>
      <c r="O85" s="27"/>
      <c r="P85" s="27"/>
      <c r="Q85" s="27"/>
      <c r="R85" s="27"/>
    </row>
    <row r="86" spans="1:18">
      <c r="A86" s="27"/>
      <c r="B86" s="390"/>
      <c r="C86" s="384"/>
      <c r="D86" s="7"/>
      <c r="E86" s="7"/>
      <c r="F86" s="385"/>
      <c r="G86" s="384"/>
      <c r="H86" s="7"/>
      <c r="I86" s="7"/>
      <c r="J86" s="7"/>
      <c r="K86" s="385"/>
      <c r="L86" s="390"/>
      <c r="M86" s="27"/>
      <c r="N86" s="27"/>
      <c r="O86" s="27"/>
      <c r="P86" s="27"/>
      <c r="Q86" s="27"/>
      <c r="R86" s="27"/>
    </row>
    <row r="87" spans="1:18">
      <c r="A87" s="27"/>
      <c r="B87" s="390"/>
      <c r="C87" s="384"/>
      <c r="D87" s="7"/>
      <c r="E87" s="7"/>
      <c r="F87" s="385"/>
      <c r="G87" s="384"/>
      <c r="H87" s="7"/>
      <c r="I87" s="7"/>
      <c r="J87" s="7"/>
      <c r="K87" s="385"/>
      <c r="L87" s="390"/>
      <c r="M87" s="27"/>
      <c r="N87" s="27"/>
      <c r="O87" s="27"/>
      <c r="P87" s="27"/>
      <c r="Q87" s="27"/>
      <c r="R87" s="27"/>
    </row>
    <row r="88" spans="1:18">
      <c r="A88" s="27"/>
      <c r="B88" s="390"/>
      <c r="C88" s="384"/>
      <c r="D88" s="7"/>
      <c r="E88" s="7"/>
      <c r="F88" s="385"/>
      <c r="G88" s="384"/>
      <c r="H88" s="7"/>
      <c r="I88" s="7"/>
      <c r="J88" s="7"/>
      <c r="K88" s="385"/>
      <c r="L88" s="390"/>
      <c r="M88" s="27"/>
      <c r="N88" s="27"/>
      <c r="O88" s="27"/>
      <c r="P88" s="27"/>
      <c r="Q88" s="27"/>
      <c r="R88" s="27"/>
    </row>
    <row r="89" spans="1:18">
      <c r="A89" s="27"/>
      <c r="B89" s="390"/>
      <c r="C89" s="384"/>
      <c r="D89" s="7"/>
      <c r="E89" s="7"/>
      <c r="F89" s="385"/>
      <c r="G89" s="384"/>
      <c r="H89" s="7"/>
      <c r="I89" s="7"/>
      <c r="J89" s="7"/>
      <c r="K89" s="385"/>
      <c r="L89" s="390"/>
      <c r="M89" s="27"/>
      <c r="N89" s="27"/>
      <c r="O89" s="27"/>
      <c r="P89" s="27"/>
      <c r="Q89" s="27"/>
      <c r="R89" s="27"/>
    </row>
    <row r="90" spans="1:18">
      <c r="A90" s="27"/>
      <c r="B90" s="390"/>
      <c r="C90" s="384"/>
      <c r="D90" s="7"/>
      <c r="E90" s="7"/>
      <c r="F90" s="385"/>
      <c r="G90" s="384"/>
      <c r="H90" s="7"/>
      <c r="I90" s="7"/>
      <c r="J90" s="7"/>
      <c r="K90" s="385"/>
      <c r="L90" s="390"/>
      <c r="M90" s="27"/>
      <c r="N90" s="27"/>
      <c r="O90" s="27"/>
      <c r="P90" s="27"/>
      <c r="Q90" s="27"/>
      <c r="R90" s="27"/>
    </row>
    <row r="91" spans="1:18">
      <c r="A91" s="27"/>
      <c r="B91" s="390"/>
      <c r="C91" s="384"/>
      <c r="D91" s="7"/>
      <c r="E91" s="7"/>
      <c r="F91" s="385"/>
      <c r="G91" s="384"/>
      <c r="H91" s="7"/>
      <c r="I91" s="7"/>
      <c r="J91" s="7"/>
      <c r="K91" s="385"/>
      <c r="L91" s="390"/>
      <c r="M91" s="27"/>
      <c r="N91" s="27"/>
      <c r="O91" s="27"/>
      <c r="P91" s="27"/>
      <c r="Q91" s="27"/>
      <c r="R91" s="27"/>
    </row>
    <row r="92" spans="1:18">
      <c r="A92" s="27"/>
      <c r="B92" s="390"/>
      <c r="C92" s="384"/>
      <c r="D92" s="7"/>
      <c r="E92" s="7"/>
      <c r="F92" s="385"/>
      <c r="G92" s="384"/>
      <c r="H92" s="7"/>
      <c r="I92" s="7"/>
      <c r="J92" s="7"/>
      <c r="K92" s="385"/>
      <c r="L92" s="390"/>
      <c r="M92" s="27"/>
      <c r="N92" s="27"/>
      <c r="O92" s="27"/>
      <c r="P92" s="27"/>
      <c r="Q92" s="27"/>
      <c r="R92" s="27"/>
    </row>
    <row r="93" spans="1:18">
      <c r="A93" s="27"/>
      <c r="B93" s="390"/>
      <c r="C93" s="384"/>
      <c r="D93" s="7"/>
      <c r="E93" s="7"/>
      <c r="F93" s="385"/>
      <c r="G93" s="384"/>
      <c r="H93" s="7"/>
      <c r="I93" s="7"/>
      <c r="J93" s="7"/>
      <c r="K93" s="385"/>
      <c r="L93" s="390"/>
      <c r="M93" s="27"/>
      <c r="N93" s="27"/>
      <c r="O93" s="27"/>
      <c r="P93" s="27"/>
      <c r="Q93" s="27"/>
      <c r="R93" s="27"/>
    </row>
    <row r="94" spans="1:18">
      <c r="A94" s="27"/>
      <c r="B94" s="390"/>
      <c r="C94" s="384"/>
      <c r="D94" s="7"/>
      <c r="E94" s="7"/>
      <c r="F94" s="385"/>
      <c r="G94" s="384"/>
      <c r="H94" s="7"/>
      <c r="I94" s="7"/>
      <c r="J94" s="7"/>
      <c r="K94" s="385"/>
      <c r="L94" s="390"/>
      <c r="M94" s="27"/>
      <c r="N94" s="27"/>
      <c r="O94" s="27"/>
      <c r="P94" s="27"/>
      <c r="Q94" s="27"/>
      <c r="R94" s="27"/>
    </row>
    <row r="95" spans="1:18">
      <c r="A95" s="27"/>
      <c r="B95" s="390"/>
      <c r="C95" s="384"/>
      <c r="D95" s="7"/>
      <c r="E95" s="7"/>
      <c r="F95" s="385"/>
      <c r="G95" s="384"/>
      <c r="H95" s="7"/>
      <c r="I95" s="7"/>
      <c r="J95" s="7"/>
      <c r="K95" s="385"/>
      <c r="L95" s="390"/>
      <c r="M95" s="27"/>
      <c r="N95" s="27"/>
      <c r="O95" s="27"/>
      <c r="P95" s="27"/>
      <c r="Q95" s="27"/>
      <c r="R95" s="27"/>
    </row>
    <row r="96" spans="1:18">
      <c r="A96" s="27"/>
      <c r="B96" s="390"/>
      <c r="C96" s="384"/>
      <c r="D96" s="7"/>
      <c r="E96" s="7"/>
      <c r="F96" s="385"/>
      <c r="G96" s="384"/>
      <c r="H96" s="7"/>
      <c r="I96" s="7"/>
      <c r="J96" s="7"/>
      <c r="K96" s="385"/>
      <c r="L96" s="390"/>
      <c r="M96" s="27"/>
      <c r="N96" s="27"/>
      <c r="O96" s="27"/>
      <c r="P96" s="27"/>
      <c r="Q96" s="27"/>
      <c r="R96" s="27"/>
    </row>
    <row r="97" spans="1:18">
      <c r="A97" s="27"/>
      <c r="B97" s="390"/>
      <c r="C97" s="384"/>
      <c r="D97" s="7"/>
      <c r="E97" s="7"/>
      <c r="F97" s="385"/>
      <c r="G97" s="384"/>
      <c r="H97" s="7"/>
      <c r="I97" s="7"/>
      <c r="J97" s="7"/>
      <c r="K97" s="385"/>
      <c r="L97" s="390"/>
      <c r="M97" s="27"/>
      <c r="N97" s="27"/>
      <c r="O97" s="27"/>
      <c r="P97" s="27"/>
      <c r="Q97" s="27"/>
      <c r="R97" s="27"/>
    </row>
    <row r="98" spans="1:18">
      <c r="A98" s="27"/>
      <c r="B98" s="390"/>
      <c r="C98" s="384"/>
      <c r="D98" s="7"/>
      <c r="E98" s="7"/>
      <c r="F98" s="385"/>
      <c r="G98" s="384"/>
      <c r="H98" s="7"/>
      <c r="I98" s="7"/>
      <c r="J98" s="7"/>
      <c r="K98" s="385"/>
      <c r="L98" s="390"/>
      <c r="M98" s="27"/>
      <c r="N98" s="27"/>
      <c r="O98" s="27"/>
      <c r="P98" s="27"/>
      <c r="Q98" s="27"/>
      <c r="R98" s="27"/>
    </row>
    <row r="99" spans="1:18">
      <c r="A99" s="27"/>
      <c r="B99" s="390"/>
      <c r="C99" s="384"/>
      <c r="D99" s="7"/>
      <c r="E99" s="7"/>
      <c r="F99" s="385"/>
      <c r="G99" s="384"/>
      <c r="H99" s="7"/>
      <c r="I99" s="7"/>
      <c r="J99" s="7"/>
      <c r="K99" s="385"/>
      <c r="L99" s="390"/>
      <c r="M99" s="27"/>
      <c r="N99" s="27"/>
      <c r="O99" s="27"/>
      <c r="P99" s="27"/>
      <c r="Q99" s="27"/>
      <c r="R99" s="27"/>
    </row>
    <row r="100" spans="1:18">
      <c r="A100" s="27"/>
      <c r="B100" s="390"/>
      <c r="C100" s="384"/>
      <c r="D100" s="7"/>
      <c r="E100" s="7"/>
      <c r="F100" s="385"/>
      <c r="G100" s="384"/>
      <c r="H100" s="7"/>
      <c r="I100" s="7"/>
      <c r="J100" s="7"/>
      <c r="K100" s="385"/>
      <c r="L100" s="390"/>
      <c r="M100" s="27"/>
      <c r="N100" s="27"/>
      <c r="O100" s="27"/>
      <c r="P100" s="27"/>
      <c r="Q100" s="27"/>
      <c r="R100" s="27"/>
    </row>
    <row r="101" spans="1:18">
      <c r="A101" s="27"/>
      <c r="B101" s="390"/>
      <c r="C101" s="384"/>
      <c r="D101" s="7"/>
      <c r="E101" s="7"/>
      <c r="F101" s="385"/>
      <c r="G101" s="384"/>
      <c r="H101" s="7"/>
      <c r="I101" s="7"/>
      <c r="J101" s="7"/>
      <c r="K101" s="385"/>
      <c r="L101" s="390"/>
      <c r="M101" s="27"/>
      <c r="N101" s="27"/>
      <c r="O101" s="27"/>
      <c r="P101" s="27"/>
      <c r="Q101" s="27"/>
      <c r="R101" s="27"/>
    </row>
    <row r="102" spans="1:18">
      <c r="A102" s="27"/>
      <c r="B102" s="390"/>
      <c r="C102" s="384"/>
      <c r="D102" s="7"/>
      <c r="E102" s="7"/>
      <c r="F102" s="385"/>
      <c r="G102" s="384"/>
      <c r="H102" s="7"/>
      <c r="I102" s="7"/>
      <c r="J102" s="7"/>
      <c r="K102" s="385"/>
      <c r="L102" s="390"/>
      <c r="M102" s="27"/>
      <c r="N102" s="27"/>
      <c r="O102" s="27"/>
      <c r="P102" s="27"/>
      <c r="Q102" s="27"/>
      <c r="R102" s="27"/>
    </row>
    <row r="103" spans="1:18">
      <c r="A103" s="27"/>
      <c r="B103" s="390"/>
      <c r="C103" s="384"/>
      <c r="D103" s="7"/>
      <c r="E103" s="7"/>
      <c r="F103" s="385"/>
      <c r="G103" s="384"/>
      <c r="H103" s="7"/>
      <c r="I103" s="7"/>
      <c r="J103" s="7"/>
      <c r="K103" s="385"/>
      <c r="L103" s="390"/>
      <c r="M103" s="27"/>
      <c r="N103" s="27"/>
      <c r="O103" s="27"/>
      <c r="P103" s="27"/>
      <c r="Q103" s="27"/>
      <c r="R103" s="27"/>
    </row>
    <row r="104" spans="1:18" ht="15" thickBot="1">
      <c r="A104" s="27"/>
      <c r="B104" s="391"/>
      <c r="C104" s="386"/>
      <c r="D104" s="387"/>
      <c r="E104" s="387"/>
      <c r="F104" s="388"/>
      <c r="G104" s="386"/>
      <c r="H104" s="387"/>
      <c r="I104" s="387"/>
      <c r="J104" s="387"/>
      <c r="K104" s="388"/>
      <c r="L104" s="391"/>
      <c r="M104" s="27"/>
      <c r="N104" s="27"/>
      <c r="O104" s="27"/>
      <c r="P104" s="27"/>
      <c r="Q104" s="27"/>
      <c r="R104" s="27"/>
    </row>
    <row r="105" spans="1:18">
      <c r="A105" s="27"/>
      <c r="B105" s="27"/>
      <c r="C105" s="27"/>
      <c r="D105" s="27"/>
      <c r="E105" s="27"/>
      <c r="F105" s="27"/>
      <c r="G105" s="27"/>
      <c r="H105" s="27"/>
      <c r="I105" s="27"/>
      <c r="J105" s="27"/>
      <c r="K105" s="27"/>
      <c r="L105" s="27"/>
      <c r="M105" s="27"/>
      <c r="N105" s="27"/>
      <c r="O105" s="27"/>
      <c r="P105" s="27"/>
      <c r="Q105" s="27"/>
      <c r="R105" s="27"/>
    </row>
    <row r="106" spans="1:18">
      <c r="A106" s="27"/>
      <c r="B106" s="27"/>
      <c r="C106" s="27"/>
      <c r="D106" s="27"/>
      <c r="E106" s="27"/>
      <c r="F106" s="27"/>
      <c r="G106" s="27"/>
      <c r="H106" s="27"/>
      <c r="I106" s="27"/>
      <c r="J106" s="27"/>
      <c r="K106" s="27"/>
      <c r="L106" s="27"/>
      <c r="M106" s="27"/>
      <c r="N106" s="27"/>
      <c r="O106" s="27"/>
      <c r="P106" s="27"/>
      <c r="Q106" s="27"/>
      <c r="R106" s="27"/>
    </row>
    <row r="107" spans="1:18">
      <c r="A107" s="27"/>
      <c r="B107" s="27"/>
      <c r="C107" s="27"/>
      <c r="D107" s="27"/>
      <c r="E107" s="27"/>
      <c r="F107" s="27"/>
      <c r="G107" s="27"/>
      <c r="H107" s="27"/>
      <c r="I107" s="27"/>
      <c r="J107" s="27"/>
      <c r="K107" s="27"/>
      <c r="L107" s="27"/>
      <c r="M107" s="27"/>
      <c r="N107" s="27"/>
      <c r="O107" s="27"/>
      <c r="P107" s="27"/>
      <c r="Q107" s="27"/>
      <c r="R107" s="27"/>
    </row>
    <row r="108" spans="1:18">
      <c r="A108" s="27"/>
      <c r="B108" s="27"/>
      <c r="C108" s="27"/>
      <c r="D108" s="27"/>
      <c r="E108" s="27"/>
      <c r="F108" s="27"/>
      <c r="G108" s="27"/>
      <c r="H108" s="27"/>
      <c r="I108" s="27"/>
      <c r="J108" s="27"/>
      <c r="K108" s="27"/>
      <c r="L108" s="27"/>
      <c r="M108" s="27"/>
      <c r="N108" s="27"/>
      <c r="O108" s="27"/>
      <c r="P108" s="27"/>
      <c r="Q108" s="27"/>
      <c r="R108" s="27"/>
    </row>
    <row r="109" spans="1:18">
      <c r="A109" s="27"/>
      <c r="B109" s="27"/>
      <c r="C109" s="27"/>
      <c r="D109" s="27"/>
      <c r="E109" s="27"/>
      <c r="F109" s="27"/>
      <c r="G109" s="27"/>
      <c r="H109" s="27"/>
      <c r="I109" s="27"/>
      <c r="J109" s="27"/>
      <c r="K109" s="27"/>
      <c r="L109" s="27"/>
      <c r="M109" s="27"/>
      <c r="N109" s="27"/>
      <c r="O109" s="27"/>
      <c r="P109" s="27"/>
      <c r="Q109" s="27"/>
      <c r="R109" s="27"/>
    </row>
    <row r="110" spans="1:18">
      <c r="A110" s="27"/>
      <c r="B110" s="27"/>
      <c r="C110" s="27"/>
      <c r="D110" s="27"/>
      <c r="E110" s="27"/>
      <c r="F110" s="27"/>
      <c r="G110" s="27"/>
      <c r="H110" s="27"/>
      <c r="I110" s="27"/>
      <c r="J110" s="27"/>
      <c r="K110" s="27"/>
      <c r="L110" s="27"/>
      <c r="M110" s="27"/>
      <c r="N110" s="27"/>
      <c r="O110" s="27"/>
      <c r="P110" s="27"/>
      <c r="Q110" s="27"/>
      <c r="R110" s="27"/>
    </row>
    <row r="111" spans="1:18">
      <c r="A111" s="27"/>
      <c r="B111" s="27"/>
      <c r="C111" s="27"/>
      <c r="D111" s="27"/>
      <c r="E111" s="27"/>
      <c r="F111" s="27"/>
      <c r="G111" s="27"/>
      <c r="H111" s="27"/>
      <c r="I111" s="27"/>
      <c r="J111" s="27"/>
      <c r="K111" s="27"/>
      <c r="L111" s="27"/>
      <c r="M111" s="27"/>
      <c r="N111" s="27"/>
      <c r="O111" s="27"/>
      <c r="P111" s="27"/>
      <c r="Q111" s="27"/>
      <c r="R111" s="27"/>
    </row>
    <row r="112" spans="1:18">
      <c r="A112" s="27"/>
      <c r="B112" s="27"/>
      <c r="C112" s="27"/>
      <c r="D112" s="27"/>
      <c r="E112" s="27"/>
      <c r="F112" s="27"/>
      <c r="G112" s="27"/>
      <c r="H112" s="27"/>
      <c r="I112" s="27"/>
      <c r="J112" s="27"/>
      <c r="K112" s="27"/>
      <c r="L112" s="27"/>
      <c r="M112" s="27"/>
      <c r="N112" s="27"/>
      <c r="O112" s="27"/>
      <c r="P112" s="27"/>
      <c r="Q112" s="27"/>
      <c r="R112" s="27"/>
    </row>
    <row r="113" spans="1:18">
      <c r="A113" s="27"/>
      <c r="B113" s="27"/>
      <c r="C113" s="27"/>
      <c r="D113" s="27"/>
      <c r="E113" s="27"/>
      <c r="F113" s="27"/>
      <c r="G113" s="27"/>
      <c r="H113" s="27"/>
      <c r="I113" s="27"/>
      <c r="J113" s="27"/>
      <c r="K113" s="27"/>
      <c r="L113" s="27"/>
      <c r="M113" s="27"/>
      <c r="N113" s="27"/>
      <c r="O113" s="27"/>
      <c r="P113" s="27"/>
      <c r="Q113" s="27"/>
      <c r="R113" s="27"/>
    </row>
    <row r="114" spans="1:18">
      <c r="A114" s="27"/>
      <c r="B114" s="27"/>
      <c r="C114" s="27"/>
      <c r="D114" s="27"/>
      <c r="E114" s="27"/>
      <c r="F114" s="27"/>
      <c r="G114" s="27"/>
      <c r="H114" s="27"/>
      <c r="I114" s="27"/>
      <c r="J114" s="27"/>
      <c r="K114" s="27"/>
      <c r="L114" s="27"/>
      <c r="M114" s="27"/>
      <c r="N114" s="27"/>
      <c r="O114" s="27"/>
      <c r="P114" s="27"/>
      <c r="Q114" s="27"/>
      <c r="R114" s="27"/>
    </row>
    <row r="115" spans="1:18">
      <c r="A115" s="27"/>
      <c r="B115" s="27"/>
      <c r="C115" s="27"/>
      <c r="D115" s="27"/>
      <c r="E115" s="27"/>
      <c r="F115" s="27"/>
      <c r="G115" s="27"/>
      <c r="H115" s="27"/>
      <c r="I115" s="27"/>
      <c r="J115" s="27"/>
      <c r="K115" s="27"/>
      <c r="L115" s="27"/>
      <c r="M115" s="27"/>
      <c r="N115" s="27"/>
      <c r="O115" s="27"/>
      <c r="P115" s="27"/>
      <c r="Q115" s="27"/>
      <c r="R115" s="27"/>
    </row>
    <row r="116" spans="1:18">
      <c r="A116" s="27"/>
      <c r="B116" s="27"/>
      <c r="C116" s="27"/>
      <c r="D116" s="27"/>
      <c r="E116" s="27"/>
      <c r="F116" s="27"/>
      <c r="G116" s="27"/>
      <c r="H116" s="27"/>
      <c r="I116" s="27"/>
      <c r="J116" s="27"/>
      <c r="K116" s="27"/>
      <c r="L116" s="27"/>
      <c r="M116" s="27"/>
      <c r="N116" s="27"/>
      <c r="O116" s="27"/>
      <c r="P116" s="27"/>
      <c r="Q116" s="27"/>
      <c r="R116" s="27"/>
    </row>
    <row r="117" spans="1:18">
      <c r="A117" s="27"/>
      <c r="B117" s="27"/>
      <c r="C117" s="27"/>
      <c r="D117" s="27"/>
      <c r="E117" s="27"/>
      <c r="F117" s="27"/>
      <c r="G117" s="27"/>
      <c r="H117" s="27"/>
      <c r="I117" s="27"/>
      <c r="J117" s="27"/>
      <c r="K117" s="27"/>
      <c r="L117" s="27"/>
      <c r="M117" s="27"/>
      <c r="N117" s="27"/>
      <c r="O117" s="27"/>
      <c r="P117" s="27"/>
      <c r="Q117" s="27"/>
      <c r="R117" s="27"/>
    </row>
    <row r="118" spans="1:18">
      <c r="A118" s="27"/>
      <c r="B118" s="27"/>
      <c r="C118" s="27"/>
      <c r="D118" s="27"/>
      <c r="E118" s="27"/>
      <c r="F118" s="27"/>
      <c r="G118" s="27"/>
      <c r="H118" s="27"/>
      <c r="I118" s="27"/>
      <c r="J118" s="27"/>
      <c r="K118" s="27"/>
      <c r="L118" s="27"/>
      <c r="M118" s="27"/>
      <c r="N118" s="27"/>
      <c r="O118" s="27"/>
      <c r="P118" s="27"/>
      <c r="Q118" s="27"/>
      <c r="R118" s="27"/>
    </row>
    <row r="119" spans="1:18">
      <c r="A119" s="27"/>
      <c r="B119" s="27"/>
      <c r="C119" s="27"/>
      <c r="D119" s="27"/>
      <c r="E119" s="27"/>
      <c r="F119" s="27"/>
      <c r="G119" s="27"/>
      <c r="H119" s="27"/>
      <c r="I119" s="27"/>
      <c r="J119" s="27"/>
      <c r="K119" s="27"/>
      <c r="L119" s="27"/>
      <c r="M119" s="27"/>
      <c r="N119" s="27"/>
      <c r="O119" s="27"/>
      <c r="P119" s="27"/>
      <c r="Q119" s="27"/>
      <c r="R119" s="27"/>
    </row>
    <row r="120" spans="1:18">
      <c r="A120" s="27"/>
      <c r="B120" s="27"/>
      <c r="C120" s="27"/>
      <c r="D120" s="27"/>
      <c r="E120" s="27"/>
      <c r="F120" s="27"/>
      <c r="G120" s="27"/>
      <c r="H120" s="27"/>
      <c r="I120" s="27"/>
      <c r="J120" s="27"/>
      <c r="K120" s="27"/>
      <c r="L120" s="27"/>
      <c r="M120" s="27"/>
      <c r="N120" s="27"/>
      <c r="O120" s="27"/>
      <c r="P120" s="27"/>
      <c r="Q120" s="27"/>
      <c r="R120" s="27"/>
    </row>
    <row r="121" spans="1:18">
      <c r="A121" s="27"/>
      <c r="B121" s="27"/>
      <c r="C121" s="27"/>
      <c r="D121" s="27"/>
      <c r="E121" s="27"/>
      <c r="F121" s="27"/>
      <c r="G121" s="27"/>
      <c r="H121" s="27"/>
      <c r="I121" s="27"/>
      <c r="J121" s="27"/>
      <c r="K121" s="27"/>
      <c r="L121" s="27"/>
      <c r="M121" s="27"/>
      <c r="N121" s="27"/>
      <c r="O121" s="27"/>
      <c r="P121" s="27"/>
      <c r="Q121" s="27"/>
      <c r="R121" s="27"/>
    </row>
    <row r="122" spans="1:18">
      <c r="A122" s="27"/>
      <c r="B122" s="27"/>
      <c r="C122" s="27"/>
      <c r="D122" s="27"/>
      <c r="E122" s="27"/>
      <c r="F122" s="27"/>
      <c r="G122" s="27"/>
      <c r="H122" s="27"/>
      <c r="I122" s="27"/>
      <c r="J122" s="27"/>
      <c r="K122" s="27"/>
      <c r="L122" s="27"/>
      <c r="M122" s="27"/>
      <c r="N122" s="27"/>
      <c r="O122" s="27"/>
      <c r="P122" s="27"/>
      <c r="Q122" s="27"/>
      <c r="R122" s="27"/>
    </row>
    <row r="123" spans="1:18">
      <c r="A123" s="27"/>
      <c r="B123" s="27"/>
      <c r="C123" s="27"/>
      <c r="D123" s="27"/>
      <c r="E123" s="27"/>
      <c r="F123" s="27"/>
      <c r="G123" s="27"/>
      <c r="H123" s="27"/>
      <c r="I123" s="27"/>
      <c r="J123" s="27"/>
      <c r="K123" s="27"/>
      <c r="L123" s="27"/>
      <c r="M123" s="27"/>
      <c r="N123" s="27"/>
      <c r="O123" s="27"/>
      <c r="P123" s="27"/>
      <c r="Q123" s="27"/>
      <c r="R123" s="27"/>
    </row>
    <row r="124" spans="1:18">
      <c r="A124" s="27"/>
      <c r="B124" s="27"/>
      <c r="C124" s="27"/>
      <c r="D124" s="27"/>
      <c r="E124" s="27"/>
      <c r="F124" s="27"/>
      <c r="G124" s="27"/>
      <c r="H124" s="27"/>
      <c r="I124" s="27"/>
      <c r="J124" s="27"/>
      <c r="K124" s="27"/>
      <c r="L124" s="27"/>
      <c r="M124" s="27"/>
      <c r="N124" s="27"/>
      <c r="O124" s="27"/>
      <c r="P124" s="27"/>
      <c r="Q124" s="27"/>
      <c r="R124" s="27"/>
    </row>
    <row r="125" spans="1:18">
      <c r="A125" s="27"/>
      <c r="B125" s="27"/>
      <c r="C125" s="27"/>
      <c r="D125" s="27"/>
      <c r="E125" s="27"/>
      <c r="F125" s="27"/>
      <c r="G125" s="27"/>
      <c r="H125" s="27"/>
      <c r="I125" s="27"/>
      <c r="J125" s="27"/>
      <c r="K125" s="27"/>
      <c r="L125" s="27"/>
      <c r="M125" s="27"/>
      <c r="N125" s="27"/>
      <c r="O125" s="27"/>
      <c r="P125" s="27"/>
      <c r="Q125" s="27"/>
      <c r="R125" s="27"/>
    </row>
    <row r="126" spans="1:18">
      <c r="A126" s="27"/>
      <c r="B126" s="27"/>
      <c r="C126" s="27"/>
      <c r="D126" s="27"/>
      <c r="E126" s="27"/>
      <c r="F126" s="27"/>
      <c r="G126" s="27"/>
      <c r="H126" s="27"/>
      <c r="I126" s="27"/>
      <c r="J126" s="27"/>
      <c r="K126" s="27"/>
      <c r="L126" s="27"/>
      <c r="M126" s="27"/>
      <c r="N126" s="27"/>
      <c r="O126" s="27"/>
      <c r="P126" s="27"/>
      <c r="Q126" s="27"/>
      <c r="R126" s="27"/>
    </row>
    <row r="127" spans="1:18">
      <c r="A127" s="27"/>
      <c r="B127" s="27"/>
      <c r="C127" s="27"/>
      <c r="D127" s="27"/>
      <c r="E127" s="27"/>
      <c r="F127" s="27"/>
      <c r="G127" s="27"/>
      <c r="H127" s="27"/>
      <c r="I127" s="27"/>
      <c r="J127" s="27"/>
      <c r="K127" s="27"/>
      <c r="L127" s="27"/>
      <c r="M127" s="27"/>
      <c r="N127" s="27"/>
      <c r="O127" s="27"/>
      <c r="P127" s="27"/>
      <c r="Q127" s="27"/>
      <c r="R127" s="27"/>
    </row>
    <row r="128" spans="1:18">
      <c r="A128" s="27"/>
      <c r="B128" s="27"/>
      <c r="C128" s="27"/>
      <c r="D128" s="27"/>
      <c r="E128" s="27"/>
      <c r="F128" s="27"/>
      <c r="G128" s="27"/>
      <c r="H128" s="27"/>
      <c r="I128" s="27"/>
      <c r="J128" s="27"/>
      <c r="K128" s="27"/>
      <c r="L128" s="27"/>
      <c r="M128" s="27"/>
      <c r="N128" s="27"/>
      <c r="O128" s="27"/>
      <c r="P128" s="27"/>
      <c r="Q128" s="27"/>
      <c r="R128" s="27"/>
    </row>
    <row r="129" spans="1:18">
      <c r="A129" s="27"/>
      <c r="B129" s="27"/>
      <c r="C129" s="27"/>
      <c r="D129" s="27"/>
      <c r="E129" s="27"/>
      <c r="F129" s="27"/>
      <c r="G129" s="27"/>
      <c r="H129" s="27"/>
      <c r="I129" s="27"/>
      <c r="J129" s="27"/>
      <c r="K129" s="27"/>
      <c r="L129" s="27"/>
      <c r="M129" s="27"/>
      <c r="N129" s="27"/>
      <c r="O129" s="27"/>
      <c r="P129" s="27"/>
      <c r="Q129" s="27"/>
      <c r="R129" s="27"/>
    </row>
    <row r="130" spans="1:18" hidden="1">
      <c r="K130" s="27"/>
      <c r="L130" s="27"/>
      <c r="M130" s="27"/>
      <c r="N130" s="27"/>
      <c r="O130" s="27"/>
      <c r="P130" s="27"/>
      <c r="Q130" s="27"/>
      <c r="R130" s="27"/>
    </row>
    <row r="131" spans="1:18" hidden="1">
      <c r="K131" s="27"/>
      <c r="L131" s="27"/>
      <c r="M131" s="27"/>
      <c r="N131" s="27"/>
      <c r="O131" s="27"/>
      <c r="P131" s="27"/>
      <c r="Q131" s="27"/>
      <c r="R131" s="27"/>
    </row>
    <row r="132" spans="1:18" hidden="1">
      <c r="K132" s="27"/>
      <c r="L132" s="27"/>
      <c r="M132" s="27"/>
      <c r="N132" s="27"/>
      <c r="O132" s="27"/>
      <c r="P132" s="27"/>
      <c r="Q132" s="27"/>
      <c r="R132" s="27"/>
    </row>
    <row r="133" spans="1:18" hidden="1">
      <c r="K133" s="27"/>
      <c r="L133" s="27"/>
      <c r="M133" s="27"/>
      <c r="N133" s="27"/>
      <c r="O133" s="27"/>
      <c r="P133" s="27"/>
      <c r="Q133" s="27"/>
      <c r="R133" s="27"/>
    </row>
    <row r="134" spans="1:18" hidden="1">
      <c r="K134" s="27"/>
      <c r="L134" s="27"/>
      <c r="M134" s="27"/>
      <c r="N134" s="27"/>
      <c r="O134" s="27"/>
      <c r="P134" s="27"/>
      <c r="Q134" s="27"/>
      <c r="R134" s="27"/>
    </row>
  </sheetData>
  <sheetProtection algorithmName="SHA-512" hashValue="J4a1aM1QmQO9pzgtIZSfeY69Quv0ZwolvWqJbwH+dqgx2Ttcs7mejHz1fITRBYzlw3Vt2arWqJ2w3PAFc81B3A==" saltValue="mY1DFymuaQHCpW8rEudyUA==" spinCount="100000" sheet="1" objects="1" scenarios="1"/>
  <autoFilter ref="C4:K83" xr:uid="{E552320D-03F4-40A5-8ECA-D756F1A8018E}"/>
  <mergeCells count="10">
    <mergeCell ref="L3:L5"/>
    <mergeCell ref="G3:K3"/>
    <mergeCell ref="C3:F3"/>
    <mergeCell ref="B3:B5"/>
    <mergeCell ref="K4:K5"/>
    <mergeCell ref="J4:J5"/>
    <mergeCell ref="F4:F5"/>
    <mergeCell ref="E4:E5"/>
    <mergeCell ref="D4:D5"/>
    <mergeCell ref="C4:C5"/>
  </mergeCells>
  <conditionalFormatting sqref="E89:E104">
    <cfRule type="cellIs" dxfId="69"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7030A0"/>
  </sheetPr>
  <dimension ref="A1:AA416"/>
  <sheetViews>
    <sheetView zoomScale="80" zoomScaleNormal="80" workbookViewId="0">
      <selection activeCell="Y384" sqref="Y384"/>
    </sheetView>
  </sheetViews>
  <sheetFormatPr defaultColWidth="0" defaultRowHeight="14.45" zeroHeight="1"/>
  <cols>
    <col min="1" max="1" width="25.28515625" customWidth="1"/>
    <col min="2" max="2" width="8.85546875" customWidth="1"/>
    <col min="3" max="3" width="42" customWidth="1"/>
    <col min="4" max="4" width="18.85546875" customWidth="1"/>
    <col min="5" max="5" width="32.42578125" customWidth="1"/>
    <col min="6" max="6" width="18.7109375" customWidth="1"/>
    <col min="7" max="7" width="32" bestFit="1" customWidth="1"/>
    <col min="8" max="8" width="8.85546875" customWidth="1"/>
    <col min="9" max="9" width="82.42578125" bestFit="1" customWidth="1"/>
    <col min="10" max="10" width="13.85546875" customWidth="1"/>
    <col min="11" max="11" width="35.28515625" bestFit="1" customWidth="1"/>
    <col min="12" max="12" width="8.85546875" customWidth="1"/>
    <col min="13" max="13" width="48.5703125" bestFit="1" customWidth="1"/>
    <col min="14" max="14" width="8.85546875" customWidth="1"/>
    <col min="15" max="15" width="33.5703125" bestFit="1" customWidth="1"/>
    <col min="16" max="16" width="8.85546875" customWidth="1"/>
    <col min="17" max="17" width="38" bestFit="1" customWidth="1"/>
    <col min="18" max="18" width="8.85546875" customWidth="1"/>
    <col min="19" max="19" width="35.7109375" bestFit="1" customWidth="1"/>
    <col min="20" max="20" width="8.85546875" customWidth="1"/>
    <col min="21" max="21" width="51.85546875" bestFit="1" customWidth="1"/>
    <col min="22" max="22" width="12" bestFit="1" customWidth="1"/>
    <col min="23" max="23" width="81.7109375" bestFit="1" customWidth="1"/>
    <col min="24" max="24" width="61.28515625" bestFit="1" customWidth="1"/>
    <col min="25" max="25" width="47.85546875" bestFit="1" customWidth="1"/>
    <col min="26" max="26" width="17" bestFit="1" customWidth="1"/>
    <col min="27" max="27" width="50.42578125" customWidth="1"/>
    <col min="28" max="16384" width="8.85546875" hidden="1"/>
  </cols>
  <sheetData>
    <row r="1" spans="1:27">
      <c r="A1" s="70" t="s">
        <v>448</v>
      </c>
      <c r="B1" s="27"/>
      <c r="C1" s="70" t="s">
        <v>239</v>
      </c>
      <c r="D1" s="27"/>
      <c r="E1" s="70" t="s">
        <v>112</v>
      </c>
      <c r="F1" s="27"/>
      <c r="G1" s="70" t="s">
        <v>449</v>
      </c>
      <c r="H1" s="27"/>
      <c r="I1" s="70" t="s">
        <v>450</v>
      </c>
      <c r="J1" s="27"/>
      <c r="K1" s="70" t="s">
        <v>451</v>
      </c>
      <c r="L1" s="27"/>
      <c r="M1" s="70" t="s">
        <v>245</v>
      </c>
      <c r="N1" s="27"/>
      <c r="O1" s="70" t="s">
        <v>452</v>
      </c>
      <c r="P1" s="27"/>
      <c r="Q1" s="70" t="s">
        <v>117</v>
      </c>
      <c r="R1" s="27"/>
      <c r="S1" s="70" t="s">
        <v>453</v>
      </c>
      <c r="T1" s="27"/>
      <c r="U1" s="70" t="s">
        <v>260</v>
      </c>
      <c r="V1" s="27"/>
      <c r="W1" s="70" t="s">
        <v>454</v>
      </c>
      <c r="X1" s="27"/>
      <c r="Y1" s="70" t="s">
        <v>270</v>
      </c>
      <c r="Z1" s="27"/>
      <c r="AA1" s="70" t="s">
        <v>455</v>
      </c>
    </row>
    <row r="2" spans="1:27">
      <c r="A2" s="69" t="s">
        <v>239</v>
      </c>
      <c r="B2" s="27"/>
      <c r="C2" s="69" t="s">
        <v>323</v>
      </c>
      <c r="D2" s="27"/>
      <c r="E2" s="69" t="s">
        <v>336</v>
      </c>
      <c r="F2" s="27"/>
      <c r="G2" s="69" t="s">
        <v>339</v>
      </c>
      <c r="H2" s="27"/>
      <c r="I2" s="69" t="s">
        <v>384</v>
      </c>
      <c r="J2" s="27"/>
      <c r="K2" s="69" t="s">
        <v>374</v>
      </c>
      <c r="L2" s="27"/>
      <c r="M2" s="69" t="s">
        <v>346</v>
      </c>
      <c r="N2" s="27"/>
      <c r="O2" s="69" t="s">
        <v>350</v>
      </c>
      <c r="P2" s="27"/>
      <c r="Q2" s="69" t="s">
        <v>352</v>
      </c>
      <c r="R2" s="27"/>
      <c r="S2" s="69" t="s">
        <v>370</v>
      </c>
      <c r="T2" s="27"/>
      <c r="U2" s="69" t="s">
        <v>261</v>
      </c>
      <c r="V2" s="27"/>
      <c r="W2" s="69" t="s">
        <v>391</v>
      </c>
      <c r="X2" s="27"/>
      <c r="Y2" s="69" t="s">
        <v>397</v>
      </c>
      <c r="Z2" s="27"/>
      <c r="AA2" s="71" t="s">
        <v>375</v>
      </c>
    </row>
    <row r="3" spans="1:27">
      <c r="A3" s="69" t="s">
        <v>112</v>
      </c>
      <c r="B3" s="27"/>
      <c r="C3" s="69" t="s">
        <v>325</v>
      </c>
      <c r="D3" s="27"/>
      <c r="E3" s="69" t="s">
        <v>113</v>
      </c>
      <c r="F3" s="27"/>
      <c r="G3" s="69" t="s">
        <v>340</v>
      </c>
      <c r="H3" s="27"/>
      <c r="I3" s="69" t="s">
        <v>385</v>
      </c>
      <c r="J3" s="27"/>
      <c r="K3" s="69" t="s">
        <v>376</v>
      </c>
      <c r="L3" s="27"/>
      <c r="M3" s="69" t="s">
        <v>348</v>
      </c>
      <c r="N3" s="27"/>
      <c r="O3" s="71" t="s">
        <v>351</v>
      </c>
      <c r="P3" s="27"/>
      <c r="Q3" s="69" t="s">
        <v>119</v>
      </c>
      <c r="R3" s="27"/>
      <c r="S3" s="69" t="s">
        <v>371</v>
      </c>
      <c r="T3" s="27"/>
      <c r="U3" s="69" t="s">
        <v>387</v>
      </c>
      <c r="V3" s="27"/>
      <c r="W3" s="69" t="s">
        <v>392</v>
      </c>
      <c r="X3" s="27"/>
      <c r="Y3" s="69" t="s">
        <v>398</v>
      </c>
      <c r="Z3" s="27"/>
      <c r="AA3" s="71"/>
    </row>
    <row r="4" spans="1:27">
      <c r="A4" s="69" t="s">
        <v>115</v>
      </c>
      <c r="B4" s="27"/>
      <c r="C4" s="69" t="s">
        <v>326</v>
      </c>
      <c r="D4" s="27"/>
      <c r="E4" s="69" t="s">
        <v>337</v>
      </c>
      <c r="F4" s="27"/>
      <c r="G4" s="69" t="s">
        <v>341</v>
      </c>
      <c r="H4" s="27"/>
      <c r="I4" s="69" t="s">
        <v>386</v>
      </c>
      <c r="J4" s="27"/>
      <c r="K4" s="69" t="s">
        <v>377</v>
      </c>
      <c r="L4" s="27"/>
      <c r="M4" s="71" t="s">
        <v>349</v>
      </c>
      <c r="N4" s="27"/>
      <c r="O4" s="18"/>
      <c r="P4" s="27"/>
      <c r="Q4" s="69" t="s">
        <v>355</v>
      </c>
      <c r="R4" s="27"/>
      <c r="S4" s="69" t="s">
        <v>372</v>
      </c>
      <c r="T4" s="27"/>
      <c r="U4" s="69" t="s">
        <v>388</v>
      </c>
      <c r="V4" s="27"/>
      <c r="W4" s="69" t="s">
        <v>393</v>
      </c>
      <c r="X4" s="27"/>
      <c r="Y4" s="69" t="s">
        <v>395</v>
      </c>
      <c r="Z4" s="27"/>
      <c r="AA4" s="18"/>
    </row>
    <row r="5" spans="1:27">
      <c r="A5" s="69" t="s">
        <v>243</v>
      </c>
      <c r="B5" s="27"/>
      <c r="C5" s="69" t="s">
        <v>327</v>
      </c>
      <c r="D5" s="27"/>
      <c r="E5" s="69" t="s">
        <v>141</v>
      </c>
      <c r="F5" s="27"/>
      <c r="G5" s="69" t="s">
        <v>342</v>
      </c>
      <c r="H5" s="27"/>
      <c r="I5" s="69"/>
      <c r="J5" s="27"/>
      <c r="K5" s="69" t="s">
        <v>378</v>
      </c>
      <c r="L5" s="27"/>
      <c r="M5" s="18"/>
      <c r="N5" s="27"/>
      <c r="O5" s="18"/>
      <c r="P5" s="27"/>
      <c r="Q5" s="69" t="s">
        <v>356</v>
      </c>
      <c r="R5" s="27"/>
      <c r="S5" s="69" t="s">
        <v>373</v>
      </c>
      <c r="T5" s="27"/>
      <c r="U5" s="69" t="s">
        <v>389</v>
      </c>
      <c r="V5" s="27"/>
      <c r="W5" s="69" t="s">
        <v>394</v>
      </c>
      <c r="X5" s="27"/>
      <c r="Y5" s="69"/>
      <c r="Z5" s="27"/>
      <c r="AA5" s="18"/>
    </row>
    <row r="6" spans="1:27">
      <c r="A6" s="69" t="s">
        <v>244</v>
      </c>
      <c r="B6" s="27"/>
      <c r="C6" s="69" t="s">
        <v>328</v>
      </c>
      <c r="D6" s="27"/>
      <c r="E6" s="71" t="s">
        <v>338</v>
      </c>
      <c r="F6" s="27"/>
      <c r="G6" s="69" t="s">
        <v>343</v>
      </c>
      <c r="H6" s="27"/>
      <c r="I6" s="69"/>
      <c r="J6" s="27"/>
      <c r="K6" s="69" t="s">
        <v>379</v>
      </c>
      <c r="L6" s="27"/>
      <c r="M6" s="18"/>
      <c r="N6" s="27"/>
      <c r="O6" s="18"/>
      <c r="P6" s="27"/>
      <c r="Q6" s="69" t="s">
        <v>357</v>
      </c>
      <c r="R6" s="27"/>
      <c r="S6" s="18"/>
      <c r="T6" s="27"/>
      <c r="U6" s="69" t="s">
        <v>390</v>
      </c>
      <c r="V6" s="27"/>
      <c r="W6" s="69"/>
      <c r="X6" s="27"/>
      <c r="Y6" s="69"/>
      <c r="Z6" s="27"/>
      <c r="AA6" s="18"/>
    </row>
    <row r="7" spans="1:27">
      <c r="A7" s="69" t="s">
        <v>245</v>
      </c>
      <c r="B7" s="27"/>
      <c r="C7" s="69" t="s">
        <v>330</v>
      </c>
      <c r="D7" s="27"/>
      <c r="E7" s="18"/>
      <c r="F7" s="27"/>
      <c r="G7" s="69" t="s">
        <v>116</v>
      </c>
      <c r="H7" s="27"/>
      <c r="I7" s="71"/>
      <c r="J7" s="27"/>
      <c r="K7" s="69" t="s">
        <v>380</v>
      </c>
      <c r="L7" s="27"/>
      <c r="M7" s="18"/>
      <c r="N7" s="27"/>
      <c r="O7" s="18"/>
      <c r="P7" s="27"/>
      <c r="Q7" s="69" t="s">
        <v>358</v>
      </c>
      <c r="R7" s="27"/>
      <c r="S7" s="18"/>
      <c r="T7" s="27"/>
      <c r="U7" s="71"/>
      <c r="V7" s="27"/>
      <c r="W7" s="69"/>
      <c r="X7" s="27"/>
      <c r="Y7" s="69"/>
      <c r="Z7" s="27"/>
      <c r="AA7" s="18"/>
    </row>
    <row r="8" spans="1:27">
      <c r="A8" s="69" t="s">
        <v>246</v>
      </c>
      <c r="B8" s="27"/>
      <c r="C8" s="69" t="s">
        <v>331</v>
      </c>
      <c r="D8" s="27"/>
      <c r="E8" s="18"/>
      <c r="F8" s="27"/>
      <c r="G8" s="69" t="s">
        <v>344</v>
      </c>
      <c r="H8" s="27"/>
      <c r="I8" s="18"/>
      <c r="J8" s="27"/>
      <c r="K8" s="71" t="s">
        <v>381</v>
      </c>
      <c r="L8" s="27"/>
      <c r="M8" s="18"/>
      <c r="N8" s="27"/>
      <c r="O8" s="18"/>
      <c r="P8" s="27"/>
      <c r="Q8" s="69" t="s">
        <v>118</v>
      </c>
      <c r="R8" s="27"/>
      <c r="S8" s="18"/>
      <c r="T8" s="27"/>
      <c r="U8" s="18"/>
      <c r="V8" s="27"/>
      <c r="W8" s="69"/>
      <c r="X8" s="27"/>
      <c r="Y8" s="69"/>
      <c r="Z8" s="27"/>
      <c r="AA8" s="18"/>
    </row>
    <row r="9" spans="1:27">
      <c r="A9" s="69" t="s">
        <v>117</v>
      </c>
      <c r="B9" s="27"/>
      <c r="C9" s="69" t="s">
        <v>332</v>
      </c>
      <c r="D9" s="27"/>
      <c r="E9" s="18"/>
      <c r="F9" s="27"/>
      <c r="G9" s="71" t="s">
        <v>345</v>
      </c>
      <c r="H9" s="27"/>
      <c r="I9" s="18"/>
      <c r="J9" s="27"/>
      <c r="K9" s="69" t="s">
        <v>382</v>
      </c>
      <c r="L9" s="27"/>
      <c r="M9" s="18"/>
      <c r="N9" s="27"/>
      <c r="O9" s="18"/>
      <c r="P9" s="27"/>
      <c r="Q9" s="69" t="s">
        <v>363</v>
      </c>
      <c r="R9" s="27"/>
      <c r="S9" s="18"/>
      <c r="T9" s="27"/>
      <c r="U9" s="18"/>
      <c r="V9" s="27"/>
      <c r="W9" s="71"/>
      <c r="X9" s="27"/>
      <c r="Y9" s="69"/>
      <c r="Z9" s="27"/>
      <c r="AA9" s="18"/>
    </row>
    <row r="10" spans="1:27">
      <c r="A10" s="71" t="s">
        <v>247</v>
      </c>
      <c r="B10" s="27"/>
      <c r="C10" s="69" t="s">
        <v>333</v>
      </c>
      <c r="D10" s="27"/>
      <c r="E10" s="18"/>
      <c r="F10" s="27"/>
      <c r="G10" s="18"/>
      <c r="H10" s="27"/>
      <c r="I10" s="18"/>
      <c r="J10" s="27"/>
      <c r="K10" s="69" t="s">
        <v>383</v>
      </c>
      <c r="L10" s="27"/>
      <c r="M10" s="18"/>
      <c r="N10" s="27"/>
      <c r="O10" s="18"/>
      <c r="P10" s="27"/>
      <c r="Q10" s="69" t="s">
        <v>360</v>
      </c>
      <c r="R10" s="27"/>
      <c r="S10" s="18"/>
      <c r="T10" s="27"/>
      <c r="U10" s="18"/>
      <c r="V10" s="27"/>
      <c r="W10" s="18"/>
      <c r="X10" s="27"/>
      <c r="Y10" s="69"/>
      <c r="Z10" s="27"/>
      <c r="AA10" s="18"/>
    </row>
    <row r="11" spans="1:27">
      <c r="A11" s="173" t="s">
        <v>248</v>
      </c>
      <c r="B11" s="27"/>
      <c r="C11" s="69" t="s">
        <v>334</v>
      </c>
      <c r="D11" s="27"/>
      <c r="E11" s="18"/>
      <c r="F11" s="27"/>
      <c r="G11" s="18"/>
      <c r="H11" s="27"/>
      <c r="I11" s="18"/>
      <c r="J11" s="27"/>
      <c r="K11" s="71"/>
      <c r="L11" s="27"/>
      <c r="M11" s="18"/>
      <c r="N11" s="27"/>
      <c r="O11" s="18"/>
      <c r="P11" s="27"/>
      <c r="Q11" s="69" t="s">
        <v>361</v>
      </c>
      <c r="R11" s="27"/>
      <c r="S11" s="18"/>
      <c r="T11" s="27"/>
      <c r="U11" s="18"/>
      <c r="V11" s="27"/>
      <c r="W11" s="18"/>
      <c r="X11" s="27"/>
      <c r="Y11" s="71"/>
      <c r="Z11" s="27"/>
      <c r="AA11" s="18"/>
    </row>
    <row r="12" spans="1:27">
      <c r="A12" s="18"/>
      <c r="B12" s="27"/>
      <c r="C12" s="71" t="s">
        <v>335</v>
      </c>
      <c r="D12" s="27"/>
      <c r="E12" s="18"/>
      <c r="F12" s="27"/>
      <c r="G12" s="18"/>
      <c r="H12" s="27"/>
      <c r="I12" s="18"/>
      <c r="J12" s="27"/>
      <c r="K12" s="18"/>
      <c r="L12" s="27"/>
      <c r="M12" s="18"/>
      <c r="N12" s="27"/>
      <c r="O12" s="18"/>
      <c r="P12" s="27"/>
      <c r="Q12" s="69" t="s">
        <v>362</v>
      </c>
      <c r="R12" s="27"/>
      <c r="S12" s="18"/>
      <c r="T12" s="27"/>
      <c r="U12" s="18"/>
      <c r="V12" s="27"/>
      <c r="W12" s="18"/>
      <c r="X12" s="27"/>
      <c r="Y12" s="18"/>
      <c r="Z12" s="27"/>
      <c r="AA12" s="18"/>
    </row>
    <row r="13" spans="1:27">
      <c r="A13" s="18"/>
      <c r="B13" s="27"/>
      <c r="C13" s="18"/>
      <c r="D13" s="27"/>
      <c r="E13" s="18"/>
      <c r="F13" s="27"/>
      <c r="G13" s="18"/>
      <c r="H13" s="27"/>
      <c r="I13" s="18"/>
      <c r="J13" s="27"/>
      <c r="K13" s="18"/>
      <c r="L13" s="27"/>
      <c r="M13" s="18"/>
      <c r="N13" s="27"/>
      <c r="O13" s="18"/>
      <c r="P13" s="27"/>
      <c r="Q13" s="69" t="s">
        <v>359</v>
      </c>
      <c r="R13" s="27"/>
      <c r="S13" s="18"/>
      <c r="T13" s="27"/>
      <c r="U13" s="18"/>
      <c r="V13" s="27"/>
      <c r="W13" s="18"/>
      <c r="X13" s="27"/>
      <c r="Y13" s="18"/>
      <c r="Z13" s="27"/>
      <c r="AA13" s="18"/>
    </row>
    <row r="14" spans="1:27">
      <c r="A14" s="18"/>
      <c r="B14" s="27"/>
      <c r="C14" s="18"/>
      <c r="D14" s="27"/>
      <c r="E14" s="18"/>
      <c r="F14" s="27"/>
      <c r="G14" s="18"/>
      <c r="H14" s="27"/>
      <c r="I14" s="18"/>
      <c r="J14" s="27"/>
      <c r="K14" s="18"/>
      <c r="L14" s="27"/>
      <c r="M14" s="18"/>
      <c r="N14" s="27"/>
      <c r="O14" s="18"/>
      <c r="P14" s="27"/>
      <c r="Q14" s="69" t="s">
        <v>364</v>
      </c>
      <c r="R14" s="27"/>
      <c r="S14" s="18"/>
      <c r="T14" s="27"/>
      <c r="U14" s="18"/>
      <c r="V14" s="27"/>
      <c r="W14" s="18"/>
      <c r="X14" s="27"/>
      <c r="Y14" s="18"/>
      <c r="Z14" s="27"/>
      <c r="AA14" s="18"/>
    </row>
    <row r="15" spans="1:27">
      <c r="A15" s="18"/>
      <c r="B15" s="27"/>
      <c r="C15" s="18"/>
      <c r="D15" s="27"/>
      <c r="E15" s="18"/>
      <c r="F15" s="27"/>
      <c r="G15" s="18"/>
      <c r="H15" s="27"/>
      <c r="I15" s="18"/>
      <c r="J15" s="27"/>
      <c r="K15" s="18"/>
      <c r="L15" s="27"/>
      <c r="M15" s="18"/>
      <c r="N15" s="27"/>
      <c r="O15" s="18"/>
      <c r="P15" s="27"/>
      <c r="Q15" s="69" t="s">
        <v>365</v>
      </c>
      <c r="R15" s="27"/>
      <c r="S15" s="18"/>
      <c r="T15" s="27"/>
      <c r="U15" s="18"/>
      <c r="V15" s="27"/>
      <c r="W15" s="18"/>
      <c r="X15" s="27"/>
      <c r="Y15" s="18"/>
      <c r="Z15" s="27"/>
      <c r="AA15" s="18"/>
    </row>
    <row r="16" spans="1:27">
      <c r="A16" s="18"/>
      <c r="B16" s="27"/>
      <c r="C16" s="18"/>
      <c r="D16" s="27"/>
      <c r="E16" s="18"/>
      <c r="F16" s="27"/>
      <c r="G16" s="18"/>
      <c r="H16" s="27"/>
      <c r="I16" s="18"/>
      <c r="J16" s="27"/>
      <c r="K16" s="18"/>
      <c r="L16" s="27"/>
      <c r="M16" s="18"/>
      <c r="N16" s="27"/>
      <c r="O16" s="18"/>
      <c r="P16" s="27"/>
      <c r="Q16" s="69" t="s">
        <v>366</v>
      </c>
      <c r="R16" s="27"/>
      <c r="S16" s="18"/>
      <c r="T16" s="27"/>
      <c r="U16" s="18"/>
      <c r="V16" s="27"/>
      <c r="W16" s="18"/>
      <c r="X16" s="27"/>
      <c r="Y16" s="18"/>
      <c r="Z16" s="27"/>
      <c r="AA16" s="18"/>
    </row>
    <row r="17" spans="1:27">
      <c r="A17" s="18"/>
      <c r="B17" s="27"/>
      <c r="C17" s="18"/>
      <c r="D17" s="27"/>
      <c r="E17" s="18"/>
      <c r="F17" s="27"/>
      <c r="G17" s="18"/>
      <c r="H17" s="27"/>
      <c r="I17" s="18"/>
      <c r="J17" s="27"/>
      <c r="K17" s="18"/>
      <c r="L17" s="27"/>
      <c r="M17" s="18"/>
      <c r="N17" s="27"/>
      <c r="O17" s="18"/>
      <c r="P17" s="27"/>
      <c r="Q17" s="69" t="s">
        <v>367</v>
      </c>
      <c r="R17" s="27"/>
      <c r="S17" s="18"/>
      <c r="T17" s="27"/>
      <c r="U17" s="18"/>
      <c r="V17" s="27"/>
      <c r="W17" s="18"/>
      <c r="X17" s="27"/>
      <c r="Y17" s="18"/>
      <c r="Z17" s="27"/>
      <c r="AA17" s="18"/>
    </row>
    <row r="18" spans="1:27">
      <c r="A18" s="18"/>
      <c r="B18" s="27"/>
      <c r="C18" s="18"/>
      <c r="D18" s="27"/>
      <c r="E18" s="18"/>
      <c r="F18" s="27"/>
      <c r="G18" s="18"/>
      <c r="H18" s="27"/>
      <c r="I18" s="18"/>
      <c r="J18" s="27"/>
      <c r="K18" s="18"/>
      <c r="L18" s="27"/>
      <c r="M18" s="18"/>
      <c r="N18" s="27"/>
      <c r="O18" s="18"/>
      <c r="P18" s="27"/>
      <c r="Q18" s="69" t="s">
        <v>368</v>
      </c>
      <c r="R18" s="27"/>
      <c r="S18" s="18"/>
      <c r="T18" s="27"/>
      <c r="U18" s="18"/>
      <c r="V18" s="27"/>
      <c r="W18" s="18"/>
      <c r="X18" s="27"/>
      <c r="Y18" s="18"/>
      <c r="Z18" s="27"/>
      <c r="AA18" s="18"/>
    </row>
    <row r="19" spans="1:27">
      <c r="A19" s="18"/>
      <c r="B19" s="27"/>
      <c r="C19" s="18"/>
      <c r="D19" s="27"/>
      <c r="E19" s="18"/>
      <c r="F19" s="27"/>
      <c r="G19" s="18"/>
      <c r="H19" s="27"/>
      <c r="I19" s="18"/>
      <c r="J19" s="27"/>
      <c r="K19" s="18"/>
      <c r="L19" s="27"/>
      <c r="M19" s="18"/>
      <c r="N19" s="27"/>
      <c r="O19" s="18"/>
      <c r="P19" s="27"/>
      <c r="Q19" s="69" t="s">
        <v>369</v>
      </c>
      <c r="R19" s="27"/>
      <c r="S19" s="18"/>
      <c r="T19" s="27"/>
      <c r="U19" s="18"/>
      <c r="V19" s="27"/>
      <c r="W19" s="18"/>
      <c r="X19" s="27"/>
      <c r="Y19" s="18"/>
      <c r="Z19" s="27"/>
      <c r="AA19" s="18"/>
    </row>
    <row r="20" spans="1:27">
      <c r="A20" s="18"/>
      <c r="B20" s="27"/>
      <c r="C20" s="18"/>
      <c r="D20" s="27"/>
      <c r="E20" s="18"/>
      <c r="F20" s="27"/>
      <c r="G20" s="18"/>
      <c r="H20" s="27"/>
      <c r="I20" s="18"/>
      <c r="J20" s="27"/>
      <c r="K20" s="18"/>
      <c r="L20" s="27"/>
      <c r="M20" s="18"/>
      <c r="N20" s="27"/>
      <c r="O20" s="18"/>
      <c r="P20" s="27"/>
      <c r="Q20" s="71" t="s">
        <v>145</v>
      </c>
      <c r="R20" s="27"/>
      <c r="S20" s="18"/>
      <c r="T20" s="27"/>
      <c r="U20" s="18"/>
      <c r="V20" s="27"/>
      <c r="W20" s="18"/>
      <c r="X20" s="27"/>
      <c r="Y20" s="18"/>
      <c r="Z20" s="27"/>
      <c r="AA20" s="18"/>
    </row>
    <row r="21" spans="1:27">
      <c r="A21" s="18"/>
      <c r="B21" s="27"/>
      <c r="C21" s="18"/>
      <c r="D21" s="27"/>
      <c r="E21" s="18"/>
      <c r="F21" s="27"/>
      <c r="G21" s="18"/>
      <c r="H21" s="27"/>
      <c r="I21" s="18"/>
      <c r="J21" s="27"/>
      <c r="K21" s="18"/>
      <c r="L21" s="27"/>
      <c r="M21" s="18"/>
      <c r="N21" s="27"/>
      <c r="O21" s="18"/>
      <c r="P21" s="27"/>
      <c r="Q21" s="71"/>
      <c r="R21" s="27"/>
      <c r="S21" s="18"/>
      <c r="T21" s="27"/>
      <c r="U21" s="18"/>
      <c r="V21" s="27"/>
      <c r="W21" s="18"/>
      <c r="X21" s="27"/>
      <c r="Y21" s="18"/>
      <c r="Z21" s="27"/>
      <c r="AA21" s="18"/>
    </row>
    <row r="22" spans="1:27">
      <c r="A22" s="18"/>
      <c r="B22" s="27"/>
      <c r="C22" s="18"/>
      <c r="D22" s="27"/>
      <c r="E22" s="18"/>
      <c r="F22" s="27"/>
      <c r="G22" s="18"/>
      <c r="H22" s="27"/>
      <c r="I22" s="18"/>
      <c r="J22" s="27"/>
      <c r="K22" s="18"/>
      <c r="L22" s="27"/>
      <c r="M22" s="18"/>
      <c r="N22" s="27"/>
      <c r="O22" s="18"/>
      <c r="P22" s="27"/>
      <c r="Q22" s="18"/>
      <c r="R22" s="27"/>
      <c r="S22" s="18"/>
      <c r="T22" s="27"/>
      <c r="U22" s="18"/>
      <c r="V22" s="27"/>
      <c r="W22" s="18"/>
      <c r="X22" s="27"/>
      <c r="Y22" s="18"/>
      <c r="Z22" s="27"/>
      <c r="AA22" s="18"/>
    </row>
    <row r="23" spans="1:27">
      <c r="A23" s="18"/>
      <c r="B23" s="27"/>
      <c r="C23" s="18"/>
      <c r="D23" s="27"/>
      <c r="E23" s="18"/>
      <c r="F23" s="27"/>
      <c r="G23" s="18"/>
      <c r="H23" s="27"/>
      <c r="I23" s="18"/>
      <c r="J23" s="27"/>
      <c r="K23" s="18"/>
      <c r="L23" s="27"/>
      <c r="M23" s="18"/>
      <c r="N23" s="27"/>
      <c r="O23" s="18"/>
      <c r="P23" s="27"/>
      <c r="Q23" s="18"/>
      <c r="R23" s="27"/>
      <c r="S23" s="18"/>
      <c r="T23" s="27"/>
      <c r="U23" s="18"/>
      <c r="V23" s="27"/>
      <c r="W23" s="18"/>
      <c r="X23" s="27"/>
      <c r="Y23" s="18"/>
      <c r="Z23" s="27"/>
      <c r="AA23" s="18"/>
    </row>
    <row r="24" spans="1:27">
      <c r="A24" s="18"/>
      <c r="B24" s="27"/>
      <c r="C24" s="18"/>
      <c r="D24" s="27"/>
      <c r="E24" s="18"/>
      <c r="F24" s="27"/>
      <c r="G24" s="18"/>
      <c r="H24" s="27"/>
      <c r="I24" s="18"/>
      <c r="J24" s="27"/>
      <c r="K24" s="18"/>
      <c r="L24" s="27"/>
      <c r="M24" s="18"/>
      <c r="N24" s="27"/>
      <c r="O24" s="18"/>
      <c r="P24" s="27"/>
      <c r="Q24" s="18"/>
      <c r="R24" s="27"/>
      <c r="S24" s="18"/>
      <c r="T24" s="27"/>
      <c r="U24" s="18"/>
      <c r="V24" s="27"/>
      <c r="W24" s="18"/>
      <c r="X24" s="27"/>
      <c r="Y24" s="18"/>
      <c r="Z24" s="27"/>
      <c r="AA24" s="18"/>
    </row>
    <row r="25" spans="1:27">
      <c r="A25" s="18"/>
      <c r="B25" s="27"/>
      <c r="C25" s="18"/>
      <c r="D25" s="27"/>
      <c r="E25" s="18"/>
      <c r="F25" s="27"/>
      <c r="G25" s="18"/>
      <c r="H25" s="27"/>
      <c r="I25" s="18"/>
      <c r="J25" s="27"/>
      <c r="K25" s="18"/>
      <c r="L25" s="27"/>
      <c r="M25" s="18"/>
      <c r="N25" s="27"/>
      <c r="O25" s="18"/>
      <c r="P25" s="27"/>
      <c r="Q25" s="18"/>
      <c r="R25" s="27"/>
      <c r="S25" s="18"/>
      <c r="T25" s="27"/>
      <c r="U25" s="18"/>
      <c r="V25" s="27"/>
      <c r="W25" s="18"/>
      <c r="X25" s="27"/>
      <c r="Y25" s="18"/>
      <c r="Z25" s="27"/>
      <c r="AA25" s="18"/>
    </row>
    <row r="26" spans="1:27">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row>
    <row r="27" spans="1:27">
      <c r="A27" s="27"/>
      <c r="B27" s="27"/>
      <c r="C27" s="27"/>
      <c r="D27" s="27"/>
      <c r="E27" s="27"/>
      <c r="F27" s="27"/>
      <c r="G27" s="27"/>
      <c r="H27" s="27"/>
      <c r="I27" s="27"/>
      <c r="J27" s="27"/>
      <c r="K27" s="27"/>
      <c r="L27" s="27"/>
      <c r="M27" s="27"/>
      <c r="N27" s="27"/>
      <c r="O27" s="27"/>
      <c r="P27" s="27"/>
      <c r="Q27" s="27"/>
      <c r="R27" s="27"/>
      <c r="S27" s="27"/>
      <c r="T27" s="27"/>
      <c r="U27" s="27"/>
      <c r="V27" s="27"/>
      <c r="W27" s="27"/>
      <c r="X27" s="27"/>
      <c r="Y27" s="27"/>
      <c r="Z27" s="27"/>
      <c r="AA27" s="27"/>
    </row>
    <row r="28" spans="1:27">
      <c r="A28" s="53" t="s">
        <v>396</v>
      </c>
      <c r="B28" s="27"/>
      <c r="C28" s="53" t="s">
        <v>456</v>
      </c>
      <c r="D28" s="27"/>
      <c r="E28" s="27"/>
      <c r="F28" s="27"/>
      <c r="G28" s="27"/>
      <c r="H28" s="27"/>
      <c r="I28" s="27"/>
      <c r="J28" s="27"/>
      <c r="K28" s="27"/>
      <c r="L28" s="27"/>
      <c r="M28" s="27"/>
      <c r="N28" s="27"/>
      <c r="O28" s="27"/>
      <c r="P28" s="27"/>
      <c r="Q28" s="27"/>
      <c r="R28" s="27"/>
      <c r="S28" s="27"/>
      <c r="T28" s="27"/>
      <c r="U28" s="27"/>
      <c r="V28" s="27"/>
      <c r="W28" s="27"/>
      <c r="X28" s="27"/>
      <c r="Y28" s="27"/>
      <c r="Z28" s="27"/>
      <c r="AA28" s="27"/>
    </row>
    <row r="29" spans="1:27">
      <c r="A29" s="9" t="s">
        <v>396</v>
      </c>
      <c r="B29" s="27"/>
      <c r="C29" s="9" t="s">
        <v>260</v>
      </c>
      <c r="D29" s="27"/>
      <c r="E29" s="27"/>
      <c r="F29" s="27"/>
      <c r="G29" s="27"/>
      <c r="H29" s="27"/>
      <c r="I29" s="27"/>
      <c r="J29" s="27"/>
      <c r="K29" s="27"/>
      <c r="L29" s="27"/>
      <c r="M29" s="27"/>
      <c r="N29" s="27"/>
      <c r="O29" s="27"/>
      <c r="P29" s="27"/>
      <c r="Q29" s="27"/>
      <c r="R29" s="27"/>
      <c r="S29" s="27"/>
      <c r="T29" s="27"/>
      <c r="U29" s="27"/>
      <c r="V29" s="27"/>
      <c r="W29" s="27"/>
      <c r="X29" s="27"/>
      <c r="Y29" s="27"/>
      <c r="Z29" s="27"/>
      <c r="AA29" s="27"/>
    </row>
    <row r="30" spans="1:27">
      <c r="A30" s="27"/>
      <c r="B30" s="27"/>
      <c r="C30" s="9" t="s">
        <v>391</v>
      </c>
      <c r="D30" s="27"/>
      <c r="E30" s="27"/>
      <c r="F30" s="27"/>
      <c r="G30" s="27"/>
      <c r="H30" s="27"/>
      <c r="I30" s="27"/>
      <c r="J30" s="27"/>
      <c r="K30" s="27"/>
      <c r="L30" s="27"/>
      <c r="M30" s="27"/>
      <c r="N30" s="27"/>
      <c r="O30" s="27"/>
      <c r="P30" s="27"/>
      <c r="Q30" s="27"/>
      <c r="R30" s="27"/>
      <c r="S30" s="27"/>
      <c r="T30" s="27"/>
      <c r="U30" s="27"/>
      <c r="V30" s="27"/>
      <c r="W30" s="27"/>
      <c r="X30" s="27"/>
      <c r="Y30" s="27"/>
      <c r="Z30" s="27"/>
      <c r="AA30" s="27"/>
    </row>
    <row r="31" spans="1:27">
      <c r="A31" s="27"/>
      <c r="B31" s="27"/>
      <c r="C31" s="27"/>
      <c r="D31" s="27"/>
      <c r="E31" s="27"/>
      <c r="F31" s="27"/>
      <c r="G31" s="27"/>
      <c r="H31" s="27"/>
      <c r="I31" s="27"/>
      <c r="J31" s="27"/>
      <c r="K31" s="27"/>
      <c r="L31" s="27"/>
      <c r="M31" s="27"/>
      <c r="N31" s="27"/>
      <c r="O31" s="27"/>
      <c r="P31" s="27"/>
      <c r="Q31" s="27"/>
      <c r="R31" s="27"/>
      <c r="S31" s="27"/>
      <c r="T31" s="27"/>
      <c r="U31" s="27"/>
      <c r="V31" s="27"/>
      <c r="W31" s="27"/>
      <c r="X31" s="27"/>
      <c r="Y31" s="27"/>
      <c r="Z31" s="27"/>
      <c r="AA31" s="27"/>
    </row>
    <row r="32" spans="1:27">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row>
    <row r="33" spans="1:27">
      <c r="A33" s="27"/>
      <c r="B33" s="27"/>
      <c r="C33" s="27"/>
      <c r="D33" s="27"/>
      <c r="E33" s="27"/>
      <c r="F33" s="27"/>
      <c r="G33" s="27"/>
      <c r="H33" s="27"/>
      <c r="I33" s="27"/>
      <c r="J33" s="957" t="s">
        <v>457</v>
      </c>
      <c r="K33" s="957"/>
      <c r="L33" s="27"/>
      <c r="M33" s="27"/>
      <c r="N33" s="27"/>
      <c r="O33" s="27"/>
      <c r="P33" s="27"/>
      <c r="Q33" s="27"/>
      <c r="R33" s="27"/>
      <c r="S33" s="27"/>
      <c r="T33" s="27"/>
      <c r="U33" s="27"/>
      <c r="V33" s="27"/>
      <c r="W33" s="27"/>
      <c r="X33" s="27"/>
      <c r="Y33" s="27"/>
      <c r="Z33" s="27"/>
      <c r="AA33" s="27"/>
    </row>
    <row r="34" spans="1:27">
      <c r="A34" s="27"/>
      <c r="B34" s="963" t="s">
        <v>458</v>
      </c>
      <c r="C34" s="964"/>
      <c r="D34" s="965"/>
      <c r="E34" s="27"/>
      <c r="F34" s="963" t="s">
        <v>459</v>
      </c>
      <c r="G34" s="964"/>
      <c r="H34" s="965"/>
      <c r="I34" s="27"/>
      <c r="J34" s="53" t="s">
        <v>460</v>
      </c>
      <c r="K34" s="53" t="s">
        <v>461</v>
      </c>
      <c r="L34" s="27"/>
      <c r="M34" s="966" t="s">
        <v>462</v>
      </c>
      <c r="N34" s="966"/>
      <c r="O34" s="27"/>
      <c r="P34" s="27"/>
      <c r="Q34" s="958" t="s">
        <v>463</v>
      </c>
      <c r="R34" s="958"/>
      <c r="S34" s="958"/>
      <c r="T34" s="958"/>
      <c r="U34" s="27"/>
      <c r="V34" s="27"/>
      <c r="W34" s="27"/>
      <c r="X34" s="27"/>
      <c r="Y34" s="27"/>
      <c r="Z34" s="27"/>
      <c r="AA34" s="27"/>
    </row>
    <row r="35" spans="1:27">
      <c r="A35" s="27"/>
      <c r="B35" s="52" t="s">
        <v>104</v>
      </c>
      <c r="C35" s="53" t="s">
        <v>464</v>
      </c>
      <c r="D35" s="53" t="s">
        <v>465</v>
      </c>
      <c r="E35" s="27"/>
      <c r="F35" s="53" t="s">
        <v>464</v>
      </c>
      <c r="G35" s="52" t="s">
        <v>466</v>
      </c>
      <c r="H35" s="53" t="s">
        <v>467</v>
      </c>
      <c r="I35" s="27"/>
      <c r="J35" s="9" t="s">
        <v>240</v>
      </c>
      <c r="K35" s="7">
        <v>1</v>
      </c>
      <c r="L35" s="27"/>
      <c r="M35" s="53" t="s">
        <v>468</v>
      </c>
      <c r="N35" s="53" t="s">
        <v>467</v>
      </c>
      <c r="O35" s="27"/>
      <c r="P35" s="27"/>
      <c r="Q35" s="53" t="s">
        <v>469</v>
      </c>
      <c r="R35" s="53" t="s">
        <v>470</v>
      </c>
      <c r="S35" s="53" t="s">
        <v>471</v>
      </c>
      <c r="T35" s="53" t="s">
        <v>472</v>
      </c>
      <c r="U35" s="27"/>
      <c r="V35" s="27"/>
      <c r="W35" s="395" t="s">
        <v>473</v>
      </c>
      <c r="X35" s="396" t="s">
        <v>474</v>
      </c>
      <c r="Y35" s="27"/>
      <c r="Z35" s="27"/>
      <c r="AA35" s="27"/>
    </row>
    <row r="36" spans="1:27" ht="43.15">
      <c r="A36" s="27"/>
      <c r="B36" s="9" t="s">
        <v>347</v>
      </c>
      <c r="C36" s="9" t="s">
        <v>475</v>
      </c>
      <c r="D36" s="7">
        <v>1.1499999999999999</v>
      </c>
      <c r="E36" s="27"/>
      <c r="F36" s="9" t="s">
        <v>114</v>
      </c>
      <c r="G36" s="9" t="s">
        <v>476</v>
      </c>
      <c r="H36" s="7">
        <v>1.1499999999999999</v>
      </c>
      <c r="I36" s="27"/>
      <c r="J36" s="9" t="s">
        <v>242</v>
      </c>
      <c r="K36" s="7">
        <v>0.67</v>
      </c>
      <c r="L36" s="27"/>
      <c r="M36" s="15" t="s">
        <v>477</v>
      </c>
      <c r="N36" s="15">
        <v>1</v>
      </c>
      <c r="O36" s="27"/>
      <c r="P36" s="27"/>
      <c r="Q36" s="7" t="s">
        <v>478</v>
      </c>
      <c r="R36" s="7">
        <v>0.1</v>
      </c>
      <c r="S36" s="7">
        <f>R36*12</f>
        <v>1.2000000000000002</v>
      </c>
      <c r="T36" s="10">
        <f>3.14*(S36*S36)/10000</f>
        <v>4.5216000000000012E-4</v>
      </c>
      <c r="U36" s="27"/>
      <c r="V36" s="27"/>
      <c r="W36" s="18" t="s">
        <v>479</v>
      </c>
      <c r="X36" s="18" t="s">
        <v>480</v>
      </c>
      <c r="Y36" s="27"/>
      <c r="Z36" s="27"/>
      <c r="AA36" s="27"/>
    </row>
    <row r="37" spans="1:27" ht="28.9">
      <c r="A37" s="27"/>
      <c r="B37" s="9" t="s">
        <v>242</v>
      </c>
      <c r="C37" s="9" t="s">
        <v>481</v>
      </c>
      <c r="D37" s="7">
        <v>1.1000000000000001</v>
      </c>
      <c r="E37" s="27"/>
      <c r="F37" s="9" t="s">
        <v>122</v>
      </c>
      <c r="G37" s="9" t="s">
        <v>482</v>
      </c>
      <c r="H37" s="7">
        <v>1</v>
      </c>
      <c r="I37" s="27"/>
      <c r="J37" s="9" t="s">
        <v>347</v>
      </c>
      <c r="K37" s="7">
        <v>0.33</v>
      </c>
      <c r="L37" s="27"/>
      <c r="M37" s="15" t="s">
        <v>483</v>
      </c>
      <c r="N37" s="15">
        <v>0.75</v>
      </c>
      <c r="O37" s="27"/>
      <c r="P37" s="27"/>
      <c r="Q37" s="7" t="s">
        <v>242</v>
      </c>
      <c r="R37" s="7">
        <v>0.3</v>
      </c>
      <c r="S37" s="7">
        <f t="shared" ref="S37:S38" si="0">R37*12</f>
        <v>3.5999999999999996</v>
      </c>
      <c r="T37" s="10">
        <f t="shared" ref="T37:T38" si="1">3.14*(S37*S37)/10000</f>
        <v>4.0694399999999997E-3</v>
      </c>
      <c r="U37" s="27"/>
      <c r="V37" s="27"/>
      <c r="W37" s="18" t="s">
        <v>484</v>
      </c>
      <c r="X37" s="18" t="s">
        <v>485</v>
      </c>
      <c r="Y37" s="27"/>
      <c r="Z37" s="27"/>
      <c r="AA37" s="27"/>
    </row>
    <row r="38" spans="1:27" ht="28.9">
      <c r="A38" s="27"/>
      <c r="B38" s="16" t="s">
        <v>240</v>
      </c>
      <c r="C38" s="9" t="s">
        <v>486</v>
      </c>
      <c r="D38" s="7">
        <v>1</v>
      </c>
      <c r="E38" s="27"/>
      <c r="F38" s="9"/>
      <c r="G38" s="9"/>
      <c r="H38" s="7"/>
      <c r="I38" s="27"/>
      <c r="J38" s="9" t="s">
        <v>487</v>
      </c>
      <c r="K38" s="7">
        <v>0.1</v>
      </c>
      <c r="L38" s="27"/>
      <c r="M38" s="15" t="s">
        <v>488</v>
      </c>
      <c r="N38" s="15">
        <v>0.5</v>
      </c>
      <c r="O38" s="27"/>
      <c r="P38" s="27"/>
      <c r="Q38" s="7" t="s">
        <v>489</v>
      </c>
      <c r="R38" s="7">
        <v>0.5</v>
      </c>
      <c r="S38" s="7">
        <f t="shared" si="0"/>
        <v>6</v>
      </c>
      <c r="T38" s="10">
        <f t="shared" si="1"/>
        <v>1.1304E-2</v>
      </c>
      <c r="U38" s="27"/>
      <c r="V38" s="27"/>
      <c r="W38" s="18" t="s">
        <v>490</v>
      </c>
      <c r="X38" s="18" t="s">
        <v>491</v>
      </c>
      <c r="Y38" s="27"/>
      <c r="Z38" s="27"/>
      <c r="AA38" s="27"/>
    </row>
    <row r="39" spans="1:27">
      <c r="A39" s="27"/>
      <c r="B39" s="16" t="s">
        <v>492</v>
      </c>
      <c r="C39" s="9" t="s">
        <v>493</v>
      </c>
      <c r="D39" s="7">
        <v>1</v>
      </c>
      <c r="E39" s="27"/>
      <c r="F39" s="27"/>
      <c r="G39" s="27"/>
      <c r="H39" s="27"/>
      <c r="I39" s="27"/>
      <c r="J39" s="27"/>
      <c r="K39" s="27"/>
      <c r="L39" s="27"/>
      <c r="M39" s="27"/>
      <c r="N39" s="27"/>
      <c r="O39" s="27"/>
      <c r="P39" s="27"/>
      <c r="Q39" s="27"/>
      <c r="R39" s="27"/>
      <c r="S39" s="27"/>
      <c r="T39" s="27"/>
      <c r="U39" s="27"/>
      <c r="V39" s="27"/>
      <c r="W39" s="18" t="s">
        <v>494</v>
      </c>
      <c r="X39" s="18" t="s">
        <v>24</v>
      </c>
      <c r="Y39" s="27"/>
      <c r="Z39" s="27"/>
      <c r="AA39" s="27"/>
    </row>
    <row r="40" spans="1:27">
      <c r="A40" s="27"/>
      <c r="B40" s="27"/>
      <c r="C40" s="27"/>
      <c r="D40" s="27"/>
      <c r="E40" s="27"/>
      <c r="F40" s="27"/>
      <c r="G40" s="27"/>
      <c r="H40" s="27"/>
      <c r="I40" s="27"/>
      <c r="J40" s="27"/>
      <c r="K40" s="27"/>
      <c r="L40" s="27"/>
      <c r="M40" s="27"/>
      <c r="N40" s="27"/>
      <c r="O40" s="27"/>
      <c r="P40" s="27"/>
      <c r="Q40" s="27"/>
      <c r="R40" s="27"/>
      <c r="S40" s="27"/>
      <c r="T40" s="27"/>
      <c r="U40" s="27"/>
      <c r="V40" s="27"/>
      <c r="W40" s="18" t="s">
        <v>495</v>
      </c>
      <c r="X40" s="18" t="s">
        <v>496</v>
      </c>
      <c r="Y40" s="27"/>
      <c r="Z40" s="27"/>
      <c r="AA40" s="27"/>
    </row>
    <row r="41" spans="1:27">
      <c r="A41" s="27"/>
      <c r="B41" s="27"/>
      <c r="C41" s="27"/>
      <c r="D41" s="27"/>
      <c r="E41" s="27"/>
      <c r="F41" s="27"/>
      <c r="G41" s="27"/>
      <c r="H41" s="27"/>
      <c r="I41" s="27"/>
      <c r="J41" s="27"/>
      <c r="K41" s="27"/>
      <c r="L41" s="27"/>
      <c r="M41" s="27"/>
      <c r="N41" s="27"/>
      <c r="O41" s="27"/>
      <c r="P41" s="27"/>
      <c r="Q41" s="27"/>
      <c r="R41" s="27"/>
      <c r="S41" s="27"/>
      <c r="T41" s="27"/>
      <c r="U41" s="27"/>
      <c r="V41" s="27"/>
      <c r="W41" s="18" t="s">
        <v>497</v>
      </c>
      <c r="X41" s="18" t="s">
        <v>498</v>
      </c>
      <c r="Y41" s="27"/>
      <c r="Z41" s="27"/>
      <c r="AA41" s="27"/>
    </row>
    <row r="42" spans="1:27">
      <c r="A42" s="27"/>
      <c r="B42" s="27"/>
      <c r="C42" s="27"/>
      <c r="D42" s="27"/>
      <c r="E42" s="27"/>
      <c r="F42" s="27"/>
      <c r="G42" s="27"/>
      <c r="H42" s="27"/>
      <c r="I42" s="27"/>
      <c r="J42" s="27"/>
      <c r="K42" s="27"/>
      <c r="L42" s="27"/>
      <c r="M42" s="27"/>
      <c r="N42" s="27"/>
      <c r="O42" s="27"/>
      <c r="P42" s="27"/>
      <c r="Q42" s="27"/>
      <c r="R42" s="27"/>
      <c r="S42" s="27"/>
      <c r="T42" s="27"/>
      <c r="U42" s="27"/>
      <c r="V42" s="27"/>
      <c r="W42" s="18" t="s">
        <v>499</v>
      </c>
      <c r="X42" s="18" t="s">
        <v>500</v>
      </c>
      <c r="Y42" s="27"/>
      <c r="Z42" s="27"/>
      <c r="AA42" s="27"/>
    </row>
    <row r="43" spans="1:27">
      <c r="A43" s="27"/>
      <c r="B43" s="27"/>
      <c r="C43" s="27"/>
      <c r="D43" s="27"/>
      <c r="E43" s="27"/>
      <c r="F43" s="27"/>
      <c r="G43" s="27"/>
      <c r="H43" s="27"/>
      <c r="I43" s="27"/>
      <c r="J43" s="27"/>
      <c r="K43" s="27"/>
      <c r="L43" s="27"/>
      <c r="M43" s="27"/>
      <c r="N43" s="27"/>
      <c r="O43" s="27"/>
      <c r="P43" s="27"/>
      <c r="Q43" s="27"/>
      <c r="R43" s="27"/>
      <c r="S43" s="27"/>
      <c r="T43" s="27"/>
      <c r="U43" s="27"/>
      <c r="V43" s="27"/>
      <c r="W43" s="18" t="s">
        <v>501</v>
      </c>
      <c r="X43" s="18" t="s">
        <v>502</v>
      </c>
      <c r="Y43" s="27"/>
      <c r="Z43" s="27"/>
      <c r="AA43" s="27"/>
    </row>
    <row r="44" spans="1:27">
      <c r="A44" s="27"/>
      <c r="B44" s="27"/>
      <c r="C44" s="27"/>
      <c r="D44" s="27"/>
      <c r="E44" s="27"/>
      <c r="F44" s="27"/>
      <c r="G44" s="27"/>
      <c r="H44" s="27"/>
      <c r="I44" s="27"/>
      <c r="J44" s="27"/>
      <c r="K44" s="27"/>
      <c r="L44" s="27"/>
      <c r="M44" s="27"/>
      <c r="N44" s="27"/>
      <c r="O44" s="27"/>
      <c r="P44" s="27"/>
      <c r="Q44" s="27"/>
      <c r="R44" s="27"/>
      <c r="S44" s="27"/>
      <c r="T44" s="27"/>
      <c r="U44" s="27"/>
      <c r="V44" s="27"/>
      <c r="W44" s="18" t="s">
        <v>503</v>
      </c>
      <c r="X44" s="18" t="s">
        <v>504</v>
      </c>
      <c r="Y44" s="27"/>
      <c r="Z44" s="27"/>
      <c r="AA44" s="27"/>
    </row>
    <row r="45" spans="1:27" ht="28.9">
      <c r="A45" s="27"/>
      <c r="B45" s="959" t="s">
        <v>505</v>
      </c>
      <c r="C45" s="960"/>
      <c r="D45" s="961"/>
      <c r="E45" s="27"/>
      <c r="F45" s="959" t="s">
        <v>506</v>
      </c>
      <c r="G45" s="961"/>
      <c r="H45" s="27"/>
      <c r="I45" s="962" t="s">
        <v>507</v>
      </c>
      <c r="J45" s="962"/>
      <c r="K45" s="962"/>
      <c r="L45" s="27"/>
      <c r="M45" s="958" t="s">
        <v>463</v>
      </c>
      <c r="N45" s="958"/>
      <c r="O45" s="958"/>
      <c r="P45" s="958"/>
      <c r="Q45" s="27"/>
      <c r="R45" s="27"/>
      <c r="S45" s="27"/>
      <c r="T45" s="27"/>
      <c r="U45" s="27"/>
      <c r="V45" s="27"/>
      <c r="W45" s="18" t="s">
        <v>19</v>
      </c>
      <c r="X45" s="18" t="s">
        <v>508</v>
      </c>
      <c r="Y45" s="27"/>
      <c r="Z45" s="27"/>
      <c r="AA45" s="27"/>
    </row>
    <row r="46" spans="1:27" ht="43.15">
      <c r="A46" s="27"/>
      <c r="B46" s="52" t="s">
        <v>509</v>
      </c>
      <c r="C46" s="52" t="s">
        <v>510</v>
      </c>
      <c r="D46" s="52" t="s">
        <v>511</v>
      </c>
      <c r="E46" s="27"/>
      <c r="F46" s="52" t="s">
        <v>512</v>
      </c>
      <c r="G46" s="52" t="s">
        <v>513</v>
      </c>
      <c r="H46" s="27"/>
      <c r="I46" s="52" t="s">
        <v>514</v>
      </c>
      <c r="J46" s="52" t="s">
        <v>515</v>
      </c>
      <c r="K46" s="52" t="s">
        <v>516</v>
      </c>
      <c r="L46" s="27"/>
      <c r="M46" s="53" t="s">
        <v>469</v>
      </c>
      <c r="N46" s="53" t="s">
        <v>470</v>
      </c>
      <c r="O46" s="53" t="s">
        <v>471</v>
      </c>
      <c r="P46" s="53" t="s">
        <v>472</v>
      </c>
      <c r="Q46" s="27"/>
      <c r="R46" s="27"/>
      <c r="S46" s="27"/>
      <c r="T46" s="27"/>
      <c r="U46" s="27"/>
      <c r="V46" s="27"/>
      <c r="W46" s="18" t="s">
        <v>517</v>
      </c>
      <c r="X46" s="18" t="s">
        <v>518</v>
      </c>
      <c r="Y46" s="27"/>
      <c r="Z46" s="27"/>
      <c r="AA46" s="27"/>
    </row>
    <row r="47" spans="1:27" ht="57.6">
      <c r="A47" s="27"/>
      <c r="B47" s="7" t="s">
        <v>242</v>
      </c>
      <c r="C47" s="7">
        <v>4</v>
      </c>
      <c r="D47" s="23" t="s">
        <v>324</v>
      </c>
      <c r="E47" s="27"/>
      <c r="F47" s="19" t="s">
        <v>411</v>
      </c>
      <c r="G47" s="7">
        <v>3</v>
      </c>
      <c r="H47" s="27"/>
      <c r="I47" s="25">
        <v>0</v>
      </c>
      <c r="J47" s="25">
        <v>100</v>
      </c>
      <c r="K47" s="26">
        <v>1</v>
      </c>
      <c r="L47" s="27"/>
      <c r="M47" s="7" t="s">
        <v>478</v>
      </c>
      <c r="N47" s="7">
        <v>0.1</v>
      </c>
      <c r="O47" s="7">
        <f>N47*12</f>
        <v>1.2000000000000002</v>
      </c>
      <c r="P47" s="10">
        <f>3.14*(O47*O47)</f>
        <v>4.5216000000000012</v>
      </c>
      <c r="Q47" s="27"/>
      <c r="R47" s="27"/>
      <c r="S47" s="27"/>
      <c r="T47" s="27"/>
      <c r="U47" s="27"/>
      <c r="V47" s="27"/>
      <c r="W47" s="18" t="s">
        <v>519</v>
      </c>
      <c r="X47" s="18" t="s">
        <v>520</v>
      </c>
      <c r="Y47" s="27"/>
      <c r="Z47" s="27"/>
      <c r="AA47" s="27"/>
    </row>
    <row r="48" spans="1:27" ht="43.15">
      <c r="A48" s="27"/>
      <c r="B48" s="7" t="s">
        <v>240</v>
      </c>
      <c r="C48" s="7">
        <v>2</v>
      </c>
      <c r="D48" s="23" t="s">
        <v>329</v>
      </c>
      <c r="E48" s="27"/>
      <c r="F48" s="19" t="s">
        <v>142</v>
      </c>
      <c r="G48" s="7">
        <v>2</v>
      </c>
      <c r="H48" s="27"/>
      <c r="I48" s="25">
        <v>1</v>
      </c>
      <c r="J48" s="25">
        <v>96.5</v>
      </c>
      <c r="K48" s="26">
        <v>0.96499999999999997</v>
      </c>
      <c r="L48" s="27"/>
      <c r="M48" s="7" t="s">
        <v>242</v>
      </c>
      <c r="N48" s="7">
        <v>0.3</v>
      </c>
      <c r="O48" s="7">
        <f t="shared" ref="O48:O49" si="2">N48*12</f>
        <v>3.5999999999999996</v>
      </c>
      <c r="P48" s="10">
        <f t="shared" ref="P48:P49" si="3">3.14*(O48*O48)</f>
        <v>40.694399999999995</v>
      </c>
      <c r="Q48" s="27"/>
      <c r="R48" s="27"/>
      <c r="S48" s="27"/>
      <c r="T48" s="27"/>
      <c r="U48" s="27"/>
      <c r="V48" s="27"/>
      <c r="W48" s="18" t="s">
        <v>521</v>
      </c>
      <c r="X48" s="18" t="s">
        <v>522</v>
      </c>
      <c r="Y48" s="27"/>
      <c r="Z48" s="27"/>
      <c r="AA48" s="27"/>
    </row>
    <row r="49" spans="1:27" ht="28.9">
      <c r="A49" s="27"/>
      <c r="B49" s="7" t="s">
        <v>353</v>
      </c>
      <c r="C49" s="7">
        <v>0</v>
      </c>
      <c r="D49" s="23" t="s">
        <v>354</v>
      </c>
      <c r="E49" s="27"/>
      <c r="F49" s="23" t="s">
        <v>146</v>
      </c>
      <c r="G49" s="234">
        <v>1</v>
      </c>
      <c r="H49" s="27"/>
      <c r="I49" s="25">
        <v>2</v>
      </c>
      <c r="J49" s="25">
        <v>93.122500000000002</v>
      </c>
      <c r="K49" s="26">
        <v>0.93122499999999997</v>
      </c>
      <c r="L49" s="27"/>
      <c r="M49" s="7" t="s">
        <v>489</v>
      </c>
      <c r="N49" s="7">
        <v>0.5</v>
      </c>
      <c r="O49" s="7">
        <f t="shared" si="2"/>
        <v>6</v>
      </c>
      <c r="P49" s="10">
        <f t="shared" si="3"/>
        <v>113.04</v>
      </c>
      <c r="Q49" s="27"/>
      <c r="R49" s="27"/>
      <c r="S49" s="27"/>
      <c r="T49" s="27"/>
      <c r="U49" s="27"/>
      <c r="V49" s="27"/>
      <c r="W49" s="18" t="s">
        <v>523</v>
      </c>
      <c r="X49" s="18" t="s">
        <v>524</v>
      </c>
      <c r="Y49" s="27"/>
      <c r="Z49" s="27"/>
      <c r="AA49" s="27"/>
    </row>
    <row r="50" spans="1:27" ht="57.6">
      <c r="A50" s="27"/>
      <c r="B50" s="7" t="s">
        <v>347</v>
      </c>
      <c r="C50" s="7">
        <v>6</v>
      </c>
      <c r="D50" s="23" t="s">
        <v>324</v>
      </c>
      <c r="E50" s="27"/>
      <c r="F50" s="23" t="s">
        <v>413</v>
      </c>
      <c r="G50" s="7">
        <v>1</v>
      </c>
      <c r="H50" s="27"/>
      <c r="I50" s="25">
        <v>3</v>
      </c>
      <c r="J50" s="25">
        <v>89.863212500000003</v>
      </c>
      <c r="K50" s="26">
        <v>0.898632125</v>
      </c>
      <c r="L50" s="27"/>
      <c r="M50" s="27"/>
      <c r="N50" s="27"/>
      <c r="O50" s="27"/>
      <c r="P50" s="27"/>
      <c r="Q50" s="27"/>
      <c r="R50" s="27"/>
      <c r="S50" s="27"/>
      <c r="T50" s="27"/>
      <c r="U50" s="27"/>
      <c r="V50" s="27"/>
      <c r="W50" s="18" t="s">
        <v>525</v>
      </c>
      <c r="X50" s="18"/>
      <c r="Y50" s="27"/>
      <c r="Z50" s="27"/>
      <c r="AA50" s="27"/>
    </row>
    <row r="51" spans="1:27">
      <c r="A51" s="27"/>
      <c r="B51" s="27"/>
      <c r="C51" s="27"/>
      <c r="D51" s="27"/>
      <c r="E51" s="27"/>
      <c r="F51" s="19" t="s">
        <v>144</v>
      </c>
      <c r="G51" s="7">
        <v>0</v>
      </c>
      <c r="H51" s="27"/>
      <c r="I51" s="25">
        <v>4</v>
      </c>
      <c r="J51" s="25">
        <v>86.718000059999994</v>
      </c>
      <c r="K51" s="26">
        <v>0.86718000059999989</v>
      </c>
      <c r="L51" s="27"/>
      <c r="M51" s="27"/>
      <c r="N51" s="27"/>
      <c r="O51" s="27"/>
      <c r="P51" s="27"/>
      <c r="Q51" s="27"/>
      <c r="R51" s="27"/>
      <c r="S51" s="27"/>
      <c r="T51" s="27"/>
      <c r="U51" s="27"/>
      <c r="V51" s="27"/>
      <c r="W51" s="18" t="s">
        <v>526</v>
      </c>
      <c r="X51" s="18"/>
      <c r="Y51" s="27"/>
      <c r="Z51" s="27"/>
      <c r="AA51" s="27"/>
    </row>
    <row r="52" spans="1:27">
      <c r="A52" s="27"/>
      <c r="B52" s="27"/>
      <c r="C52" s="27"/>
      <c r="D52" s="27"/>
      <c r="E52" s="27"/>
      <c r="F52" s="27"/>
      <c r="G52" s="27"/>
      <c r="H52" s="27"/>
      <c r="I52" s="25">
        <v>5</v>
      </c>
      <c r="J52" s="25">
        <v>83.682870059999999</v>
      </c>
      <c r="K52" s="26">
        <v>0.83682870060000003</v>
      </c>
      <c r="L52" s="27"/>
      <c r="M52" s="27"/>
      <c r="N52" s="27"/>
      <c r="O52" s="27"/>
      <c r="P52" s="27"/>
      <c r="Q52" s="27"/>
      <c r="R52" s="27"/>
      <c r="S52" s="27"/>
      <c r="T52" s="27"/>
      <c r="U52" s="27"/>
      <c r="V52" s="27"/>
      <c r="W52" s="18" t="s">
        <v>527</v>
      </c>
      <c r="X52" s="18"/>
      <c r="Y52" s="27"/>
      <c r="Z52" s="27"/>
      <c r="AA52" s="27"/>
    </row>
    <row r="53" spans="1:27">
      <c r="A53" s="27"/>
      <c r="B53" s="27"/>
      <c r="C53" s="27"/>
      <c r="D53" s="27"/>
      <c r="E53" s="27"/>
      <c r="F53" s="27"/>
      <c r="G53" s="27"/>
      <c r="H53" s="27"/>
      <c r="I53" s="25">
        <v>6</v>
      </c>
      <c r="J53" s="25">
        <v>80.753969609999999</v>
      </c>
      <c r="K53" s="26">
        <v>0.80753969609999998</v>
      </c>
      <c r="L53" s="27"/>
      <c r="M53" s="27"/>
      <c r="N53" s="27"/>
      <c r="O53" s="27"/>
      <c r="P53" s="27"/>
      <c r="Q53" s="27"/>
      <c r="R53" s="27"/>
      <c r="S53" s="27"/>
      <c r="T53" s="27"/>
      <c r="U53" s="27"/>
      <c r="V53" s="27"/>
      <c r="W53" s="18" t="s">
        <v>528</v>
      </c>
      <c r="X53" s="18"/>
      <c r="Y53" s="27"/>
      <c r="Z53" s="27"/>
      <c r="AA53" s="27"/>
    </row>
    <row r="54" spans="1:27">
      <c r="A54" s="27"/>
      <c r="B54" s="27"/>
      <c r="C54" s="27"/>
      <c r="D54" s="27"/>
      <c r="E54" s="27"/>
      <c r="F54" s="27"/>
      <c r="G54" s="27"/>
      <c r="H54" s="27"/>
      <c r="I54" s="25">
        <v>7</v>
      </c>
      <c r="J54" s="25">
        <v>77.927580669999998</v>
      </c>
      <c r="K54" s="26">
        <v>0.77927580669999996</v>
      </c>
      <c r="L54" s="27"/>
      <c r="M54" s="27"/>
      <c r="N54" s="27"/>
      <c r="O54" s="27"/>
      <c r="P54" s="27"/>
      <c r="Q54" s="27"/>
      <c r="R54" s="27"/>
      <c r="S54" s="27"/>
      <c r="T54" s="27"/>
      <c r="U54" s="27"/>
      <c r="V54" s="27"/>
      <c r="W54" s="18" t="s">
        <v>529</v>
      </c>
      <c r="X54" s="18"/>
      <c r="Y54" s="27"/>
      <c r="Z54" s="27"/>
      <c r="AA54" s="27"/>
    </row>
    <row r="55" spans="1:27">
      <c r="A55" s="27"/>
      <c r="B55" s="27"/>
      <c r="C55" s="27"/>
      <c r="D55" s="27"/>
      <c r="E55" s="27"/>
      <c r="F55" s="27"/>
      <c r="G55" s="27"/>
      <c r="H55" s="27"/>
      <c r="I55" s="25">
        <v>8</v>
      </c>
      <c r="J55" s="25">
        <v>75.200115350000004</v>
      </c>
      <c r="K55" s="26">
        <v>0.75200115350000007</v>
      </c>
      <c r="L55" s="27"/>
      <c r="M55" s="27"/>
      <c r="N55" s="27"/>
      <c r="O55" s="27"/>
      <c r="P55" s="27"/>
      <c r="Q55" s="27"/>
      <c r="R55" s="27"/>
      <c r="S55" s="27"/>
      <c r="T55" s="27"/>
      <c r="U55" s="27"/>
      <c r="V55" s="27"/>
      <c r="W55" s="18" t="s">
        <v>530</v>
      </c>
      <c r="X55" s="18"/>
      <c r="Y55" s="27"/>
      <c r="Z55" s="27"/>
      <c r="AA55" s="27"/>
    </row>
    <row r="56" spans="1:27">
      <c r="A56" s="27"/>
      <c r="B56" s="27"/>
      <c r="C56" s="27"/>
      <c r="D56" s="27"/>
      <c r="E56" s="27"/>
      <c r="F56" s="27"/>
      <c r="G56" s="27"/>
      <c r="H56" s="27"/>
      <c r="I56" s="25">
        <v>9</v>
      </c>
      <c r="J56" s="25">
        <v>72.568111310000006</v>
      </c>
      <c r="K56" s="26">
        <v>0.72568111310000005</v>
      </c>
      <c r="L56" s="27"/>
      <c r="M56" s="27"/>
      <c r="N56" s="27"/>
      <c r="O56" s="27"/>
      <c r="P56" s="27"/>
      <c r="Q56" s="27"/>
      <c r="R56" s="27"/>
      <c r="S56" s="27"/>
      <c r="T56" s="27"/>
      <c r="U56" s="27"/>
      <c r="V56" s="27"/>
      <c r="W56" s="18" t="s">
        <v>531</v>
      </c>
      <c r="X56" s="18"/>
      <c r="Y56" s="27"/>
      <c r="Z56" s="27"/>
      <c r="AA56" s="27"/>
    </row>
    <row r="57" spans="1:27">
      <c r="A57" s="27"/>
      <c r="B57" s="27"/>
      <c r="C57" s="27"/>
      <c r="D57" s="27"/>
      <c r="E57" s="27"/>
      <c r="F57" s="27"/>
      <c r="G57" s="27"/>
      <c r="H57" s="27"/>
      <c r="I57" s="25">
        <v>10</v>
      </c>
      <c r="J57" s="25">
        <v>70.028227419999993</v>
      </c>
      <c r="K57" s="26">
        <v>0.70028227419999989</v>
      </c>
      <c r="L57" s="27"/>
      <c r="M57" s="27"/>
      <c r="N57" s="27"/>
      <c r="O57" s="27"/>
      <c r="P57" s="27"/>
      <c r="Q57" s="27"/>
      <c r="R57" s="27"/>
      <c r="S57" s="27"/>
      <c r="T57" s="27"/>
      <c r="U57" s="27"/>
      <c r="V57" s="27"/>
      <c r="W57" s="18" t="s">
        <v>532</v>
      </c>
      <c r="X57" s="18"/>
      <c r="Y57" s="27"/>
      <c r="Z57" s="27"/>
      <c r="AA57" s="27"/>
    </row>
    <row r="58" spans="1:27">
      <c r="A58" s="27"/>
      <c r="B58" s="27"/>
      <c r="C58" s="27"/>
      <c r="D58" s="27"/>
      <c r="E58" s="27"/>
      <c r="F58" s="27"/>
      <c r="G58" s="27"/>
      <c r="H58" s="27"/>
      <c r="I58" s="25">
        <v>11</v>
      </c>
      <c r="J58" s="25">
        <v>67.577239460000001</v>
      </c>
      <c r="K58" s="26">
        <v>0.67577239460000005</v>
      </c>
      <c r="L58" s="27"/>
      <c r="M58" s="27"/>
      <c r="N58" s="27"/>
      <c r="O58" s="27"/>
      <c r="P58" s="27"/>
      <c r="Q58" s="27"/>
      <c r="R58" s="27"/>
      <c r="S58" s="27"/>
      <c r="T58" s="27"/>
      <c r="U58" s="27"/>
      <c r="V58" s="27"/>
      <c r="W58" s="18" t="s">
        <v>533</v>
      </c>
      <c r="X58" s="18"/>
      <c r="Y58" s="27"/>
      <c r="Z58" s="27"/>
      <c r="AA58" s="27"/>
    </row>
    <row r="59" spans="1:27">
      <c r="A59" s="27"/>
      <c r="B59" s="27"/>
      <c r="C59" s="27"/>
      <c r="D59" s="27"/>
      <c r="E59" s="27"/>
      <c r="F59" s="27"/>
      <c r="G59" s="27"/>
      <c r="H59" s="27"/>
      <c r="I59" s="25">
        <v>12</v>
      </c>
      <c r="J59" s="25">
        <v>65.212036069999996</v>
      </c>
      <c r="K59" s="26">
        <v>0.65212036070000001</v>
      </c>
      <c r="L59" s="27"/>
      <c r="M59" s="27"/>
      <c r="N59" s="27"/>
      <c r="O59" s="27"/>
      <c r="P59" s="27"/>
      <c r="Q59" s="27"/>
      <c r="R59" s="27"/>
      <c r="S59" s="27"/>
      <c r="T59" s="27"/>
      <c r="U59" s="27"/>
      <c r="V59" s="27"/>
      <c r="W59" s="18" t="s">
        <v>534</v>
      </c>
      <c r="X59" s="18"/>
      <c r="Y59" s="27"/>
      <c r="Z59" s="27"/>
      <c r="AA59" s="27"/>
    </row>
    <row r="60" spans="1:27">
      <c r="A60" s="27"/>
      <c r="B60" s="27"/>
      <c r="C60" s="27"/>
      <c r="D60" s="27"/>
      <c r="E60" s="27"/>
      <c r="F60" s="27"/>
      <c r="G60" s="27"/>
      <c r="H60" s="27"/>
      <c r="I60" s="25">
        <v>13</v>
      </c>
      <c r="J60" s="25">
        <v>62.929614809999997</v>
      </c>
      <c r="K60" s="26">
        <v>0.62929614810000001</v>
      </c>
      <c r="L60" s="27"/>
      <c r="M60" s="27"/>
      <c r="N60" s="27"/>
      <c r="O60" s="27"/>
      <c r="P60" s="27"/>
      <c r="Q60" s="27"/>
      <c r="R60" s="27"/>
      <c r="S60" s="27"/>
      <c r="T60" s="27"/>
      <c r="U60" s="27"/>
      <c r="V60" s="27"/>
      <c r="W60" s="18" t="s">
        <v>535</v>
      </c>
      <c r="X60" s="18"/>
      <c r="Y60" s="27"/>
      <c r="Z60" s="27"/>
      <c r="AA60" s="27"/>
    </row>
    <row r="61" spans="1:27">
      <c r="A61" s="27"/>
      <c r="B61" s="27"/>
      <c r="C61" s="27"/>
      <c r="D61" s="27"/>
      <c r="E61" s="27"/>
      <c r="F61" s="27"/>
      <c r="G61" s="27"/>
      <c r="H61" s="27"/>
      <c r="I61" s="25">
        <v>14</v>
      </c>
      <c r="J61" s="25">
        <v>60.727078290000001</v>
      </c>
      <c r="K61" s="26">
        <v>0.60727078290000003</v>
      </c>
      <c r="L61" s="27"/>
      <c r="M61" s="27"/>
      <c r="N61" s="27"/>
      <c r="O61" s="27"/>
      <c r="P61" s="27"/>
      <c r="Q61" s="27"/>
      <c r="R61" s="27"/>
      <c r="S61" s="27"/>
      <c r="T61" s="27"/>
      <c r="U61" s="27"/>
      <c r="V61" s="27"/>
      <c r="W61" s="18" t="s">
        <v>536</v>
      </c>
      <c r="X61" s="18"/>
      <c r="Y61" s="27"/>
      <c r="Z61" s="27"/>
      <c r="AA61" s="27"/>
    </row>
    <row r="62" spans="1:27">
      <c r="A62" s="27"/>
      <c r="B62" s="27"/>
      <c r="C62" s="27"/>
      <c r="D62" s="27"/>
      <c r="E62" s="27"/>
      <c r="F62" s="27"/>
      <c r="G62" s="27"/>
      <c r="H62" s="27"/>
      <c r="I62" s="25">
        <v>15</v>
      </c>
      <c r="J62" s="25">
        <v>58.601630550000003</v>
      </c>
      <c r="K62" s="26">
        <v>0.58601630550000006</v>
      </c>
      <c r="L62" s="27"/>
      <c r="M62" s="27"/>
      <c r="N62" s="27"/>
      <c r="O62" s="27"/>
      <c r="P62" s="27"/>
      <c r="Q62" s="27"/>
      <c r="R62" s="27"/>
      <c r="S62" s="27"/>
      <c r="T62" s="27"/>
      <c r="U62" s="27"/>
      <c r="V62" s="27"/>
      <c r="W62" s="18" t="s">
        <v>537</v>
      </c>
      <c r="X62" s="18"/>
      <c r="Y62" s="27"/>
      <c r="Z62" s="27"/>
      <c r="AA62" s="27"/>
    </row>
    <row r="63" spans="1:27">
      <c r="A63" s="27"/>
      <c r="B63" s="27"/>
      <c r="C63" s="27"/>
      <c r="D63" s="27"/>
      <c r="E63" s="27"/>
      <c r="F63" s="27"/>
      <c r="G63" s="27"/>
      <c r="H63" s="27"/>
      <c r="I63" s="25">
        <v>16</v>
      </c>
      <c r="J63" s="25">
        <v>56.550573479999997</v>
      </c>
      <c r="K63" s="26">
        <v>0.56550573479999999</v>
      </c>
      <c r="L63" s="27"/>
      <c r="M63" s="27"/>
      <c r="N63" s="27"/>
      <c r="O63" s="27"/>
      <c r="P63" s="27"/>
      <c r="Q63" s="27"/>
      <c r="R63" s="27"/>
      <c r="S63" s="27"/>
      <c r="T63" s="27"/>
      <c r="U63" s="27"/>
      <c r="V63" s="27"/>
      <c r="W63" s="18" t="s">
        <v>538</v>
      </c>
      <c r="X63" s="18"/>
      <c r="Y63" s="27"/>
      <c r="Z63" s="27"/>
      <c r="AA63" s="27"/>
    </row>
    <row r="64" spans="1:27">
      <c r="A64" s="27"/>
      <c r="B64" s="27"/>
      <c r="C64" s="27"/>
      <c r="D64" s="27"/>
      <c r="E64" s="27"/>
      <c r="F64" s="27"/>
      <c r="G64" s="27"/>
      <c r="H64" s="27"/>
      <c r="I64" s="25">
        <v>17</v>
      </c>
      <c r="J64" s="25">
        <v>54.571303409999999</v>
      </c>
      <c r="K64" s="26">
        <v>0.54571303409999994</v>
      </c>
      <c r="L64" s="27"/>
      <c r="M64" s="27"/>
      <c r="N64" s="27"/>
      <c r="O64" s="27"/>
      <c r="P64" s="27"/>
      <c r="Q64" s="27"/>
      <c r="R64" s="27"/>
      <c r="S64" s="27"/>
      <c r="T64" s="27"/>
      <c r="U64" s="27"/>
      <c r="V64" s="27"/>
      <c r="W64" s="18" t="s">
        <v>539</v>
      </c>
      <c r="X64" s="18"/>
      <c r="Y64" s="27"/>
      <c r="Z64" s="27"/>
      <c r="AA64" s="27"/>
    </row>
    <row r="65" spans="1:27">
      <c r="A65" s="27"/>
      <c r="B65" s="27"/>
      <c r="C65" s="27"/>
      <c r="D65" s="27"/>
      <c r="E65" s="27"/>
      <c r="F65" s="27"/>
      <c r="G65" s="27"/>
      <c r="H65" s="27"/>
      <c r="I65" s="25">
        <v>18</v>
      </c>
      <c r="J65" s="25">
        <v>52.661307790000002</v>
      </c>
      <c r="K65" s="26">
        <v>0.5266130779</v>
      </c>
      <c r="L65" s="27"/>
      <c r="M65" s="27"/>
      <c r="N65" s="27"/>
      <c r="O65" s="27"/>
      <c r="P65" s="27"/>
      <c r="Q65" s="27"/>
      <c r="R65" s="27"/>
      <c r="S65" s="27"/>
      <c r="T65" s="27"/>
      <c r="U65" s="27"/>
      <c r="V65" s="27"/>
      <c r="W65" s="18" t="s">
        <v>540</v>
      </c>
      <c r="X65" s="18"/>
      <c r="Y65" s="27"/>
      <c r="Z65" s="27"/>
      <c r="AA65" s="27"/>
    </row>
    <row r="66" spans="1:27">
      <c r="A66" s="27"/>
      <c r="B66" s="27"/>
      <c r="C66" s="27"/>
      <c r="D66" s="27"/>
      <c r="E66" s="27"/>
      <c r="F66" s="27"/>
      <c r="G66" s="27"/>
      <c r="H66" s="27"/>
      <c r="I66" s="25">
        <v>19</v>
      </c>
      <c r="J66" s="25">
        <v>50.818162020000003</v>
      </c>
      <c r="K66" s="26">
        <v>0.50818162020000002</v>
      </c>
      <c r="L66" s="27"/>
      <c r="M66" s="27"/>
      <c r="N66" s="27"/>
      <c r="O66" s="27"/>
      <c r="P66" s="27"/>
      <c r="Q66" s="27"/>
      <c r="R66" s="27"/>
      <c r="S66" s="27"/>
      <c r="T66" s="27"/>
      <c r="U66" s="27"/>
      <c r="V66" s="27"/>
      <c r="W66" s="18" t="s">
        <v>541</v>
      </c>
      <c r="X66" s="18"/>
      <c r="Y66" s="27"/>
      <c r="Z66" s="27"/>
      <c r="AA66" s="27"/>
    </row>
    <row r="67" spans="1:27">
      <c r="A67" s="27"/>
      <c r="B67" s="27"/>
      <c r="C67" s="27"/>
      <c r="D67" s="27"/>
      <c r="E67" s="27"/>
      <c r="F67" s="27"/>
      <c r="G67" s="27"/>
      <c r="H67" s="27"/>
      <c r="I67" s="25">
        <v>20</v>
      </c>
      <c r="J67" s="25">
        <v>49.039526350000003</v>
      </c>
      <c r="K67" s="26">
        <v>0.49039526350000001</v>
      </c>
      <c r="L67" s="27"/>
      <c r="M67" s="27"/>
      <c r="N67" s="27"/>
      <c r="O67" s="27"/>
      <c r="P67" s="27"/>
      <c r="Q67" s="27"/>
      <c r="R67" s="27"/>
      <c r="S67" s="27"/>
      <c r="T67" s="27"/>
      <c r="U67" s="27"/>
      <c r="V67" s="27"/>
      <c r="W67" s="18" t="s">
        <v>542</v>
      </c>
      <c r="X67" s="18"/>
      <c r="Y67" s="27"/>
      <c r="Z67" s="27"/>
      <c r="AA67" s="27"/>
    </row>
    <row r="68" spans="1:27">
      <c r="A68" s="27"/>
      <c r="B68" s="27"/>
      <c r="C68" s="27"/>
      <c r="D68" s="27"/>
      <c r="E68" s="27"/>
      <c r="F68" s="27"/>
      <c r="G68" s="27"/>
      <c r="H68" s="27"/>
      <c r="I68" s="25">
        <v>21</v>
      </c>
      <c r="J68" s="25">
        <v>47.323142930000003</v>
      </c>
      <c r="K68" s="26">
        <v>0.47323142930000001</v>
      </c>
      <c r="L68" s="27"/>
      <c r="M68" s="27"/>
      <c r="N68" s="27"/>
      <c r="O68" s="27"/>
      <c r="P68" s="27"/>
      <c r="Q68" s="27"/>
      <c r="R68" s="27"/>
      <c r="S68" s="27"/>
      <c r="T68" s="27"/>
      <c r="U68" s="27"/>
      <c r="V68" s="27"/>
      <c r="W68" s="18" t="s">
        <v>543</v>
      </c>
      <c r="X68" s="18"/>
      <c r="Y68" s="27"/>
      <c r="Z68" s="27"/>
      <c r="AA68" s="27"/>
    </row>
    <row r="69" spans="1:27">
      <c r="A69" s="27"/>
      <c r="B69" s="27"/>
      <c r="C69" s="27"/>
      <c r="D69" s="27"/>
      <c r="E69" s="27"/>
      <c r="F69" s="27"/>
      <c r="G69" s="27"/>
      <c r="H69" s="27"/>
      <c r="I69" s="25">
        <v>22</v>
      </c>
      <c r="J69" s="25">
        <v>45.666832919999997</v>
      </c>
      <c r="K69" s="26">
        <v>0.4566683292</v>
      </c>
      <c r="L69" s="27"/>
      <c r="M69" s="27"/>
      <c r="N69" s="27"/>
      <c r="O69" s="27"/>
      <c r="P69" s="27"/>
      <c r="Q69" s="27"/>
      <c r="R69" s="27"/>
      <c r="S69" s="27"/>
      <c r="T69" s="27"/>
      <c r="U69" s="27"/>
      <c r="V69" s="27"/>
      <c r="W69" s="18" t="s">
        <v>544</v>
      </c>
      <c r="X69" s="18"/>
      <c r="Y69" s="27"/>
      <c r="Z69" s="27"/>
      <c r="AA69" s="27"/>
    </row>
    <row r="70" spans="1:27">
      <c r="A70" s="27"/>
      <c r="B70" s="27"/>
      <c r="C70" s="27"/>
      <c r="D70" s="27"/>
      <c r="E70" s="27"/>
      <c r="F70" s="27"/>
      <c r="G70" s="27"/>
      <c r="H70" s="27"/>
      <c r="I70" s="25">
        <v>23</v>
      </c>
      <c r="J70" s="25">
        <v>44.068493770000003</v>
      </c>
      <c r="K70" s="26">
        <v>0.44068493770000006</v>
      </c>
      <c r="L70" s="27"/>
      <c r="M70" s="27"/>
      <c r="N70" s="27"/>
      <c r="O70" s="27"/>
      <c r="P70" s="27"/>
      <c r="Q70" s="27"/>
      <c r="R70" s="27"/>
      <c r="S70" s="27"/>
      <c r="T70" s="27"/>
      <c r="U70" s="27"/>
      <c r="V70" s="27"/>
      <c r="W70" s="18" t="s">
        <v>545</v>
      </c>
      <c r="X70" s="18"/>
      <c r="Y70" s="27"/>
      <c r="Z70" s="27"/>
      <c r="AA70" s="27"/>
    </row>
    <row r="71" spans="1:27">
      <c r="A71" s="27"/>
      <c r="B71" s="27"/>
      <c r="C71" s="27"/>
      <c r="D71" s="27"/>
      <c r="E71" s="27"/>
      <c r="F71" s="27"/>
      <c r="G71" s="27"/>
      <c r="H71" s="27"/>
      <c r="I71" s="25">
        <v>24</v>
      </c>
      <c r="J71" s="25">
        <v>42.52609649</v>
      </c>
      <c r="K71" s="26">
        <v>0.42526096489999998</v>
      </c>
      <c r="L71" s="27"/>
      <c r="M71" s="27"/>
      <c r="N71" s="27"/>
      <c r="O71" s="27"/>
      <c r="P71" s="27"/>
      <c r="Q71" s="27"/>
      <c r="R71" s="27"/>
      <c r="S71" s="27"/>
      <c r="T71" s="27"/>
      <c r="U71" s="27"/>
      <c r="V71" s="27"/>
      <c r="W71" s="18" t="s">
        <v>546</v>
      </c>
      <c r="X71" s="18"/>
      <c r="Y71" s="27"/>
      <c r="Z71" s="27"/>
      <c r="AA71" s="27"/>
    </row>
    <row r="72" spans="1:27">
      <c r="A72" s="27"/>
      <c r="B72" s="27"/>
      <c r="C72" s="27"/>
      <c r="D72" s="27"/>
      <c r="E72" s="27"/>
      <c r="F72" s="27"/>
      <c r="G72" s="27"/>
      <c r="H72" s="27"/>
      <c r="I72" s="25">
        <v>25</v>
      </c>
      <c r="J72" s="25">
        <v>41.037683110000003</v>
      </c>
      <c r="K72" s="26">
        <v>0.41037683110000001</v>
      </c>
      <c r="L72" s="27"/>
      <c r="M72" s="27"/>
      <c r="N72" s="27"/>
      <c r="O72" s="27"/>
      <c r="P72" s="27"/>
      <c r="Q72" s="27"/>
      <c r="R72" s="27"/>
      <c r="S72" s="27"/>
      <c r="T72" s="27"/>
      <c r="U72" s="27"/>
      <c r="V72" s="27"/>
      <c r="W72" s="18" t="s">
        <v>547</v>
      </c>
      <c r="X72" s="18"/>
      <c r="Y72" s="27"/>
      <c r="Z72" s="27"/>
      <c r="AA72" s="27"/>
    </row>
    <row r="73" spans="1:27">
      <c r="A73" s="27"/>
      <c r="B73" s="27"/>
      <c r="C73" s="27"/>
      <c r="D73" s="27"/>
      <c r="E73" s="27"/>
      <c r="F73" s="27"/>
      <c r="G73" s="27"/>
      <c r="H73" s="27"/>
      <c r="I73" s="25">
        <v>26</v>
      </c>
      <c r="J73" s="25">
        <v>39.601364199999999</v>
      </c>
      <c r="K73" s="26">
        <v>0.396013642</v>
      </c>
      <c r="L73" s="27"/>
      <c r="M73" s="27"/>
      <c r="N73" s="27"/>
      <c r="O73" s="27"/>
      <c r="P73" s="27"/>
      <c r="Q73" s="27"/>
      <c r="R73" s="27"/>
      <c r="S73" s="27"/>
      <c r="T73" s="27"/>
      <c r="U73" s="27"/>
      <c r="V73" s="27"/>
      <c r="W73" s="18" t="s">
        <v>548</v>
      </c>
      <c r="X73" s="18"/>
      <c r="Y73" s="27"/>
      <c r="Z73" s="27"/>
      <c r="AA73" s="27"/>
    </row>
    <row r="74" spans="1:27">
      <c r="A74" s="27"/>
      <c r="B74" s="27"/>
      <c r="C74" s="27"/>
      <c r="D74" s="27"/>
      <c r="E74" s="27"/>
      <c r="F74" s="27"/>
      <c r="G74" s="27"/>
      <c r="H74" s="27"/>
      <c r="I74" s="25">
        <v>27</v>
      </c>
      <c r="J74" s="25">
        <v>38.215316459999997</v>
      </c>
      <c r="K74" s="26">
        <v>0.38215316459999998</v>
      </c>
      <c r="L74" s="27"/>
      <c r="M74" s="27"/>
      <c r="N74" s="27"/>
      <c r="O74" s="27"/>
      <c r="P74" s="27"/>
      <c r="Q74" s="27"/>
      <c r="R74" s="27"/>
      <c r="S74" s="27"/>
      <c r="T74" s="27"/>
      <c r="U74" s="27"/>
      <c r="V74" s="27"/>
      <c r="W74" s="18" t="s">
        <v>549</v>
      </c>
      <c r="X74" s="18"/>
      <c r="Y74" s="27"/>
      <c r="Z74" s="27"/>
      <c r="AA74" s="27"/>
    </row>
    <row r="75" spans="1:27">
      <c r="A75" s="27"/>
      <c r="B75" s="27"/>
      <c r="C75" s="27"/>
      <c r="D75" s="27"/>
      <c r="E75" s="27"/>
      <c r="F75" s="27"/>
      <c r="G75" s="27"/>
      <c r="H75" s="27"/>
      <c r="I75" s="25">
        <v>28</v>
      </c>
      <c r="J75" s="25">
        <v>36.877780379999997</v>
      </c>
      <c r="K75" s="26">
        <v>0.36877780379999997</v>
      </c>
      <c r="L75" s="27"/>
      <c r="M75" s="27"/>
      <c r="N75" s="27"/>
      <c r="O75" s="27"/>
      <c r="P75" s="27"/>
      <c r="Q75" s="27"/>
      <c r="R75" s="27"/>
      <c r="S75" s="27"/>
      <c r="T75" s="27"/>
      <c r="U75" s="27"/>
      <c r="V75" s="27"/>
      <c r="W75" s="18" t="s">
        <v>550</v>
      </c>
      <c r="X75" s="18"/>
      <c r="Y75" s="27"/>
      <c r="Z75" s="27"/>
      <c r="AA75" s="27"/>
    </row>
    <row r="76" spans="1:27">
      <c r="A76" s="27"/>
      <c r="B76" s="27"/>
      <c r="C76" s="27"/>
      <c r="D76" s="27"/>
      <c r="E76" s="27"/>
      <c r="F76" s="27"/>
      <c r="G76" s="27"/>
      <c r="H76" s="27"/>
      <c r="I76" s="25">
        <v>29</v>
      </c>
      <c r="J76" s="25">
        <v>35.587058069999998</v>
      </c>
      <c r="K76" s="26">
        <v>0.35587058069999999</v>
      </c>
      <c r="L76" s="27"/>
      <c r="M76" s="27"/>
      <c r="N76" s="27"/>
      <c r="O76" s="27"/>
      <c r="P76" s="27"/>
      <c r="Q76" s="27"/>
      <c r="R76" s="27"/>
      <c r="S76" s="27"/>
      <c r="T76" s="27"/>
      <c r="U76" s="27"/>
      <c r="V76" s="27"/>
      <c r="W76" s="18" t="s">
        <v>551</v>
      </c>
      <c r="X76" s="18"/>
      <c r="Y76" s="27"/>
      <c r="Z76" s="27"/>
      <c r="AA76" s="27"/>
    </row>
    <row r="77" spans="1:27">
      <c r="A77" s="27"/>
      <c r="B77" s="27"/>
      <c r="C77" s="27"/>
      <c r="D77" s="27"/>
      <c r="E77" s="27"/>
      <c r="F77" s="27"/>
      <c r="G77" s="27"/>
      <c r="H77" s="27"/>
      <c r="I77" s="25">
        <v>30</v>
      </c>
      <c r="J77" s="25">
        <v>34.34151104</v>
      </c>
      <c r="K77" s="26">
        <v>0.3434151104</v>
      </c>
      <c r="L77" s="27"/>
      <c r="M77" s="27"/>
      <c r="N77" s="27"/>
      <c r="O77" s="27"/>
      <c r="P77" s="27"/>
      <c r="Q77" s="27"/>
      <c r="R77" s="27"/>
      <c r="S77" s="27"/>
      <c r="T77" s="27"/>
      <c r="U77" s="27"/>
      <c r="V77" s="27"/>
      <c r="W77" s="18" t="s">
        <v>552</v>
      </c>
      <c r="X77" s="18"/>
      <c r="Y77" s="27"/>
      <c r="Z77" s="27"/>
      <c r="AA77" s="27"/>
    </row>
    <row r="78" spans="1:27">
      <c r="A78" s="27"/>
      <c r="B78" s="27"/>
      <c r="C78" s="27"/>
      <c r="D78" s="27"/>
      <c r="E78" s="27"/>
      <c r="F78" s="27"/>
      <c r="G78" s="27"/>
      <c r="H78" s="27"/>
      <c r="I78" s="25">
        <v>31</v>
      </c>
      <c r="J78" s="25">
        <v>33.139558149999999</v>
      </c>
      <c r="K78" s="26">
        <v>0.33139558149999998</v>
      </c>
      <c r="L78" s="27"/>
      <c r="M78" s="27"/>
      <c r="N78" s="27"/>
      <c r="O78" s="27"/>
      <c r="P78" s="27"/>
      <c r="Q78" s="27"/>
      <c r="R78" s="27"/>
      <c r="S78" s="27"/>
      <c r="T78" s="27"/>
      <c r="U78" s="27"/>
      <c r="V78" s="27"/>
      <c r="W78" s="18" t="s">
        <v>553</v>
      </c>
      <c r="X78" s="18"/>
      <c r="Y78" s="27"/>
      <c r="Z78" s="27"/>
      <c r="AA78" s="27"/>
    </row>
    <row r="79" spans="1:27">
      <c r="A79" s="27"/>
      <c r="B79" s="27"/>
      <c r="C79" s="27"/>
      <c r="D79" s="27"/>
      <c r="E79" s="27"/>
      <c r="F79" s="27"/>
      <c r="G79" s="27"/>
      <c r="H79" s="27"/>
      <c r="I79" s="25" t="s">
        <v>431</v>
      </c>
      <c r="J79" s="21">
        <v>31.979673609999999</v>
      </c>
      <c r="K79" s="26">
        <v>0.31979673609999998</v>
      </c>
      <c r="L79" s="27"/>
      <c r="M79" s="27"/>
      <c r="N79" s="27"/>
      <c r="O79" s="27"/>
      <c r="P79" s="27"/>
      <c r="Q79" s="27"/>
      <c r="R79" s="27"/>
      <c r="S79" s="27"/>
      <c r="T79" s="27"/>
      <c r="U79" s="27"/>
      <c r="V79" s="27"/>
      <c r="W79" s="18" t="s">
        <v>554</v>
      </c>
      <c r="X79" s="18"/>
      <c r="Y79" s="27"/>
      <c r="Z79" s="27"/>
      <c r="AA79" s="27"/>
    </row>
    <row r="80" spans="1:27">
      <c r="A80" s="27"/>
      <c r="B80" s="27"/>
      <c r="C80" s="27"/>
      <c r="D80" s="27"/>
      <c r="E80" s="27"/>
      <c r="F80" s="27"/>
      <c r="G80" s="27"/>
      <c r="H80" s="27"/>
      <c r="I80" s="17" t="s">
        <v>415</v>
      </c>
      <c r="J80" s="17" t="s">
        <v>492</v>
      </c>
      <c r="K80" s="17" t="s">
        <v>492</v>
      </c>
      <c r="L80" s="27"/>
      <c r="M80" s="27"/>
      <c r="N80" s="27"/>
      <c r="O80" s="27"/>
      <c r="P80" s="27"/>
      <c r="Q80" s="27"/>
      <c r="R80" s="27"/>
      <c r="S80" s="27"/>
      <c r="T80" s="27"/>
      <c r="U80" s="27"/>
      <c r="V80" s="27"/>
      <c r="W80" s="18" t="s">
        <v>555</v>
      </c>
      <c r="X80" s="18"/>
      <c r="Y80" s="27"/>
      <c r="Z80" s="27"/>
      <c r="AA80" s="27"/>
    </row>
    <row r="81" spans="1:27">
      <c r="A81" s="27"/>
      <c r="B81" s="27"/>
      <c r="C81" s="27"/>
      <c r="D81" s="27"/>
      <c r="E81" s="27"/>
      <c r="F81" s="27"/>
      <c r="G81" s="27"/>
      <c r="H81" s="27"/>
      <c r="I81" s="27"/>
      <c r="J81" s="27"/>
      <c r="K81" s="27"/>
      <c r="L81" s="27"/>
      <c r="M81" s="27"/>
      <c r="N81" s="27"/>
      <c r="O81" s="27"/>
      <c r="P81" s="27"/>
      <c r="Q81" s="27"/>
      <c r="R81" s="27"/>
      <c r="S81" s="27"/>
      <c r="T81" s="27"/>
      <c r="U81" s="27"/>
      <c r="V81" s="27"/>
      <c r="W81" s="18" t="s">
        <v>556</v>
      </c>
      <c r="X81" s="18"/>
      <c r="Y81" s="27"/>
      <c r="Z81" s="27"/>
      <c r="AA81" s="27"/>
    </row>
    <row r="82" spans="1:27">
      <c r="A82" s="27"/>
      <c r="B82" s="27"/>
      <c r="C82" s="27"/>
      <c r="D82" s="27"/>
      <c r="E82" s="27"/>
      <c r="F82" s="27"/>
      <c r="G82" s="27"/>
      <c r="H82" s="27"/>
      <c r="I82" s="27"/>
      <c r="J82" s="27"/>
      <c r="K82" s="27"/>
      <c r="L82" s="27"/>
      <c r="M82" s="27"/>
      <c r="N82" s="27"/>
      <c r="O82" s="27"/>
      <c r="P82" s="27"/>
      <c r="Q82" s="27"/>
      <c r="R82" s="27"/>
      <c r="S82" s="27"/>
      <c r="T82" s="27"/>
      <c r="U82" s="27"/>
      <c r="V82" s="27"/>
      <c r="W82" s="18" t="s">
        <v>557</v>
      </c>
      <c r="X82" s="18"/>
      <c r="Y82" s="27"/>
      <c r="Z82" s="27"/>
      <c r="AA82" s="27"/>
    </row>
    <row r="83" spans="1:27">
      <c r="A83" s="27"/>
      <c r="B83" s="27"/>
      <c r="C83" s="27"/>
      <c r="D83" s="27"/>
      <c r="E83" s="27"/>
      <c r="F83" s="27"/>
      <c r="G83" s="27"/>
      <c r="H83" s="27"/>
      <c r="I83" s="27"/>
      <c r="J83" s="27"/>
      <c r="K83" s="27"/>
      <c r="L83" s="27"/>
      <c r="M83" s="27"/>
      <c r="N83" s="27"/>
      <c r="O83" s="27"/>
      <c r="P83" s="27"/>
      <c r="Q83" s="27"/>
      <c r="R83" s="27"/>
      <c r="S83" s="27"/>
      <c r="T83" s="27"/>
      <c r="U83" s="27"/>
      <c r="V83" s="27"/>
      <c r="W83" s="18" t="s">
        <v>558</v>
      </c>
      <c r="X83" s="18"/>
      <c r="Y83" s="27"/>
      <c r="Z83" s="27"/>
      <c r="AA83" s="27"/>
    </row>
    <row r="84" spans="1:27">
      <c r="A84" s="27"/>
      <c r="B84" s="27"/>
      <c r="C84" s="27"/>
      <c r="D84" s="27"/>
      <c r="E84" s="27"/>
      <c r="F84" s="27"/>
      <c r="G84" s="27"/>
      <c r="H84" s="27"/>
      <c r="I84" s="27"/>
      <c r="J84" s="27"/>
      <c r="K84" s="27"/>
      <c r="L84" s="27"/>
      <c r="M84" s="27"/>
      <c r="N84" s="27"/>
      <c r="O84" s="27"/>
      <c r="P84" s="27"/>
      <c r="Q84" s="27"/>
      <c r="R84" s="27"/>
      <c r="S84" s="27"/>
      <c r="T84" s="27"/>
      <c r="U84" s="27"/>
      <c r="V84" s="27"/>
      <c r="W84" s="18" t="s">
        <v>559</v>
      </c>
      <c r="X84" s="18"/>
      <c r="Y84" s="27"/>
      <c r="Z84" s="27"/>
      <c r="AA84" s="27"/>
    </row>
    <row r="85" spans="1:27">
      <c r="A85" s="27"/>
      <c r="B85" s="27"/>
      <c r="C85" s="27"/>
      <c r="D85" s="27"/>
      <c r="E85" s="27"/>
      <c r="F85" s="27"/>
      <c r="G85" s="27"/>
      <c r="H85" s="27"/>
      <c r="I85" s="27"/>
      <c r="J85" s="27"/>
      <c r="K85" s="27"/>
      <c r="L85" s="27"/>
      <c r="M85" s="27"/>
      <c r="N85" s="27"/>
      <c r="O85" s="27"/>
      <c r="P85" s="27"/>
      <c r="Q85" s="27"/>
      <c r="R85" s="27"/>
      <c r="S85" s="27"/>
      <c r="T85" s="27"/>
      <c r="U85" s="27"/>
      <c r="V85" s="27"/>
      <c r="W85" s="18" t="s">
        <v>560</v>
      </c>
      <c r="X85" s="18"/>
      <c r="Y85" s="27"/>
      <c r="Z85" s="27"/>
      <c r="AA85" s="27"/>
    </row>
    <row r="86" spans="1:27">
      <c r="A86" s="27"/>
      <c r="B86" s="27"/>
      <c r="C86" s="27"/>
      <c r="D86" s="27"/>
      <c r="E86" s="27"/>
      <c r="F86" s="27"/>
      <c r="G86" s="27"/>
      <c r="H86" s="27"/>
      <c r="I86" s="27"/>
      <c r="J86" s="27"/>
      <c r="K86" s="27"/>
      <c r="L86" s="27"/>
      <c r="M86" s="27"/>
      <c r="N86" s="27"/>
      <c r="O86" s="27"/>
      <c r="P86" s="27"/>
      <c r="Q86" s="27"/>
      <c r="R86" s="27"/>
      <c r="S86" s="27"/>
      <c r="T86" s="27"/>
      <c r="U86" s="27"/>
      <c r="V86" s="27"/>
      <c r="W86" s="18" t="s">
        <v>561</v>
      </c>
      <c r="X86" s="18"/>
      <c r="Y86" s="27"/>
      <c r="Z86" s="27"/>
      <c r="AA86" s="27"/>
    </row>
    <row r="87" spans="1:27">
      <c r="A87" s="27"/>
      <c r="B87" s="27"/>
      <c r="C87" s="27"/>
      <c r="D87" s="27"/>
      <c r="E87" s="27"/>
      <c r="F87" s="27"/>
      <c r="G87" s="27"/>
      <c r="H87" s="27"/>
      <c r="I87" s="27"/>
      <c r="J87" s="27"/>
      <c r="K87" s="27"/>
      <c r="L87" s="27"/>
      <c r="M87" s="27"/>
      <c r="N87" s="27"/>
      <c r="O87" s="27"/>
      <c r="P87" s="27"/>
      <c r="Q87" s="27"/>
      <c r="R87" s="27"/>
      <c r="S87" s="27"/>
      <c r="T87" s="27"/>
      <c r="U87" s="27"/>
      <c r="V87" s="27"/>
      <c r="W87" s="18" t="s">
        <v>562</v>
      </c>
      <c r="X87" s="18"/>
      <c r="Y87" s="27"/>
      <c r="Z87" s="27"/>
      <c r="AA87" s="27"/>
    </row>
    <row r="88" spans="1:27">
      <c r="A88" s="27"/>
      <c r="B88" s="27"/>
      <c r="C88" s="27"/>
      <c r="D88" s="27"/>
      <c r="E88" s="27"/>
      <c r="F88" s="27"/>
      <c r="G88" s="27"/>
      <c r="H88" s="27"/>
      <c r="I88" s="27"/>
      <c r="J88" s="27"/>
      <c r="K88" s="27"/>
      <c r="L88" s="27"/>
      <c r="M88" s="27"/>
      <c r="N88" s="27"/>
      <c r="O88" s="27"/>
      <c r="P88" s="27"/>
      <c r="Q88" s="27"/>
      <c r="R88" s="27"/>
      <c r="S88" s="27"/>
      <c r="T88" s="27"/>
      <c r="U88" s="27"/>
      <c r="V88" s="27"/>
      <c r="W88" s="18" t="s">
        <v>563</v>
      </c>
      <c r="X88" s="18"/>
      <c r="Y88" s="27"/>
      <c r="Z88" s="27"/>
      <c r="AA88" s="27"/>
    </row>
    <row r="89" spans="1:27">
      <c r="A89" s="27"/>
      <c r="B89" s="27"/>
      <c r="C89" s="27"/>
      <c r="D89" s="27"/>
      <c r="E89" s="27"/>
      <c r="F89" s="27"/>
      <c r="G89" s="27"/>
      <c r="H89" s="27"/>
      <c r="I89" s="27"/>
      <c r="J89" s="27"/>
      <c r="K89" s="27"/>
      <c r="L89" s="27"/>
      <c r="M89" s="27"/>
      <c r="N89" s="27"/>
      <c r="O89" s="27"/>
      <c r="P89" s="27"/>
      <c r="Q89" s="27"/>
      <c r="R89" s="27"/>
      <c r="S89" s="27"/>
      <c r="T89" s="27"/>
      <c r="U89" s="27"/>
      <c r="V89" s="27"/>
      <c r="W89" s="18" t="s">
        <v>564</v>
      </c>
      <c r="X89" s="18"/>
      <c r="Y89" s="27"/>
      <c r="Z89" s="27"/>
      <c r="AA89" s="27"/>
    </row>
    <row r="90" spans="1:27">
      <c r="A90" s="27"/>
      <c r="B90" s="27"/>
      <c r="C90" s="27"/>
      <c r="D90" s="27"/>
      <c r="E90" s="27"/>
      <c r="F90" s="27"/>
      <c r="G90" s="27"/>
      <c r="H90" s="27"/>
      <c r="I90" s="27"/>
      <c r="J90" s="27"/>
      <c r="K90" s="27"/>
      <c r="L90" s="27"/>
      <c r="M90" s="27"/>
      <c r="N90" s="27"/>
      <c r="O90" s="27"/>
      <c r="P90" s="27"/>
      <c r="Q90" s="27"/>
      <c r="R90" s="27"/>
      <c r="S90" s="27"/>
      <c r="T90" s="27"/>
      <c r="U90" s="27"/>
      <c r="V90" s="27"/>
      <c r="W90" s="18" t="s">
        <v>565</v>
      </c>
      <c r="X90" s="18"/>
      <c r="Y90" s="27"/>
      <c r="Z90" s="27"/>
      <c r="AA90" s="27"/>
    </row>
    <row r="91" spans="1:27">
      <c r="A91" s="27"/>
      <c r="B91" s="27"/>
      <c r="C91" s="27"/>
      <c r="D91" s="27"/>
      <c r="E91" s="27"/>
      <c r="F91" s="27"/>
      <c r="G91" s="27"/>
      <c r="H91" s="27"/>
      <c r="I91" s="27"/>
      <c r="J91" s="27"/>
      <c r="K91" s="27"/>
      <c r="L91" s="27"/>
      <c r="M91" s="27"/>
      <c r="N91" s="27"/>
      <c r="O91" s="27"/>
      <c r="P91" s="27"/>
      <c r="Q91" s="27"/>
      <c r="R91" s="27"/>
      <c r="S91" s="27"/>
      <c r="T91" s="27"/>
      <c r="U91" s="27"/>
      <c r="V91" s="27"/>
      <c r="W91" s="18" t="s">
        <v>566</v>
      </c>
      <c r="X91" s="18"/>
      <c r="Y91" s="27"/>
      <c r="Z91" s="27"/>
      <c r="AA91" s="27"/>
    </row>
    <row r="92" spans="1:27">
      <c r="A92" s="27"/>
      <c r="B92" s="27"/>
      <c r="C92" s="27"/>
      <c r="D92" s="27"/>
      <c r="E92" s="27"/>
      <c r="F92" s="27"/>
      <c r="G92" s="27"/>
      <c r="H92" s="27"/>
      <c r="I92" s="27"/>
      <c r="J92" s="27"/>
      <c r="K92" s="27"/>
      <c r="L92" s="27"/>
      <c r="M92" s="27"/>
      <c r="N92" s="27"/>
      <c r="O92" s="27"/>
      <c r="P92" s="27"/>
      <c r="Q92" s="27"/>
      <c r="R92" s="27"/>
      <c r="S92" s="27"/>
      <c r="T92" s="27"/>
      <c r="U92" s="27"/>
      <c r="V92" s="27"/>
      <c r="W92" s="18" t="s">
        <v>567</v>
      </c>
      <c r="X92" s="18"/>
      <c r="Y92" s="27"/>
      <c r="Z92" s="27"/>
      <c r="AA92" s="27"/>
    </row>
    <row r="93" spans="1:27">
      <c r="A93" s="27"/>
      <c r="B93" s="27"/>
      <c r="C93" s="27"/>
      <c r="D93" s="27"/>
      <c r="E93" s="27"/>
      <c r="F93" s="27"/>
      <c r="G93" s="27"/>
      <c r="H93" s="27"/>
      <c r="I93" s="27"/>
      <c r="J93" s="27"/>
      <c r="K93" s="27"/>
      <c r="L93" s="27"/>
      <c r="M93" s="27"/>
      <c r="N93" s="27"/>
      <c r="O93" s="27"/>
      <c r="P93" s="27"/>
      <c r="Q93" s="27"/>
      <c r="R93" s="27"/>
      <c r="S93" s="27"/>
      <c r="T93" s="27"/>
      <c r="U93" s="27"/>
      <c r="V93" s="27"/>
      <c r="W93" s="18" t="s">
        <v>568</v>
      </c>
      <c r="X93" s="18"/>
      <c r="Y93" s="27"/>
      <c r="Z93" s="27"/>
      <c r="AA93" s="27"/>
    </row>
    <row r="94" spans="1:27">
      <c r="A94" s="27"/>
      <c r="B94" s="27"/>
      <c r="C94" s="27"/>
      <c r="D94" s="27"/>
      <c r="E94" s="27"/>
      <c r="F94" s="27"/>
      <c r="G94" s="27"/>
      <c r="H94" s="27"/>
      <c r="I94" s="27"/>
      <c r="J94" s="27"/>
      <c r="K94" s="27"/>
      <c r="L94" s="27"/>
      <c r="M94" s="27"/>
      <c r="N94" s="27"/>
      <c r="O94" s="27"/>
      <c r="P94" s="27"/>
      <c r="Q94" s="27"/>
      <c r="R94" s="27"/>
      <c r="S94" s="27"/>
      <c r="T94" s="27"/>
      <c r="U94" s="27"/>
      <c r="V94" s="27"/>
      <c r="W94" s="18" t="s">
        <v>569</v>
      </c>
      <c r="X94" s="18"/>
      <c r="Y94" s="27"/>
      <c r="Z94" s="27"/>
      <c r="AA94" s="27"/>
    </row>
    <row r="95" spans="1:27">
      <c r="A95" s="27"/>
      <c r="B95" s="27"/>
      <c r="C95" s="27"/>
      <c r="D95" s="27"/>
      <c r="E95" s="27"/>
      <c r="F95" s="27"/>
      <c r="G95" s="27"/>
      <c r="H95" s="27"/>
      <c r="I95" s="27"/>
      <c r="J95" s="27"/>
      <c r="K95" s="27"/>
      <c r="L95" s="27"/>
      <c r="M95" s="27"/>
      <c r="N95" s="27"/>
      <c r="O95" s="27"/>
      <c r="P95" s="27"/>
      <c r="Q95" s="27"/>
      <c r="R95" s="27"/>
      <c r="S95" s="27"/>
      <c r="T95" s="27"/>
      <c r="U95" s="27"/>
      <c r="V95" s="27"/>
      <c r="W95" s="18" t="s">
        <v>570</v>
      </c>
      <c r="X95" s="18"/>
      <c r="Y95" s="27"/>
      <c r="Z95" s="27"/>
      <c r="AA95" s="27"/>
    </row>
    <row r="96" spans="1:27">
      <c r="A96" s="27"/>
      <c r="B96" s="27"/>
      <c r="C96" s="27"/>
      <c r="D96" s="27"/>
      <c r="E96" s="27"/>
      <c r="F96" s="27"/>
      <c r="G96" s="27"/>
      <c r="H96" s="27"/>
      <c r="I96" s="27"/>
      <c r="J96" s="27"/>
      <c r="K96" s="27"/>
      <c r="L96" s="27"/>
      <c r="M96" s="27"/>
      <c r="N96" s="27"/>
      <c r="O96" s="27"/>
      <c r="P96" s="27"/>
      <c r="Q96" s="27"/>
      <c r="R96" s="27"/>
      <c r="S96" s="27"/>
      <c r="T96" s="27"/>
      <c r="U96" s="27"/>
      <c r="V96" s="27"/>
      <c r="W96" s="18" t="s">
        <v>571</v>
      </c>
      <c r="X96" s="18"/>
      <c r="Y96" s="27"/>
      <c r="Z96" s="27"/>
      <c r="AA96" s="27"/>
    </row>
    <row r="97" spans="1:27">
      <c r="A97" s="27"/>
      <c r="B97" s="27"/>
      <c r="C97" s="27"/>
      <c r="D97" s="27"/>
      <c r="E97" s="27"/>
      <c r="F97" s="27"/>
      <c r="G97" s="27"/>
      <c r="H97" s="27"/>
      <c r="I97" s="27"/>
      <c r="J97" s="27"/>
      <c r="K97" s="27"/>
      <c r="L97" s="27"/>
      <c r="M97" s="27"/>
      <c r="N97" s="27"/>
      <c r="O97" s="27"/>
      <c r="P97" s="27"/>
      <c r="Q97" s="27"/>
      <c r="R97" s="27"/>
      <c r="S97" s="27"/>
      <c r="T97" s="27"/>
      <c r="U97" s="27"/>
      <c r="V97" s="27"/>
      <c r="W97" s="18" t="s">
        <v>572</v>
      </c>
      <c r="X97" s="18"/>
      <c r="Y97" s="27"/>
      <c r="Z97" s="27"/>
      <c r="AA97" s="27"/>
    </row>
    <row r="98" spans="1:27">
      <c r="A98" s="27"/>
      <c r="B98" s="27"/>
      <c r="C98" s="27"/>
      <c r="D98" s="27"/>
      <c r="E98" s="27"/>
      <c r="F98" s="27"/>
      <c r="G98" s="27"/>
      <c r="H98" s="27"/>
      <c r="I98" s="27"/>
      <c r="J98" s="27"/>
      <c r="K98" s="27"/>
      <c r="L98" s="27"/>
      <c r="M98" s="27"/>
      <c r="N98" s="27"/>
      <c r="O98" s="27"/>
      <c r="P98" s="27"/>
      <c r="Q98" s="27"/>
      <c r="R98" s="27"/>
      <c r="S98" s="27"/>
      <c r="T98" s="27"/>
      <c r="U98" s="27"/>
      <c r="V98" s="27"/>
      <c r="W98" s="18" t="s">
        <v>573</v>
      </c>
      <c r="X98" s="18"/>
      <c r="Y98" s="27"/>
      <c r="Z98" s="27"/>
      <c r="AA98" s="27"/>
    </row>
    <row r="99" spans="1:27">
      <c r="A99" s="27"/>
      <c r="B99" s="27"/>
      <c r="C99" s="27"/>
      <c r="D99" s="27"/>
      <c r="E99" s="27"/>
      <c r="F99" s="27"/>
      <c r="G99" s="27"/>
      <c r="H99" s="27"/>
      <c r="I99" s="27"/>
      <c r="J99" s="27"/>
      <c r="K99" s="27"/>
      <c r="L99" s="27"/>
      <c r="M99" s="27"/>
      <c r="N99" s="27"/>
      <c r="O99" s="27"/>
      <c r="P99" s="27"/>
      <c r="Q99" s="27"/>
      <c r="R99" s="27"/>
      <c r="S99" s="27"/>
      <c r="T99" s="27"/>
      <c r="U99" s="27"/>
      <c r="V99" s="27"/>
      <c r="W99" s="18" t="s">
        <v>574</v>
      </c>
      <c r="X99" s="18"/>
      <c r="Y99" s="27"/>
      <c r="Z99" s="27"/>
      <c r="AA99" s="27"/>
    </row>
    <row r="100" spans="1:27">
      <c r="A100" s="27"/>
      <c r="B100" s="27"/>
      <c r="C100" s="27"/>
      <c r="D100" s="27"/>
      <c r="E100" s="27"/>
      <c r="F100" s="27"/>
      <c r="G100" s="27"/>
      <c r="H100" s="27"/>
      <c r="I100" s="27"/>
      <c r="J100" s="27"/>
      <c r="K100" s="27"/>
      <c r="L100" s="27"/>
      <c r="M100" s="27"/>
      <c r="N100" s="27"/>
      <c r="O100" s="27"/>
      <c r="P100" s="27"/>
      <c r="Q100" s="27"/>
      <c r="R100" s="27"/>
      <c r="S100" s="27"/>
      <c r="T100" s="27"/>
      <c r="U100" s="27"/>
      <c r="V100" s="27"/>
      <c r="W100" s="18" t="s">
        <v>575</v>
      </c>
      <c r="X100" s="18"/>
      <c r="Y100" s="27"/>
      <c r="Z100" s="27"/>
      <c r="AA100" s="27"/>
    </row>
    <row r="101" spans="1:27">
      <c r="A101" s="27"/>
      <c r="B101" s="27"/>
      <c r="C101" s="27"/>
      <c r="D101" s="27"/>
      <c r="E101" s="27"/>
      <c r="F101" s="27"/>
      <c r="G101" s="27"/>
      <c r="H101" s="27"/>
      <c r="I101" s="27"/>
      <c r="J101" s="27"/>
      <c r="K101" s="27"/>
      <c r="L101" s="27"/>
      <c r="M101" s="27"/>
      <c r="N101" s="27"/>
      <c r="O101" s="27"/>
      <c r="P101" s="27"/>
      <c r="Q101" s="27"/>
      <c r="R101" s="27"/>
      <c r="S101" s="27"/>
      <c r="T101" s="27"/>
      <c r="U101" s="27"/>
      <c r="V101" s="27"/>
      <c r="W101" s="18" t="s">
        <v>576</v>
      </c>
      <c r="X101" s="18"/>
      <c r="Y101" s="27"/>
      <c r="Z101" s="27"/>
      <c r="AA101" s="27"/>
    </row>
    <row r="102" spans="1:27">
      <c r="A102" s="27"/>
      <c r="B102" s="27"/>
      <c r="C102" s="27"/>
      <c r="D102" s="27"/>
      <c r="E102" s="27"/>
      <c r="F102" s="27"/>
      <c r="G102" s="27"/>
      <c r="H102" s="27"/>
      <c r="I102" s="27"/>
      <c r="J102" s="27"/>
      <c r="K102" s="27"/>
      <c r="L102" s="27"/>
      <c r="M102" s="27"/>
      <c r="N102" s="27"/>
      <c r="O102" s="27"/>
      <c r="P102" s="27"/>
      <c r="Q102" s="27"/>
      <c r="R102" s="27"/>
      <c r="S102" s="27"/>
      <c r="T102" s="27"/>
      <c r="U102" s="27"/>
      <c r="V102" s="27"/>
      <c r="W102" s="18" t="s">
        <v>577</v>
      </c>
      <c r="X102" s="18"/>
      <c r="Y102" s="27"/>
      <c r="Z102" s="27"/>
      <c r="AA102" s="27"/>
    </row>
    <row r="103" spans="1:27">
      <c r="A103" s="27"/>
      <c r="B103" s="27"/>
      <c r="C103" s="27"/>
      <c r="D103" s="27"/>
      <c r="E103" s="27"/>
      <c r="F103" s="27"/>
      <c r="G103" s="27"/>
      <c r="H103" s="27"/>
      <c r="I103" s="27"/>
      <c r="J103" s="27"/>
      <c r="K103" s="27"/>
      <c r="L103" s="27"/>
      <c r="M103" s="27"/>
      <c r="N103" s="27"/>
      <c r="O103" s="27"/>
      <c r="P103" s="27"/>
      <c r="Q103" s="27"/>
      <c r="R103" s="27"/>
      <c r="S103" s="27"/>
      <c r="T103" s="27"/>
      <c r="U103" s="27"/>
      <c r="V103" s="27"/>
      <c r="W103" s="18" t="s">
        <v>578</v>
      </c>
      <c r="X103" s="18"/>
      <c r="Y103" s="27"/>
      <c r="Z103" s="27"/>
      <c r="AA103" s="27"/>
    </row>
    <row r="104" spans="1:27">
      <c r="A104" s="27"/>
      <c r="B104" s="27"/>
      <c r="C104" s="27"/>
      <c r="D104" s="27"/>
      <c r="E104" s="27"/>
      <c r="F104" s="27"/>
      <c r="G104" s="27"/>
      <c r="H104" s="27"/>
      <c r="I104" s="27"/>
      <c r="J104" s="27"/>
      <c r="K104" s="27"/>
      <c r="L104" s="27"/>
      <c r="M104" s="27"/>
      <c r="N104" s="27"/>
      <c r="O104" s="27"/>
      <c r="P104" s="27"/>
      <c r="Q104" s="27"/>
      <c r="R104" s="27"/>
      <c r="S104" s="27"/>
      <c r="T104" s="27"/>
      <c r="U104" s="27"/>
      <c r="V104" s="27"/>
      <c r="W104" s="18" t="s">
        <v>579</v>
      </c>
      <c r="X104" s="18"/>
      <c r="Y104" s="27"/>
      <c r="Z104" s="27"/>
      <c r="AA104" s="27"/>
    </row>
    <row r="105" spans="1:27">
      <c r="A105" s="27"/>
      <c r="B105" s="27"/>
      <c r="C105" s="27"/>
      <c r="D105" s="27"/>
      <c r="E105" s="27"/>
      <c r="F105" s="27"/>
      <c r="G105" s="27"/>
      <c r="H105" s="27"/>
      <c r="I105" s="27"/>
      <c r="J105" s="27"/>
      <c r="K105" s="27"/>
      <c r="L105" s="27"/>
      <c r="M105" s="27"/>
      <c r="N105" s="27"/>
      <c r="O105" s="27"/>
      <c r="P105" s="27"/>
      <c r="Q105" s="27"/>
      <c r="R105" s="27"/>
      <c r="S105" s="27"/>
      <c r="T105" s="27"/>
      <c r="U105" s="27"/>
      <c r="V105" s="27"/>
      <c r="W105" s="18" t="s">
        <v>580</v>
      </c>
      <c r="X105" s="18"/>
      <c r="Y105" s="27"/>
      <c r="Z105" s="27"/>
      <c r="AA105" s="27"/>
    </row>
    <row r="106" spans="1:27">
      <c r="A106" s="27"/>
      <c r="B106" s="27"/>
      <c r="C106" s="27"/>
      <c r="D106" s="27"/>
      <c r="E106" s="27"/>
      <c r="F106" s="27"/>
      <c r="G106" s="27"/>
      <c r="H106" s="27"/>
      <c r="I106" s="27"/>
      <c r="J106" s="27"/>
      <c r="K106" s="27"/>
      <c r="L106" s="27"/>
      <c r="M106" s="27"/>
      <c r="N106" s="27"/>
      <c r="O106" s="27"/>
      <c r="P106" s="27"/>
      <c r="Q106" s="27"/>
      <c r="R106" s="27"/>
      <c r="S106" s="27"/>
      <c r="T106" s="27"/>
      <c r="U106" s="27"/>
      <c r="V106" s="27"/>
      <c r="W106" s="18" t="s">
        <v>581</v>
      </c>
      <c r="X106" s="18"/>
      <c r="Y106" s="27"/>
      <c r="Z106" s="27"/>
      <c r="AA106" s="27"/>
    </row>
    <row r="107" spans="1:27">
      <c r="A107" s="27"/>
      <c r="B107" s="27"/>
      <c r="C107" s="27"/>
      <c r="D107" s="27"/>
      <c r="E107" s="27"/>
      <c r="F107" s="27"/>
      <c r="G107" s="27"/>
      <c r="H107" s="27"/>
      <c r="I107" s="27"/>
      <c r="J107" s="27"/>
      <c r="K107" s="27"/>
      <c r="L107" s="27"/>
      <c r="M107" s="27"/>
      <c r="N107" s="27"/>
      <c r="O107" s="27"/>
      <c r="P107" s="27"/>
      <c r="Q107" s="27"/>
      <c r="R107" s="27"/>
      <c r="S107" s="27"/>
      <c r="T107" s="27"/>
      <c r="U107" s="27"/>
      <c r="V107" s="27"/>
      <c r="W107" s="18" t="s">
        <v>582</v>
      </c>
      <c r="X107" s="18"/>
      <c r="Y107" s="27"/>
      <c r="Z107" s="27"/>
      <c r="AA107" s="27"/>
    </row>
    <row r="108" spans="1:27">
      <c r="A108" s="27"/>
      <c r="B108" s="27"/>
      <c r="C108" s="27"/>
      <c r="D108" s="27"/>
      <c r="E108" s="27"/>
      <c r="F108" s="27"/>
      <c r="G108" s="27"/>
      <c r="H108" s="27"/>
      <c r="I108" s="27"/>
      <c r="J108" s="27"/>
      <c r="K108" s="27"/>
      <c r="L108" s="27"/>
      <c r="M108" s="27"/>
      <c r="N108" s="27"/>
      <c r="O108" s="27"/>
      <c r="P108" s="27"/>
      <c r="Q108" s="27"/>
      <c r="R108" s="27"/>
      <c r="S108" s="27"/>
      <c r="T108" s="27"/>
      <c r="U108" s="27"/>
      <c r="V108" s="27"/>
      <c r="W108" s="18" t="s">
        <v>583</v>
      </c>
      <c r="X108" s="18"/>
      <c r="Y108" s="27"/>
      <c r="Z108" s="27"/>
      <c r="AA108" s="27"/>
    </row>
    <row r="109" spans="1:27">
      <c r="A109" s="27"/>
      <c r="B109" s="27"/>
      <c r="C109" s="27"/>
      <c r="D109" s="27"/>
      <c r="E109" s="27"/>
      <c r="F109" s="27"/>
      <c r="G109" s="27"/>
      <c r="H109" s="27"/>
      <c r="I109" s="27"/>
      <c r="J109" s="27"/>
      <c r="K109" s="27"/>
      <c r="L109" s="27"/>
      <c r="M109" s="27"/>
      <c r="N109" s="27"/>
      <c r="O109" s="27"/>
      <c r="P109" s="27"/>
      <c r="Q109" s="27"/>
      <c r="R109" s="27"/>
      <c r="S109" s="27"/>
      <c r="T109" s="27"/>
      <c r="U109" s="27"/>
      <c r="V109" s="27"/>
      <c r="W109" s="18" t="s">
        <v>584</v>
      </c>
      <c r="X109" s="18"/>
      <c r="Y109" s="27"/>
      <c r="Z109" s="27"/>
      <c r="AA109" s="27"/>
    </row>
    <row r="110" spans="1:27">
      <c r="A110" s="27"/>
      <c r="B110" s="27"/>
      <c r="C110" s="27"/>
      <c r="D110" s="27"/>
      <c r="E110" s="27"/>
      <c r="F110" s="27"/>
      <c r="G110" s="27"/>
      <c r="H110" s="27"/>
      <c r="I110" s="27"/>
      <c r="J110" s="27"/>
      <c r="K110" s="27"/>
      <c r="L110" s="27"/>
      <c r="M110" s="27"/>
      <c r="N110" s="27"/>
      <c r="O110" s="27"/>
      <c r="P110" s="27"/>
      <c r="Q110" s="27"/>
      <c r="R110" s="27"/>
      <c r="S110" s="27"/>
      <c r="T110" s="27"/>
      <c r="U110" s="27"/>
      <c r="V110" s="27"/>
      <c r="W110" s="18" t="s">
        <v>585</v>
      </c>
      <c r="X110" s="18"/>
      <c r="Y110" s="27"/>
      <c r="Z110" s="27"/>
      <c r="AA110" s="27"/>
    </row>
    <row r="111" spans="1:27">
      <c r="A111" s="27"/>
      <c r="B111" s="27"/>
      <c r="C111" s="27"/>
      <c r="D111" s="27"/>
      <c r="E111" s="27"/>
      <c r="F111" s="27"/>
      <c r="G111" s="27"/>
      <c r="H111" s="27"/>
      <c r="I111" s="27"/>
      <c r="J111" s="27"/>
      <c r="K111" s="27"/>
      <c r="L111" s="27"/>
      <c r="M111" s="27"/>
      <c r="N111" s="27"/>
      <c r="O111" s="27"/>
      <c r="P111" s="27"/>
      <c r="Q111" s="27"/>
      <c r="R111" s="27"/>
      <c r="S111" s="27"/>
      <c r="T111" s="27"/>
      <c r="U111" s="27"/>
      <c r="V111" s="27"/>
      <c r="W111" s="18" t="s">
        <v>586</v>
      </c>
      <c r="X111" s="18"/>
      <c r="Y111" s="27"/>
      <c r="Z111" s="27"/>
      <c r="AA111" s="27"/>
    </row>
    <row r="112" spans="1:27">
      <c r="A112" s="27"/>
      <c r="B112" s="27"/>
      <c r="C112" s="27"/>
      <c r="D112" s="27"/>
      <c r="E112" s="27"/>
      <c r="F112" s="27"/>
      <c r="G112" s="27"/>
      <c r="H112" s="27"/>
      <c r="I112" s="27"/>
      <c r="J112" s="27"/>
      <c r="K112" s="27"/>
      <c r="L112" s="27"/>
      <c r="M112" s="27"/>
      <c r="N112" s="27"/>
      <c r="O112" s="27"/>
      <c r="P112" s="27"/>
      <c r="Q112" s="27"/>
      <c r="R112" s="27"/>
      <c r="S112" s="27"/>
      <c r="T112" s="27"/>
      <c r="U112" s="27"/>
      <c r="V112" s="27"/>
      <c r="W112" s="18" t="s">
        <v>587</v>
      </c>
      <c r="X112" s="18"/>
      <c r="Y112" s="27"/>
      <c r="Z112" s="27"/>
      <c r="AA112" s="27"/>
    </row>
    <row r="113" spans="1:27">
      <c r="A113" s="27"/>
      <c r="B113" s="27"/>
      <c r="C113" s="27"/>
      <c r="D113" s="27"/>
      <c r="E113" s="27"/>
      <c r="F113" s="27"/>
      <c r="G113" s="27"/>
      <c r="H113" s="27"/>
      <c r="I113" s="27"/>
      <c r="J113" s="27"/>
      <c r="K113" s="27"/>
      <c r="L113" s="27"/>
      <c r="M113" s="27"/>
      <c r="N113" s="27"/>
      <c r="O113" s="27"/>
      <c r="P113" s="27"/>
      <c r="Q113" s="27"/>
      <c r="R113" s="27"/>
      <c r="S113" s="27"/>
      <c r="T113" s="27"/>
      <c r="U113" s="27"/>
      <c r="V113" s="27"/>
      <c r="W113" s="18" t="s">
        <v>588</v>
      </c>
      <c r="X113" s="18"/>
      <c r="Y113" s="27"/>
      <c r="Z113" s="27"/>
      <c r="AA113" s="27"/>
    </row>
    <row r="114" spans="1:27">
      <c r="A114" s="27"/>
      <c r="B114" s="27"/>
      <c r="C114" s="27"/>
      <c r="D114" s="27"/>
      <c r="E114" s="27"/>
      <c r="F114" s="27"/>
      <c r="G114" s="27"/>
      <c r="H114" s="27"/>
      <c r="I114" s="27"/>
      <c r="J114" s="27"/>
      <c r="K114" s="27"/>
      <c r="L114" s="27"/>
      <c r="M114" s="27"/>
      <c r="N114" s="27"/>
      <c r="O114" s="27"/>
      <c r="P114" s="27"/>
      <c r="Q114" s="27"/>
      <c r="R114" s="27"/>
      <c r="S114" s="27"/>
      <c r="T114" s="27"/>
      <c r="U114" s="27"/>
      <c r="V114" s="27"/>
      <c r="W114" s="18" t="s">
        <v>589</v>
      </c>
      <c r="X114" s="18"/>
      <c r="Y114" s="27"/>
      <c r="Z114" s="27"/>
      <c r="AA114" s="27"/>
    </row>
    <row r="115" spans="1:27">
      <c r="A115" s="27"/>
      <c r="B115" s="27"/>
      <c r="C115" s="27"/>
      <c r="D115" s="27"/>
      <c r="E115" s="27"/>
      <c r="F115" s="27"/>
      <c r="G115" s="27"/>
      <c r="H115" s="27"/>
      <c r="I115" s="27"/>
      <c r="J115" s="27"/>
      <c r="K115" s="27"/>
      <c r="L115" s="27"/>
      <c r="M115" s="27"/>
      <c r="N115" s="27"/>
      <c r="O115" s="27"/>
      <c r="P115" s="27"/>
      <c r="Q115" s="27"/>
      <c r="R115" s="27"/>
      <c r="S115" s="27"/>
      <c r="T115" s="27"/>
      <c r="U115" s="27"/>
      <c r="V115" s="27"/>
      <c r="W115" s="18" t="s">
        <v>590</v>
      </c>
      <c r="X115" s="18"/>
      <c r="Y115" s="27"/>
      <c r="Z115" s="27"/>
      <c r="AA115" s="27"/>
    </row>
    <row r="116" spans="1:27">
      <c r="A116" s="27"/>
      <c r="B116" s="27"/>
      <c r="C116" s="27"/>
      <c r="D116" s="27"/>
      <c r="E116" s="27"/>
      <c r="F116" s="27"/>
      <c r="G116" s="27"/>
      <c r="H116" s="27"/>
      <c r="I116" s="27"/>
      <c r="J116" s="27"/>
      <c r="K116" s="27"/>
      <c r="L116" s="27"/>
      <c r="M116" s="27"/>
      <c r="N116" s="27"/>
      <c r="O116" s="27"/>
      <c r="P116" s="27"/>
      <c r="Q116" s="27"/>
      <c r="R116" s="27"/>
      <c r="S116" s="27"/>
      <c r="T116" s="27"/>
      <c r="U116" s="27"/>
      <c r="V116" s="27"/>
      <c r="W116" s="18" t="s">
        <v>591</v>
      </c>
      <c r="X116" s="18"/>
      <c r="Y116" s="27"/>
      <c r="Z116" s="27"/>
      <c r="AA116" s="27"/>
    </row>
    <row r="117" spans="1:27">
      <c r="A117" s="27"/>
      <c r="B117" s="27"/>
      <c r="C117" s="27"/>
      <c r="D117" s="27"/>
      <c r="E117" s="27"/>
      <c r="F117" s="27"/>
      <c r="G117" s="27"/>
      <c r="H117" s="27"/>
      <c r="I117" s="27"/>
      <c r="J117" s="27"/>
      <c r="K117" s="27"/>
      <c r="L117" s="27"/>
      <c r="M117" s="27"/>
      <c r="N117" s="27"/>
      <c r="O117" s="27"/>
      <c r="P117" s="27"/>
      <c r="Q117" s="27"/>
      <c r="R117" s="27"/>
      <c r="S117" s="27"/>
      <c r="T117" s="27"/>
      <c r="U117" s="27"/>
      <c r="V117" s="27"/>
      <c r="W117" s="18" t="s">
        <v>592</v>
      </c>
      <c r="X117" s="18"/>
      <c r="Y117" s="27"/>
      <c r="Z117" s="27"/>
      <c r="AA117" s="27"/>
    </row>
    <row r="118" spans="1:27">
      <c r="A118" s="27"/>
      <c r="B118" s="27"/>
      <c r="C118" s="27"/>
      <c r="D118" s="27"/>
      <c r="E118" s="27"/>
      <c r="F118" s="27"/>
      <c r="G118" s="27"/>
      <c r="H118" s="27"/>
      <c r="I118" s="27"/>
      <c r="J118" s="27"/>
      <c r="K118" s="27"/>
      <c r="L118" s="27"/>
      <c r="M118" s="27"/>
      <c r="N118" s="27"/>
      <c r="O118" s="27"/>
      <c r="P118" s="27"/>
      <c r="Q118" s="27"/>
      <c r="R118" s="27"/>
      <c r="S118" s="27"/>
      <c r="T118" s="27"/>
      <c r="U118" s="27"/>
      <c r="V118" s="27"/>
      <c r="W118" s="18" t="s">
        <v>593</v>
      </c>
      <c r="X118" s="18"/>
      <c r="Y118" s="27"/>
      <c r="Z118" s="27"/>
      <c r="AA118" s="27"/>
    </row>
    <row r="119" spans="1:27">
      <c r="A119" s="27"/>
      <c r="B119" s="27"/>
      <c r="C119" s="27"/>
      <c r="D119" s="27"/>
      <c r="E119" s="27"/>
      <c r="F119" s="27"/>
      <c r="G119" s="27"/>
      <c r="H119" s="27"/>
      <c r="I119" s="27"/>
      <c r="J119" s="27"/>
      <c r="K119" s="27"/>
      <c r="L119" s="27"/>
      <c r="M119" s="27"/>
      <c r="N119" s="27"/>
      <c r="O119" s="27"/>
      <c r="P119" s="27"/>
      <c r="Q119" s="27"/>
      <c r="R119" s="27"/>
      <c r="S119" s="27"/>
      <c r="T119" s="27"/>
      <c r="U119" s="27"/>
      <c r="V119" s="27"/>
      <c r="W119" s="18" t="s">
        <v>594</v>
      </c>
      <c r="X119" s="18"/>
      <c r="Y119" s="27"/>
      <c r="Z119" s="27"/>
      <c r="AA119" s="27"/>
    </row>
    <row r="120" spans="1:27">
      <c r="A120" s="27"/>
      <c r="B120" s="27"/>
      <c r="C120" s="27"/>
      <c r="D120" s="27"/>
      <c r="E120" s="27"/>
      <c r="F120" s="27"/>
      <c r="G120" s="27"/>
      <c r="H120" s="27"/>
      <c r="I120" s="27"/>
      <c r="J120" s="27"/>
      <c r="K120" s="27"/>
      <c r="L120" s="27"/>
      <c r="M120" s="27"/>
      <c r="N120" s="27"/>
      <c r="O120" s="27"/>
      <c r="P120" s="27"/>
      <c r="Q120" s="27"/>
      <c r="R120" s="27"/>
      <c r="S120" s="27"/>
      <c r="T120" s="27"/>
      <c r="U120" s="27"/>
      <c r="V120" s="27"/>
      <c r="W120" s="18" t="s">
        <v>595</v>
      </c>
      <c r="X120" s="18"/>
      <c r="Y120" s="27"/>
      <c r="Z120" s="27"/>
      <c r="AA120" s="27"/>
    </row>
    <row r="121" spans="1:27">
      <c r="A121" s="27"/>
      <c r="B121" s="27"/>
      <c r="C121" s="27"/>
      <c r="D121" s="27"/>
      <c r="E121" s="27"/>
      <c r="F121" s="27"/>
      <c r="G121" s="27"/>
      <c r="H121" s="27"/>
      <c r="I121" s="27"/>
      <c r="J121" s="27"/>
      <c r="K121" s="27"/>
      <c r="L121" s="27"/>
      <c r="M121" s="27"/>
      <c r="N121" s="27"/>
      <c r="O121" s="27"/>
      <c r="P121" s="27"/>
      <c r="Q121" s="27"/>
      <c r="R121" s="27"/>
      <c r="S121" s="27"/>
      <c r="T121" s="27"/>
      <c r="U121" s="27"/>
      <c r="V121" s="27"/>
      <c r="W121" s="18" t="s">
        <v>596</v>
      </c>
      <c r="X121" s="18"/>
      <c r="Y121" s="27"/>
      <c r="Z121" s="27"/>
      <c r="AA121" s="27"/>
    </row>
    <row r="122" spans="1:27">
      <c r="A122" s="27"/>
      <c r="B122" s="27"/>
      <c r="C122" s="27"/>
      <c r="D122" s="27"/>
      <c r="E122" s="27"/>
      <c r="F122" s="27"/>
      <c r="G122" s="27"/>
      <c r="H122" s="27"/>
      <c r="I122" s="27"/>
      <c r="J122" s="27"/>
      <c r="K122" s="27"/>
      <c r="L122" s="27"/>
      <c r="M122" s="27"/>
      <c r="N122" s="27"/>
      <c r="O122" s="27"/>
      <c r="P122" s="27"/>
      <c r="Q122" s="27"/>
      <c r="R122" s="27"/>
      <c r="S122" s="27"/>
      <c r="T122" s="27"/>
      <c r="U122" s="27"/>
      <c r="V122" s="27"/>
      <c r="W122" s="18" t="s">
        <v>597</v>
      </c>
      <c r="X122" s="18"/>
      <c r="Y122" s="27"/>
      <c r="Z122" s="27"/>
      <c r="AA122" s="27"/>
    </row>
    <row r="123" spans="1:27">
      <c r="A123" s="27"/>
      <c r="B123" s="27"/>
      <c r="C123" s="27"/>
      <c r="D123" s="27"/>
      <c r="E123" s="27"/>
      <c r="F123" s="27"/>
      <c r="G123" s="27"/>
      <c r="H123" s="27"/>
      <c r="I123" s="27"/>
      <c r="J123" s="27"/>
      <c r="K123" s="27"/>
      <c r="L123" s="27"/>
      <c r="M123" s="27"/>
      <c r="N123" s="27"/>
      <c r="O123" s="27"/>
      <c r="P123" s="27"/>
      <c r="Q123" s="27"/>
      <c r="R123" s="27"/>
      <c r="S123" s="27"/>
      <c r="T123" s="27"/>
      <c r="U123" s="27"/>
      <c r="V123" s="27"/>
      <c r="W123" s="18" t="s">
        <v>598</v>
      </c>
      <c r="X123" s="18"/>
      <c r="Y123" s="27"/>
      <c r="Z123" s="27"/>
      <c r="AA123" s="27"/>
    </row>
    <row r="124" spans="1:27">
      <c r="A124" s="27"/>
      <c r="B124" s="27"/>
      <c r="C124" s="27"/>
      <c r="D124" s="27"/>
      <c r="E124" s="27"/>
      <c r="F124" s="27"/>
      <c r="G124" s="27"/>
      <c r="H124" s="27"/>
      <c r="I124" s="27"/>
      <c r="J124" s="27"/>
      <c r="K124" s="27"/>
      <c r="L124" s="27"/>
      <c r="M124" s="27"/>
      <c r="N124" s="27"/>
      <c r="O124" s="27"/>
      <c r="P124" s="27"/>
      <c r="Q124" s="27"/>
      <c r="R124" s="27"/>
      <c r="S124" s="27"/>
      <c r="T124" s="27"/>
      <c r="U124" s="27"/>
      <c r="V124" s="27"/>
      <c r="W124" s="18" t="s">
        <v>599</v>
      </c>
      <c r="X124" s="18"/>
      <c r="Y124" s="27"/>
      <c r="Z124" s="27"/>
      <c r="AA124" s="27"/>
    </row>
    <row r="125" spans="1:27">
      <c r="A125" s="27"/>
      <c r="B125" s="27"/>
      <c r="C125" s="27"/>
      <c r="D125" s="27"/>
      <c r="E125" s="27"/>
      <c r="F125" s="27"/>
      <c r="G125" s="27"/>
      <c r="H125" s="27"/>
      <c r="I125" s="27"/>
      <c r="J125" s="27"/>
      <c r="K125" s="27"/>
      <c r="L125" s="27"/>
      <c r="M125" s="27"/>
      <c r="N125" s="27"/>
      <c r="O125" s="27"/>
      <c r="P125" s="27"/>
      <c r="Q125" s="27"/>
      <c r="R125" s="27"/>
      <c r="S125" s="27"/>
      <c r="T125" s="27"/>
      <c r="U125" s="27"/>
      <c r="V125" s="27"/>
      <c r="W125" s="18" t="s">
        <v>600</v>
      </c>
      <c r="X125" s="18"/>
      <c r="Y125" s="27"/>
      <c r="Z125" s="27"/>
      <c r="AA125" s="27"/>
    </row>
    <row r="126" spans="1:27">
      <c r="A126" s="27"/>
      <c r="B126" s="27"/>
      <c r="C126" s="27"/>
      <c r="D126" s="27"/>
      <c r="E126" s="27"/>
      <c r="F126" s="27"/>
      <c r="G126" s="27"/>
      <c r="H126" s="27"/>
      <c r="I126" s="27"/>
      <c r="J126" s="27"/>
      <c r="K126" s="27"/>
      <c r="L126" s="27"/>
      <c r="M126" s="27"/>
      <c r="N126" s="27"/>
      <c r="O126" s="27"/>
      <c r="P126" s="27"/>
      <c r="Q126" s="27"/>
      <c r="R126" s="27"/>
      <c r="S126" s="27"/>
      <c r="T126" s="27"/>
      <c r="U126" s="27"/>
      <c r="V126" s="27"/>
      <c r="W126" s="18" t="s">
        <v>601</v>
      </c>
      <c r="X126" s="18"/>
      <c r="Y126" s="27"/>
      <c r="Z126" s="27"/>
      <c r="AA126" s="27"/>
    </row>
    <row r="127" spans="1:27">
      <c r="A127" s="27"/>
      <c r="B127" s="27"/>
      <c r="C127" s="27"/>
      <c r="D127" s="27"/>
      <c r="E127" s="27"/>
      <c r="F127" s="27"/>
      <c r="G127" s="27"/>
      <c r="H127" s="27"/>
      <c r="I127" s="27"/>
      <c r="J127" s="27"/>
      <c r="K127" s="27"/>
      <c r="L127" s="27"/>
      <c r="M127" s="27"/>
      <c r="N127" s="27"/>
      <c r="O127" s="27"/>
      <c r="P127" s="27"/>
      <c r="Q127" s="27"/>
      <c r="R127" s="27"/>
      <c r="S127" s="27"/>
      <c r="T127" s="27"/>
      <c r="U127" s="27"/>
      <c r="V127" s="27"/>
      <c r="W127" s="18" t="s">
        <v>602</v>
      </c>
      <c r="X127" s="18"/>
      <c r="Y127" s="27"/>
      <c r="Z127" s="27"/>
      <c r="AA127" s="27"/>
    </row>
    <row r="128" spans="1:27">
      <c r="A128" s="27"/>
      <c r="B128" s="27"/>
      <c r="C128" s="27"/>
      <c r="D128" s="27"/>
      <c r="E128" s="27"/>
      <c r="F128" s="27"/>
      <c r="G128" s="27"/>
      <c r="H128" s="27"/>
      <c r="I128" s="27"/>
      <c r="J128" s="27"/>
      <c r="K128" s="27"/>
      <c r="L128" s="27"/>
      <c r="M128" s="27"/>
      <c r="N128" s="27"/>
      <c r="O128" s="27"/>
      <c r="P128" s="27"/>
      <c r="Q128" s="27"/>
      <c r="R128" s="27"/>
      <c r="S128" s="27"/>
      <c r="T128" s="27"/>
      <c r="U128" s="27"/>
      <c r="V128" s="27"/>
      <c r="W128" s="18" t="s">
        <v>603</v>
      </c>
      <c r="X128" s="18"/>
      <c r="Y128" s="27"/>
      <c r="Z128" s="27"/>
      <c r="AA128" s="27"/>
    </row>
    <row r="129" spans="1:27">
      <c r="A129" s="27"/>
      <c r="B129" s="27"/>
      <c r="C129" s="27"/>
      <c r="D129" s="27"/>
      <c r="E129" s="27"/>
      <c r="F129" s="27"/>
      <c r="G129" s="27"/>
      <c r="H129" s="27"/>
      <c r="I129" s="27"/>
      <c r="J129" s="27"/>
      <c r="K129" s="27"/>
      <c r="L129" s="27"/>
      <c r="M129" s="27"/>
      <c r="N129" s="27"/>
      <c r="O129" s="27"/>
      <c r="P129" s="27"/>
      <c r="Q129" s="27"/>
      <c r="R129" s="27"/>
      <c r="S129" s="27"/>
      <c r="T129" s="27"/>
      <c r="U129" s="27"/>
      <c r="V129" s="27"/>
      <c r="W129" s="18" t="s">
        <v>604</v>
      </c>
      <c r="X129" s="18"/>
      <c r="Y129" s="27"/>
      <c r="Z129" s="27"/>
      <c r="AA129" s="27"/>
    </row>
    <row r="130" spans="1:27">
      <c r="A130" s="27"/>
      <c r="B130" s="27"/>
      <c r="C130" s="27"/>
      <c r="D130" s="27"/>
      <c r="E130" s="27"/>
      <c r="F130" s="27"/>
      <c r="G130" s="27"/>
      <c r="H130" s="27"/>
      <c r="I130" s="27"/>
      <c r="J130" s="27"/>
      <c r="K130" s="27"/>
      <c r="L130" s="27"/>
      <c r="M130" s="27"/>
      <c r="N130" s="27"/>
      <c r="O130" s="27"/>
      <c r="P130" s="27"/>
      <c r="Q130" s="27"/>
      <c r="R130" s="27"/>
      <c r="S130" s="27"/>
      <c r="T130" s="27"/>
      <c r="U130" s="27"/>
      <c r="V130" s="27"/>
      <c r="W130" s="18" t="s">
        <v>605</v>
      </c>
      <c r="X130" s="18"/>
      <c r="Y130" s="27"/>
      <c r="Z130" s="27"/>
      <c r="AA130" s="27"/>
    </row>
    <row r="131" spans="1:27">
      <c r="A131" s="27"/>
      <c r="B131" s="27"/>
      <c r="C131" s="27"/>
      <c r="D131" s="27"/>
      <c r="E131" s="27"/>
      <c r="F131" s="27"/>
      <c r="G131" s="27"/>
      <c r="H131" s="27"/>
      <c r="I131" s="27"/>
      <c r="J131" s="27"/>
      <c r="K131" s="27"/>
      <c r="L131" s="27"/>
      <c r="M131" s="27"/>
      <c r="N131" s="27"/>
      <c r="O131" s="27"/>
      <c r="P131" s="27"/>
      <c r="Q131" s="27"/>
      <c r="R131" s="27"/>
      <c r="S131" s="27"/>
      <c r="T131" s="27"/>
      <c r="U131" s="27"/>
      <c r="V131" s="27"/>
      <c r="W131" s="18" t="s">
        <v>606</v>
      </c>
      <c r="X131" s="18"/>
      <c r="Y131" s="27"/>
      <c r="Z131" s="27"/>
      <c r="AA131" s="27"/>
    </row>
    <row r="132" spans="1:27">
      <c r="A132" s="27"/>
      <c r="B132" s="27"/>
      <c r="C132" s="27"/>
      <c r="D132" s="27"/>
      <c r="E132" s="27"/>
      <c r="F132" s="27"/>
      <c r="G132" s="27"/>
      <c r="H132" s="27"/>
      <c r="I132" s="27"/>
      <c r="J132" s="27"/>
      <c r="K132" s="27"/>
      <c r="L132" s="27"/>
      <c r="M132" s="27"/>
      <c r="N132" s="27"/>
      <c r="O132" s="27"/>
      <c r="P132" s="27"/>
      <c r="Q132" s="27"/>
      <c r="R132" s="27"/>
      <c r="S132" s="27"/>
      <c r="T132" s="27"/>
      <c r="U132" s="27"/>
      <c r="V132" s="27"/>
      <c r="W132" s="18" t="s">
        <v>607</v>
      </c>
      <c r="X132" s="18"/>
      <c r="Y132" s="27"/>
      <c r="Z132" s="27"/>
      <c r="AA132" s="27"/>
    </row>
    <row r="133" spans="1:27">
      <c r="A133" s="27"/>
      <c r="B133" s="27"/>
      <c r="C133" s="27"/>
      <c r="D133" s="27"/>
      <c r="E133" s="27"/>
      <c r="F133" s="27"/>
      <c r="G133" s="27"/>
      <c r="H133" s="27"/>
      <c r="I133" s="27"/>
      <c r="J133" s="27"/>
      <c r="K133" s="27"/>
      <c r="L133" s="27"/>
      <c r="M133" s="27"/>
      <c r="N133" s="27"/>
      <c r="O133" s="27"/>
      <c r="P133" s="27"/>
      <c r="Q133" s="27"/>
      <c r="R133" s="27"/>
      <c r="S133" s="27"/>
      <c r="T133" s="27"/>
      <c r="U133" s="27"/>
      <c r="V133" s="27"/>
      <c r="W133" s="18" t="s">
        <v>608</v>
      </c>
      <c r="X133" s="18"/>
      <c r="Y133" s="27"/>
      <c r="Z133" s="27"/>
      <c r="AA133" s="27"/>
    </row>
    <row r="134" spans="1:27">
      <c r="A134" s="27"/>
      <c r="B134" s="27"/>
      <c r="C134" s="27"/>
      <c r="D134" s="27"/>
      <c r="E134" s="27"/>
      <c r="F134" s="27"/>
      <c r="G134" s="27"/>
      <c r="H134" s="27"/>
      <c r="I134" s="27"/>
      <c r="J134" s="27"/>
      <c r="K134" s="27"/>
      <c r="L134" s="27"/>
      <c r="M134" s="27"/>
      <c r="N134" s="27"/>
      <c r="O134" s="27"/>
      <c r="P134" s="27"/>
      <c r="Q134" s="27"/>
      <c r="R134" s="27"/>
      <c r="S134" s="27"/>
      <c r="T134" s="27"/>
      <c r="U134" s="27"/>
      <c r="V134" s="27"/>
      <c r="W134" s="18" t="s">
        <v>609</v>
      </c>
      <c r="X134" s="18"/>
      <c r="Y134" s="27"/>
      <c r="Z134" s="27"/>
      <c r="AA134" s="27"/>
    </row>
    <row r="135" spans="1:27">
      <c r="A135" s="27"/>
      <c r="B135" s="27"/>
      <c r="C135" s="27"/>
      <c r="D135" s="27"/>
      <c r="E135" s="27"/>
      <c r="F135" s="27"/>
      <c r="G135" s="27"/>
      <c r="H135" s="27"/>
      <c r="I135" s="27"/>
      <c r="J135" s="27"/>
      <c r="K135" s="27"/>
      <c r="L135" s="27"/>
      <c r="M135" s="27"/>
      <c r="N135" s="27"/>
      <c r="O135" s="27"/>
      <c r="P135" s="27"/>
      <c r="Q135" s="27"/>
      <c r="R135" s="27"/>
      <c r="S135" s="27"/>
      <c r="T135" s="27"/>
      <c r="U135" s="27"/>
      <c r="V135" s="27"/>
      <c r="W135" s="18" t="s">
        <v>610</v>
      </c>
      <c r="X135" s="18"/>
      <c r="Y135" s="27"/>
      <c r="Z135" s="27"/>
      <c r="AA135" s="27"/>
    </row>
    <row r="136" spans="1:27">
      <c r="A136" s="27"/>
      <c r="B136" s="27"/>
      <c r="C136" s="27"/>
      <c r="D136" s="27"/>
      <c r="E136" s="27"/>
      <c r="F136" s="27"/>
      <c r="G136" s="27"/>
      <c r="H136" s="27"/>
      <c r="I136" s="27"/>
      <c r="J136" s="27"/>
      <c r="K136" s="27"/>
      <c r="L136" s="27"/>
      <c r="M136" s="27"/>
      <c r="N136" s="27"/>
      <c r="O136" s="27"/>
      <c r="P136" s="27"/>
      <c r="Q136" s="27"/>
      <c r="R136" s="27"/>
      <c r="S136" s="27"/>
      <c r="T136" s="27"/>
      <c r="U136" s="27"/>
      <c r="V136" s="27"/>
      <c r="W136" s="18" t="s">
        <v>611</v>
      </c>
      <c r="X136" s="18"/>
      <c r="Y136" s="27"/>
      <c r="Z136" s="27"/>
      <c r="AA136" s="27"/>
    </row>
    <row r="137" spans="1:27">
      <c r="A137" s="27"/>
      <c r="B137" s="27"/>
      <c r="C137" s="27"/>
      <c r="D137" s="27"/>
      <c r="E137" s="27"/>
      <c r="F137" s="27"/>
      <c r="G137" s="27"/>
      <c r="H137" s="27"/>
      <c r="I137" s="27"/>
      <c r="J137" s="27"/>
      <c r="K137" s="27"/>
      <c r="L137" s="27"/>
      <c r="M137" s="27"/>
      <c r="N137" s="27"/>
      <c r="O137" s="27"/>
      <c r="P137" s="27"/>
      <c r="Q137" s="27"/>
      <c r="R137" s="27"/>
      <c r="S137" s="27"/>
      <c r="T137" s="27"/>
      <c r="U137" s="27"/>
      <c r="V137" s="27"/>
      <c r="W137" s="18" t="s">
        <v>612</v>
      </c>
      <c r="X137" s="18"/>
      <c r="Y137" s="27"/>
      <c r="Z137" s="27"/>
      <c r="AA137" s="27"/>
    </row>
    <row r="138" spans="1:27">
      <c r="A138" s="27"/>
      <c r="B138" s="27"/>
      <c r="C138" s="27"/>
      <c r="D138" s="27"/>
      <c r="E138" s="27"/>
      <c r="F138" s="27"/>
      <c r="G138" s="27"/>
      <c r="H138" s="27"/>
      <c r="I138" s="27"/>
      <c r="J138" s="27"/>
      <c r="K138" s="27"/>
      <c r="L138" s="27"/>
      <c r="M138" s="27"/>
      <c r="N138" s="27"/>
      <c r="O138" s="27"/>
      <c r="P138" s="27"/>
      <c r="Q138" s="27"/>
      <c r="R138" s="27"/>
      <c r="S138" s="27"/>
      <c r="T138" s="27"/>
      <c r="U138" s="27"/>
      <c r="V138" s="27"/>
      <c r="W138" s="18" t="s">
        <v>613</v>
      </c>
      <c r="X138" s="18"/>
      <c r="Y138" s="27"/>
      <c r="Z138" s="27"/>
      <c r="AA138" s="27"/>
    </row>
    <row r="139" spans="1:27">
      <c r="A139" s="27"/>
      <c r="B139" s="27"/>
      <c r="C139" s="27"/>
      <c r="D139" s="27"/>
      <c r="E139" s="27"/>
      <c r="F139" s="27"/>
      <c r="G139" s="27"/>
      <c r="H139" s="27"/>
      <c r="I139" s="27"/>
      <c r="J139" s="27"/>
      <c r="K139" s="27"/>
      <c r="L139" s="27"/>
      <c r="M139" s="27"/>
      <c r="N139" s="27"/>
      <c r="O139" s="27"/>
      <c r="P139" s="27"/>
      <c r="Q139" s="27"/>
      <c r="R139" s="27"/>
      <c r="S139" s="27"/>
      <c r="T139" s="27"/>
      <c r="U139" s="27"/>
      <c r="V139" s="27"/>
      <c r="W139" s="18" t="s">
        <v>614</v>
      </c>
      <c r="X139" s="18"/>
      <c r="Y139" s="27"/>
      <c r="Z139" s="27"/>
      <c r="AA139" s="27"/>
    </row>
    <row r="140" spans="1:27">
      <c r="A140" s="27"/>
      <c r="B140" s="27"/>
      <c r="C140" s="27"/>
      <c r="D140" s="27"/>
      <c r="E140" s="27"/>
      <c r="F140" s="27"/>
      <c r="G140" s="27"/>
      <c r="H140" s="27"/>
      <c r="I140" s="27"/>
      <c r="J140" s="27"/>
      <c r="K140" s="27"/>
      <c r="L140" s="27"/>
      <c r="M140" s="27"/>
      <c r="N140" s="27"/>
      <c r="O140" s="27"/>
      <c r="P140" s="27"/>
      <c r="Q140" s="27"/>
      <c r="R140" s="27"/>
      <c r="S140" s="27"/>
      <c r="T140" s="27"/>
      <c r="U140" s="27"/>
      <c r="V140" s="27"/>
      <c r="W140" s="18" t="s">
        <v>615</v>
      </c>
      <c r="X140" s="18"/>
      <c r="Y140" s="27"/>
      <c r="Z140" s="27"/>
      <c r="AA140" s="27"/>
    </row>
    <row r="141" spans="1:27">
      <c r="A141" s="27"/>
      <c r="B141" s="27"/>
      <c r="C141" s="27"/>
      <c r="D141" s="27"/>
      <c r="E141" s="27"/>
      <c r="F141" s="27"/>
      <c r="G141" s="27"/>
      <c r="H141" s="27"/>
      <c r="I141" s="27"/>
      <c r="J141" s="27"/>
      <c r="K141" s="27"/>
      <c r="L141" s="27"/>
      <c r="M141" s="27"/>
      <c r="N141" s="27"/>
      <c r="O141" s="27"/>
      <c r="P141" s="27"/>
      <c r="Q141" s="27"/>
      <c r="R141" s="27"/>
      <c r="S141" s="27"/>
      <c r="T141" s="27"/>
      <c r="U141" s="27"/>
      <c r="V141" s="27"/>
      <c r="W141" s="18" t="s">
        <v>616</v>
      </c>
      <c r="X141" s="18"/>
      <c r="Y141" s="27"/>
      <c r="Z141" s="27"/>
      <c r="AA141" s="27"/>
    </row>
    <row r="142" spans="1:27">
      <c r="A142" s="27"/>
      <c r="B142" s="27"/>
      <c r="C142" s="27"/>
      <c r="D142" s="27"/>
      <c r="E142" s="27"/>
      <c r="F142" s="27"/>
      <c r="G142" s="27"/>
      <c r="H142" s="27"/>
      <c r="I142" s="27"/>
      <c r="J142" s="27"/>
      <c r="K142" s="27"/>
      <c r="L142" s="27"/>
      <c r="M142" s="27"/>
      <c r="N142" s="27"/>
      <c r="O142" s="27"/>
      <c r="P142" s="27"/>
      <c r="Q142" s="27"/>
      <c r="R142" s="27"/>
      <c r="S142" s="27"/>
      <c r="T142" s="27"/>
      <c r="U142" s="27"/>
      <c r="V142" s="27"/>
      <c r="W142" s="18" t="s">
        <v>617</v>
      </c>
      <c r="X142" s="18"/>
      <c r="Y142" s="27"/>
      <c r="Z142" s="27"/>
      <c r="AA142" s="27"/>
    </row>
    <row r="143" spans="1:27">
      <c r="A143" s="27"/>
      <c r="B143" s="27"/>
      <c r="C143" s="27"/>
      <c r="D143" s="27"/>
      <c r="E143" s="27"/>
      <c r="F143" s="27"/>
      <c r="G143" s="27"/>
      <c r="H143" s="27"/>
      <c r="I143" s="27"/>
      <c r="J143" s="27"/>
      <c r="K143" s="27"/>
      <c r="L143" s="27"/>
      <c r="M143" s="27"/>
      <c r="N143" s="27"/>
      <c r="O143" s="27"/>
      <c r="P143" s="27"/>
      <c r="Q143" s="27"/>
      <c r="R143" s="27"/>
      <c r="S143" s="27"/>
      <c r="T143" s="27"/>
      <c r="U143" s="27"/>
      <c r="V143" s="27"/>
      <c r="W143" s="18" t="s">
        <v>618</v>
      </c>
      <c r="X143" s="18"/>
      <c r="Y143" s="27"/>
      <c r="Z143" s="27"/>
      <c r="AA143" s="27"/>
    </row>
    <row r="144" spans="1:27">
      <c r="A144" s="27"/>
      <c r="B144" s="27"/>
      <c r="C144" s="27"/>
      <c r="D144" s="27"/>
      <c r="E144" s="27"/>
      <c r="F144" s="27"/>
      <c r="G144" s="27"/>
      <c r="H144" s="27"/>
      <c r="I144" s="27"/>
      <c r="J144" s="27"/>
      <c r="K144" s="27"/>
      <c r="L144" s="27"/>
      <c r="M144" s="27"/>
      <c r="N144" s="27"/>
      <c r="O144" s="27"/>
      <c r="P144" s="27"/>
      <c r="Q144" s="27"/>
      <c r="R144" s="27"/>
      <c r="S144" s="27"/>
      <c r="T144" s="27"/>
      <c r="U144" s="27"/>
      <c r="V144" s="27"/>
      <c r="W144" s="18" t="s">
        <v>619</v>
      </c>
      <c r="X144" s="18"/>
      <c r="Y144" s="27"/>
      <c r="Z144" s="27"/>
      <c r="AA144" s="27"/>
    </row>
    <row r="145" spans="1:27">
      <c r="A145" s="27"/>
      <c r="B145" s="27"/>
      <c r="C145" s="27"/>
      <c r="D145" s="27"/>
      <c r="E145" s="27"/>
      <c r="F145" s="27"/>
      <c r="G145" s="27"/>
      <c r="H145" s="27"/>
      <c r="I145" s="27"/>
      <c r="J145" s="27"/>
      <c r="K145" s="27"/>
      <c r="L145" s="27"/>
      <c r="M145" s="27"/>
      <c r="N145" s="27"/>
      <c r="O145" s="27"/>
      <c r="P145" s="27"/>
      <c r="Q145" s="27"/>
      <c r="R145" s="27"/>
      <c r="S145" s="27"/>
      <c r="T145" s="27"/>
      <c r="U145" s="27"/>
      <c r="V145" s="27"/>
      <c r="W145" s="18" t="s">
        <v>620</v>
      </c>
      <c r="X145" s="18"/>
      <c r="Y145" s="27"/>
      <c r="Z145" s="27"/>
      <c r="AA145" s="27"/>
    </row>
    <row r="146" spans="1:27">
      <c r="A146" s="27"/>
      <c r="B146" s="27"/>
      <c r="C146" s="27"/>
      <c r="D146" s="27"/>
      <c r="E146" s="27"/>
      <c r="F146" s="27"/>
      <c r="G146" s="27"/>
      <c r="H146" s="27"/>
      <c r="I146" s="27"/>
      <c r="J146" s="27"/>
      <c r="K146" s="27"/>
      <c r="L146" s="27"/>
      <c r="M146" s="27"/>
      <c r="N146" s="27"/>
      <c r="O146" s="27"/>
      <c r="P146" s="27"/>
      <c r="Q146" s="27"/>
      <c r="R146" s="27"/>
      <c r="S146" s="27"/>
      <c r="T146" s="27"/>
      <c r="U146" s="27"/>
      <c r="V146" s="27"/>
      <c r="W146" s="18" t="s">
        <v>621</v>
      </c>
      <c r="X146" s="18"/>
      <c r="Y146" s="27"/>
      <c r="Z146" s="27"/>
      <c r="AA146" s="27"/>
    </row>
    <row r="147" spans="1:27">
      <c r="A147" s="27"/>
      <c r="B147" s="27"/>
      <c r="C147" s="27"/>
      <c r="D147" s="27"/>
      <c r="E147" s="27"/>
      <c r="F147" s="27"/>
      <c r="G147" s="27"/>
      <c r="H147" s="27"/>
      <c r="I147" s="27"/>
      <c r="J147" s="27"/>
      <c r="K147" s="27"/>
      <c r="L147" s="27"/>
      <c r="M147" s="27"/>
      <c r="N147" s="27"/>
      <c r="O147" s="27"/>
      <c r="P147" s="27"/>
      <c r="Q147" s="27"/>
      <c r="R147" s="27"/>
      <c r="S147" s="27"/>
      <c r="T147" s="27"/>
      <c r="U147" s="27"/>
      <c r="V147" s="27"/>
      <c r="W147" s="18" t="s">
        <v>622</v>
      </c>
      <c r="X147" s="18"/>
      <c r="Y147" s="27"/>
      <c r="Z147" s="27"/>
      <c r="AA147" s="27"/>
    </row>
    <row r="148" spans="1:27">
      <c r="A148" s="27"/>
      <c r="B148" s="27"/>
      <c r="C148" s="27"/>
      <c r="D148" s="27"/>
      <c r="E148" s="27"/>
      <c r="F148" s="27"/>
      <c r="G148" s="27"/>
      <c r="H148" s="27"/>
      <c r="I148" s="27"/>
      <c r="J148" s="27"/>
      <c r="K148" s="27"/>
      <c r="L148" s="27"/>
      <c r="M148" s="27"/>
      <c r="N148" s="27"/>
      <c r="O148" s="27"/>
      <c r="P148" s="27"/>
      <c r="Q148" s="27"/>
      <c r="R148" s="27"/>
      <c r="S148" s="27"/>
      <c r="T148" s="27"/>
      <c r="U148" s="27"/>
      <c r="V148" s="27"/>
      <c r="W148" s="18" t="s">
        <v>623</v>
      </c>
      <c r="X148" s="18"/>
      <c r="Y148" s="27"/>
      <c r="Z148" s="27"/>
      <c r="AA148" s="27"/>
    </row>
    <row r="149" spans="1:27">
      <c r="A149" s="27"/>
      <c r="B149" s="27"/>
      <c r="C149" s="27"/>
      <c r="D149" s="27"/>
      <c r="E149" s="27"/>
      <c r="F149" s="27"/>
      <c r="G149" s="27"/>
      <c r="H149" s="27"/>
      <c r="I149" s="27"/>
      <c r="J149" s="27"/>
      <c r="K149" s="27"/>
      <c r="L149" s="27"/>
      <c r="M149" s="27"/>
      <c r="N149" s="27"/>
      <c r="O149" s="27"/>
      <c r="P149" s="27"/>
      <c r="Q149" s="27"/>
      <c r="R149" s="27"/>
      <c r="S149" s="27"/>
      <c r="T149" s="27"/>
      <c r="U149" s="27"/>
      <c r="V149" s="27"/>
      <c r="W149" s="18" t="s">
        <v>624</v>
      </c>
      <c r="X149" s="18"/>
      <c r="Y149" s="27"/>
      <c r="Z149" s="27"/>
      <c r="AA149" s="27"/>
    </row>
    <row r="150" spans="1:27">
      <c r="A150" s="27"/>
      <c r="B150" s="27"/>
      <c r="C150" s="27"/>
      <c r="D150" s="27"/>
      <c r="E150" s="27"/>
      <c r="F150" s="27"/>
      <c r="G150" s="27"/>
      <c r="H150" s="27"/>
      <c r="I150" s="27"/>
      <c r="J150" s="27"/>
      <c r="K150" s="27"/>
      <c r="L150" s="27"/>
      <c r="M150" s="27"/>
      <c r="N150" s="27"/>
      <c r="O150" s="27"/>
      <c r="P150" s="27"/>
      <c r="Q150" s="27"/>
      <c r="R150" s="27"/>
      <c r="S150" s="27"/>
      <c r="T150" s="27"/>
      <c r="U150" s="27"/>
      <c r="V150" s="27"/>
      <c r="W150" s="18" t="s">
        <v>625</v>
      </c>
      <c r="X150" s="18"/>
      <c r="Y150" s="27"/>
      <c r="Z150" s="27"/>
      <c r="AA150" s="27"/>
    </row>
    <row r="151" spans="1:27">
      <c r="A151" s="27"/>
      <c r="B151" s="27"/>
      <c r="C151" s="27"/>
      <c r="D151" s="27"/>
      <c r="E151" s="27"/>
      <c r="F151" s="27"/>
      <c r="G151" s="27"/>
      <c r="H151" s="27"/>
      <c r="I151" s="27"/>
      <c r="J151" s="27"/>
      <c r="K151" s="27"/>
      <c r="L151" s="27"/>
      <c r="M151" s="27"/>
      <c r="N151" s="27"/>
      <c r="O151" s="27"/>
      <c r="P151" s="27"/>
      <c r="Q151" s="27"/>
      <c r="R151" s="27"/>
      <c r="S151" s="27"/>
      <c r="T151" s="27"/>
      <c r="U151" s="27"/>
      <c r="V151" s="27"/>
      <c r="W151" s="18" t="s">
        <v>626</v>
      </c>
      <c r="X151" s="18"/>
      <c r="Y151" s="27"/>
      <c r="Z151" s="27"/>
      <c r="AA151" s="27"/>
    </row>
    <row r="152" spans="1:27">
      <c r="A152" s="27"/>
      <c r="B152" s="27"/>
      <c r="C152" s="27"/>
      <c r="D152" s="27"/>
      <c r="E152" s="27"/>
      <c r="F152" s="27"/>
      <c r="G152" s="27"/>
      <c r="H152" s="27"/>
      <c r="I152" s="27"/>
      <c r="J152" s="27"/>
      <c r="K152" s="27"/>
      <c r="L152" s="27"/>
      <c r="M152" s="27"/>
      <c r="N152" s="27"/>
      <c r="O152" s="27"/>
      <c r="P152" s="27"/>
      <c r="Q152" s="27"/>
      <c r="R152" s="27"/>
      <c r="S152" s="27"/>
      <c r="T152" s="27"/>
      <c r="U152" s="27"/>
      <c r="V152" s="27"/>
      <c r="W152" s="18" t="s">
        <v>627</v>
      </c>
      <c r="X152" s="18"/>
      <c r="Y152" s="27"/>
      <c r="Z152" s="27"/>
      <c r="AA152" s="27"/>
    </row>
    <row r="153" spans="1:27">
      <c r="A153" s="27"/>
      <c r="B153" s="27"/>
      <c r="C153" s="27"/>
      <c r="D153" s="27"/>
      <c r="E153" s="27"/>
      <c r="F153" s="27"/>
      <c r="G153" s="27"/>
      <c r="H153" s="27"/>
      <c r="I153" s="27"/>
      <c r="J153" s="27"/>
      <c r="K153" s="27"/>
      <c r="L153" s="27"/>
      <c r="M153" s="27"/>
      <c r="N153" s="27"/>
      <c r="O153" s="27"/>
      <c r="P153" s="27"/>
      <c r="Q153" s="27"/>
      <c r="R153" s="27"/>
      <c r="S153" s="27"/>
      <c r="T153" s="27"/>
      <c r="U153" s="27"/>
      <c r="V153" s="27"/>
      <c r="W153" s="18" t="s">
        <v>628</v>
      </c>
      <c r="X153" s="18"/>
      <c r="Y153" s="27"/>
      <c r="Z153" s="27"/>
      <c r="AA153" s="27"/>
    </row>
    <row r="154" spans="1:27">
      <c r="A154" s="27"/>
      <c r="B154" s="27"/>
      <c r="C154" s="27"/>
      <c r="D154" s="27"/>
      <c r="E154" s="27"/>
      <c r="F154" s="27"/>
      <c r="G154" s="27"/>
      <c r="H154" s="27"/>
      <c r="I154" s="27"/>
      <c r="J154" s="27"/>
      <c r="K154" s="27"/>
      <c r="L154" s="27"/>
      <c r="M154" s="27"/>
      <c r="N154" s="27"/>
      <c r="O154" s="27"/>
      <c r="P154" s="27"/>
      <c r="Q154" s="27"/>
      <c r="R154" s="27"/>
      <c r="S154" s="27"/>
      <c r="T154" s="27"/>
      <c r="U154" s="27"/>
      <c r="V154" s="27"/>
      <c r="W154" s="18" t="s">
        <v>629</v>
      </c>
      <c r="X154" s="18"/>
      <c r="Y154" s="27"/>
      <c r="Z154" s="27"/>
      <c r="AA154" s="27"/>
    </row>
    <row r="155" spans="1:27">
      <c r="A155" s="27"/>
      <c r="B155" s="27"/>
      <c r="C155" s="27"/>
      <c r="D155" s="27"/>
      <c r="E155" s="27"/>
      <c r="F155" s="27"/>
      <c r="G155" s="27"/>
      <c r="H155" s="27"/>
      <c r="I155" s="27"/>
      <c r="J155" s="27"/>
      <c r="K155" s="27"/>
      <c r="L155" s="27"/>
      <c r="M155" s="27"/>
      <c r="N155" s="27"/>
      <c r="O155" s="27"/>
      <c r="P155" s="27"/>
      <c r="Q155" s="27"/>
      <c r="R155" s="27"/>
      <c r="S155" s="27"/>
      <c r="T155" s="27"/>
      <c r="U155" s="27"/>
      <c r="V155" s="27"/>
      <c r="W155" s="18" t="s">
        <v>630</v>
      </c>
      <c r="X155" s="18"/>
      <c r="Y155" s="27"/>
      <c r="Z155" s="27"/>
      <c r="AA155" s="27"/>
    </row>
    <row r="156" spans="1:27">
      <c r="A156" s="27"/>
      <c r="B156" s="27"/>
      <c r="C156" s="27"/>
      <c r="D156" s="27"/>
      <c r="E156" s="27"/>
      <c r="F156" s="27"/>
      <c r="G156" s="27"/>
      <c r="H156" s="27"/>
      <c r="I156" s="27"/>
      <c r="J156" s="27"/>
      <c r="K156" s="27"/>
      <c r="L156" s="27"/>
      <c r="M156" s="27"/>
      <c r="N156" s="27"/>
      <c r="O156" s="27"/>
      <c r="P156" s="27"/>
      <c r="Q156" s="27"/>
      <c r="R156" s="27"/>
      <c r="S156" s="27"/>
      <c r="T156" s="27"/>
      <c r="U156" s="27"/>
      <c r="V156" s="27"/>
      <c r="W156" s="18" t="s">
        <v>631</v>
      </c>
      <c r="X156" s="18"/>
      <c r="Y156" s="27"/>
      <c r="Z156" s="27"/>
      <c r="AA156" s="27"/>
    </row>
    <row r="157" spans="1:27">
      <c r="A157" s="27"/>
      <c r="B157" s="27"/>
      <c r="C157" s="27"/>
      <c r="D157" s="27"/>
      <c r="E157" s="27"/>
      <c r="F157" s="27"/>
      <c r="G157" s="27"/>
      <c r="H157" s="27"/>
      <c r="I157" s="27"/>
      <c r="J157" s="27"/>
      <c r="K157" s="27"/>
      <c r="L157" s="27"/>
      <c r="M157" s="27"/>
      <c r="N157" s="27"/>
      <c r="O157" s="27"/>
      <c r="P157" s="27"/>
      <c r="Q157" s="27"/>
      <c r="R157" s="27"/>
      <c r="S157" s="27"/>
      <c r="T157" s="27"/>
      <c r="U157" s="27"/>
      <c r="V157" s="27"/>
      <c r="W157" s="18" t="s">
        <v>632</v>
      </c>
      <c r="X157" s="18"/>
      <c r="Y157" s="27"/>
      <c r="Z157" s="27"/>
      <c r="AA157" s="27"/>
    </row>
    <row r="158" spans="1:27">
      <c r="A158" s="27"/>
      <c r="B158" s="27"/>
      <c r="C158" s="27"/>
      <c r="D158" s="27"/>
      <c r="E158" s="27"/>
      <c r="F158" s="27"/>
      <c r="G158" s="27"/>
      <c r="H158" s="27"/>
      <c r="I158" s="27"/>
      <c r="J158" s="27"/>
      <c r="K158" s="27"/>
      <c r="L158" s="27"/>
      <c r="M158" s="27"/>
      <c r="N158" s="27"/>
      <c r="O158" s="27"/>
      <c r="P158" s="27"/>
      <c r="Q158" s="27"/>
      <c r="R158" s="27"/>
      <c r="S158" s="27"/>
      <c r="T158" s="27"/>
      <c r="U158" s="27"/>
      <c r="V158" s="27"/>
      <c r="W158" s="18" t="s">
        <v>633</v>
      </c>
      <c r="X158" s="18"/>
      <c r="Y158" s="27"/>
      <c r="Z158" s="27"/>
      <c r="AA158" s="27"/>
    </row>
    <row r="159" spans="1:27">
      <c r="A159" s="27"/>
      <c r="B159" s="27"/>
      <c r="C159" s="27"/>
      <c r="D159" s="27"/>
      <c r="E159" s="27"/>
      <c r="F159" s="27"/>
      <c r="G159" s="27"/>
      <c r="H159" s="27"/>
      <c r="I159" s="27"/>
      <c r="J159" s="27"/>
      <c r="K159" s="27"/>
      <c r="L159" s="27"/>
      <c r="M159" s="27"/>
      <c r="N159" s="27"/>
      <c r="O159" s="27"/>
      <c r="P159" s="27"/>
      <c r="Q159" s="27"/>
      <c r="R159" s="27"/>
      <c r="S159" s="27"/>
      <c r="T159" s="27"/>
      <c r="U159" s="27"/>
      <c r="V159" s="27"/>
      <c r="W159" s="18" t="s">
        <v>634</v>
      </c>
      <c r="X159" s="18"/>
      <c r="Y159" s="27"/>
      <c r="Z159" s="27"/>
      <c r="AA159" s="27"/>
    </row>
    <row r="160" spans="1:27">
      <c r="A160" s="27"/>
      <c r="B160" s="27"/>
      <c r="C160" s="27"/>
      <c r="D160" s="27"/>
      <c r="E160" s="27"/>
      <c r="F160" s="27"/>
      <c r="G160" s="27"/>
      <c r="H160" s="27"/>
      <c r="I160" s="27"/>
      <c r="J160" s="27"/>
      <c r="K160" s="27"/>
      <c r="L160" s="27"/>
      <c r="M160" s="27"/>
      <c r="N160" s="27"/>
      <c r="O160" s="27"/>
      <c r="P160" s="27"/>
      <c r="Q160" s="27"/>
      <c r="R160" s="27"/>
      <c r="S160" s="27"/>
      <c r="T160" s="27"/>
      <c r="U160" s="27"/>
      <c r="V160" s="27"/>
      <c r="W160" s="18" t="s">
        <v>635</v>
      </c>
      <c r="X160" s="18"/>
      <c r="Y160" s="27"/>
      <c r="Z160" s="27"/>
      <c r="AA160" s="27"/>
    </row>
    <row r="161" spans="1:27">
      <c r="A161" s="27"/>
      <c r="B161" s="27"/>
      <c r="C161" s="27"/>
      <c r="D161" s="27"/>
      <c r="E161" s="27"/>
      <c r="F161" s="27"/>
      <c r="G161" s="27"/>
      <c r="H161" s="27"/>
      <c r="I161" s="27"/>
      <c r="J161" s="27"/>
      <c r="K161" s="27"/>
      <c r="L161" s="27"/>
      <c r="M161" s="27"/>
      <c r="N161" s="27"/>
      <c r="O161" s="27"/>
      <c r="P161" s="27"/>
      <c r="Q161" s="27"/>
      <c r="R161" s="27"/>
      <c r="S161" s="27"/>
      <c r="T161" s="27"/>
      <c r="U161" s="27"/>
      <c r="V161" s="27"/>
      <c r="W161" s="18" t="s">
        <v>636</v>
      </c>
      <c r="X161" s="18"/>
      <c r="Y161" s="27"/>
      <c r="Z161" s="27"/>
      <c r="AA161" s="27"/>
    </row>
    <row r="162" spans="1:27">
      <c r="A162" s="27"/>
      <c r="B162" s="27"/>
      <c r="C162" s="27"/>
      <c r="D162" s="27"/>
      <c r="E162" s="27"/>
      <c r="F162" s="27"/>
      <c r="G162" s="27"/>
      <c r="H162" s="27"/>
      <c r="I162" s="27"/>
      <c r="J162" s="27"/>
      <c r="K162" s="27"/>
      <c r="L162" s="27"/>
      <c r="M162" s="27"/>
      <c r="N162" s="27"/>
      <c r="O162" s="27"/>
      <c r="P162" s="27"/>
      <c r="Q162" s="27"/>
      <c r="R162" s="27"/>
      <c r="S162" s="27"/>
      <c r="T162" s="27"/>
      <c r="U162" s="27"/>
      <c r="V162" s="27"/>
      <c r="W162" s="18" t="s">
        <v>637</v>
      </c>
      <c r="X162" s="18"/>
      <c r="Y162" s="27"/>
      <c r="Z162" s="27"/>
      <c r="AA162" s="27"/>
    </row>
    <row r="163" spans="1:27">
      <c r="A163" s="27"/>
      <c r="B163" s="27"/>
      <c r="C163" s="27"/>
      <c r="D163" s="27"/>
      <c r="E163" s="27"/>
      <c r="F163" s="27"/>
      <c r="G163" s="27"/>
      <c r="H163" s="27"/>
      <c r="I163" s="27"/>
      <c r="J163" s="27"/>
      <c r="K163" s="27"/>
      <c r="L163" s="27"/>
      <c r="M163" s="27"/>
      <c r="N163" s="27"/>
      <c r="O163" s="27"/>
      <c r="P163" s="27"/>
      <c r="Q163" s="27"/>
      <c r="R163" s="27"/>
      <c r="S163" s="27"/>
      <c r="T163" s="27"/>
      <c r="U163" s="27"/>
      <c r="V163" s="27"/>
      <c r="W163" s="18" t="s">
        <v>638</v>
      </c>
      <c r="X163" s="18"/>
      <c r="Y163" s="27"/>
      <c r="Z163" s="27"/>
      <c r="AA163" s="27"/>
    </row>
    <row r="164" spans="1:27">
      <c r="A164" s="27"/>
      <c r="B164" s="27"/>
      <c r="C164" s="27"/>
      <c r="D164" s="27"/>
      <c r="E164" s="27"/>
      <c r="F164" s="27"/>
      <c r="G164" s="27"/>
      <c r="H164" s="27"/>
      <c r="I164" s="27"/>
      <c r="J164" s="27"/>
      <c r="K164" s="27"/>
      <c r="L164" s="27"/>
      <c r="M164" s="27"/>
      <c r="N164" s="27"/>
      <c r="O164" s="27"/>
      <c r="P164" s="27"/>
      <c r="Q164" s="27"/>
      <c r="R164" s="27"/>
      <c r="S164" s="27"/>
      <c r="T164" s="27"/>
      <c r="U164" s="27"/>
      <c r="V164" s="27"/>
      <c r="W164" s="18" t="s">
        <v>639</v>
      </c>
      <c r="X164" s="18"/>
      <c r="Y164" s="27"/>
      <c r="Z164" s="27"/>
      <c r="AA164" s="27"/>
    </row>
    <row r="165" spans="1:27">
      <c r="A165" s="27"/>
      <c r="B165" s="27"/>
      <c r="C165" s="27"/>
      <c r="D165" s="27"/>
      <c r="E165" s="27"/>
      <c r="F165" s="27"/>
      <c r="G165" s="27"/>
      <c r="H165" s="27"/>
      <c r="I165" s="27"/>
      <c r="J165" s="27"/>
      <c r="K165" s="27"/>
      <c r="L165" s="27"/>
      <c r="M165" s="27"/>
      <c r="N165" s="27"/>
      <c r="O165" s="27"/>
      <c r="P165" s="27"/>
      <c r="Q165" s="27"/>
      <c r="R165" s="27"/>
      <c r="S165" s="27"/>
      <c r="T165" s="27"/>
      <c r="U165" s="27"/>
      <c r="V165" s="27"/>
      <c r="W165" s="18" t="s">
        <v>640</v>
      </c>
      <c r="X165" s="18"/>
      <c r="Y165" s="27"/>
      <c r="Z165" s="27"/>
      <c r="AA165" s="27"/>
    </row>
    <row r="166" spans="1:27">
      <c r="A166" s="27"/>
      <c r="B166" s="27"/>
      <c r="C166" s="27"/>
      <c r="D166" s="27"/>
      <c r="E166" s="27"/>
      <c r="F166" s="27"/>
      <c r="G166" s="27"/>
      <c r="H166" s="27"/>
      <c r="I166" s="27"/>
      <c r="J166" s="27"/>
      <c r="K166" s="27"/>
      <c r="L166" s="27"/>
      <c r="M166" s="27"/>
      <c r="N166" s="27"/>
      <c r="O166" s="27"/>
      <c r="P166" s="27"/>
      <c r="Q166" s="27"/>
      <c r="R166" s="27"/>
      <c r="S166" s="27"/>
      <c r="T166" s="27"/>
      <c r="U166" s="27"/>
      <c r="V166" s="27"/>
      <c r="W166" s="18" t="s">
        <v>641</v>
      </c>
      <c r="X166" s="18"/>
      <c r="Y166" s="27"/>
      <c r="Z166" s="27"/>
      <c r="AA166" s="27"/>
    </row>
    <row r="167" spans="1:27">
      <c r="A167" s="27"/>
      <c r="B167" s="27"/>
      <c r="C167" s="27"/>
      <c r="D167" s="27"/>
      <c r="E167" s="27"/>
      <c r="F167" s="27"/>
      <c r="G167" s="27"/>
      <c r="H167" s="27"/>
      <c r="I167" s="27"/>
      <c r="J167" s="27"/>
      <c r="K167" s="27"/>
      <c r="L167" s="27"/>
      <c r="M167" s="27"/>
      <c r="N167" s="27"/>
      <c r="O167" s="27"/>
      <c r="P167" s="27"/>
      <c r="Q167" s="27"/>
      <c r="R167" s="27"/>
      <c r="S167" s="27"/>
      <c r="T167" s="27"/>
      <c r="U167" s="27"/>
      <c r="V167" s="27"/>
      <c r="W167" s="18" t="s">
        <v>642</v>
      </c>
      <c r="X167" s="18"/>
      <c r="Y167" s="27"/>
      <c r="Z167" s="27"/>
      <c r="AA167" s="27"/>
    </row>
    <row r="168" spans="1:27">
      <c r="A168" s="27"/>
      <c r="B168" s="27"/>
      <c r="C168" s="27"/>
      <c r="D168" s="27"/>
      <c r="E168" s="27"/>
      <c r="F168" s="27"/>
      <c r="G168" s="27"/>
      <c r="H168" s="27"/>
      <c r="I168" s="27"/>
      <c r="J168" s="27"/>
      <c r="K168" s="27"/>
      <c r="L168" s="27"/>
      <c r="M168" s="27"/>
      <c r="N168" s="27"/>
      <c r="O168" s="27"/>
      <c r="P168" s="27"/>
      <c r="Q168" s="27"/>
      <c r="R168" s="27"/>
      <c r="S168" s="27"/>
      <c r="T168" s="27"/>
      <c r="U168" s="27"/>
      <c r="V168" s="27"/>
      <c r="W168" s="18" t="s">
        <v>643</v>
      </c>
      <c r="X168" s="18"/>
      <c r="Y168" s="27"/>
      <c r="Z168" s="27"/>
      <c r="AA168" s="27"/>
    </row>
    <row r="169" spans="1:27">
      <c r="A169" s="27"/>
      <c r="B169" s="27"/>
      <c r="C169" s="27"/>
      <c r="D169" s="27"/>
      <c r="E169" s="27"/>
      <c r="F169" s="27"/>
      <c r="G169" s="27"/>
      <c r="H169" s="27"/>
      <c r="I169" s="27"/>
      <c r="J169" s="27"/>
      <c r="K169" s="27"/>
      <c r="L169" s="27"/>
      <c r="M169" s="27"/>
      <c r="N169" s="27"/>
      <c r="O169" s="27"/>
      <c r="P169" s="27"/>
      <c r="Q169" s="27"/>
      <c r="R169" s="27"/>
      <c r="S169" s="27"/>
      <c r="T169" s="27"/>
      <c r="U169" s="27"/>
      <c r="V169" s="27"/>
      <c r="W169" s="18" t="s">
        <v>644</v>
      </c>
      <c r="X169" s="18"/>
      <c r="Y169" s="27"/>
      <c r="Z169" s="27"/>
      <c r="AA169" s="27"/>
    </row>
    <row r="170" spans="1:27">
      <c r="A170" s="27"/>
      <c r="B170" s="27"/>
      <c r="C170" s="27"/>
      <c r="D170" s="27"/>
      <c r="E170" s="27"/>
      <c r="F170" s="27"/>
      <c r="G170" s="27"/>
      <c r="H170" s="27"/>
      <c r="I170" s="27"/>
      <c r="J170" s="27"/>
      <c r="K170" s="27"/>
      <c r="L170" s="27"/>
      <c r="M170" s="27"/>
      <c r="N170" s="27"/>
      <c r="O170" s="27"/>
      <c r="P170" s="27"/>
      <c r="Q170" s="27"/>
      <c r="R170" s="27"/>
      <c r="S170" s="27"/>
      <c r="T170" s="27"/>
      <c r="U170" s="27"/>
      <c r="V170" s="27"/>
      <c r="W170" s="18" t="s">
        <v>645</v>
      </c>
      <c r="X170" s="18"/>
      <c r="Y170" s="27"/>
      <c r="Z170" s="27"/>
      <c r="AA170" s="27"/>
    </row>
    <row r="171" spans="1:27">
      <c r="A171" s="27"/>
      <c r="B171" s="27"/>
      <c r="C171" s="27"/>
      <c r="D171" s="27"/>
      <c r="E171" s="27"/>
      <c r="F171" s="27"/>
      <c r="G171" s="27"/>
      <c r="H171" s="27"/>
      <c r="I171" s="27"/>
      <c r="J171" s="27"/>
      <c r="K171" s="27"/>
      <c r="L171" s="27"/>
      <c r="M171" s="27"/>
      <c r="N171" s="27"/>
      <c r="O171" s="27"/>
      <c r="P171" s="27"/>
      <c r="Q171" s="27"/>
      <c r="R171" s="27"/>
      <c r="S171" s="27"/>
      <c r="T171" s="27"/>
      <c r="U171" s="27"/>
      <c r="V171" s="27"/>
      <c r="W171" s="18" t="s">
        <v>646</v>
      </c>
      <c r="X171" s="18"/>
      <c r="Y171" s="27"/>
      <c r="Z171" s="27"/>
      <c r="AA171" s="27"/>
    </row>
    <row r="172" spans="1:27">
      <c r="A172" s="27"/>
      <c r="B172" s="27"/>
      <c r="C172" s="27"/>
      <c r="D172" s="27"/>
      <c r="E172" s="27"/>
      <c r="F172" s="27"/>
      <c r="G172" s="27"/>
      <c r="H172" s="27"/>
      <c r="I172" s="27"/>
      <c r="J172" s="27"/>
      <c r="K172" s="27"/>
      <c r="L172" s="27"/>
      <c r="M172" s="27"/>
      <c r="N172" s="27"/>
      <c r="O172" s="27"/>
      <c r="P172" s="27"/>
      <c r="Q172" s="27"/>
      <c r="R172" s="27"/>
      <c r="S172" s="27"/>
      <c r="T172" s="27"/>
      <c r="U172" s="27"/>
      <c r="V172" s="27"/>
      <c r="W172" s="18" t="s">
        <v>647</v>
      </c>
      <c r="X172" s="18"/>
      <c r="Y172" s="27"/>
      <c r="Z172" s="27"/>
      <c r="AA172" s="27"/>
    </row>
    <row r="173" spans="1:27">
      <c r="A173" s="27"/>
      <c r="B173" s="27"/>
      <c r="C173" s="27"/>
      <c r="D173" s="27"/>
      <c r="E173" s="27"/>
      <c r="F173" s="27"/>
      <c r="G173" s="27"/>
      <c r="H173" s="27"/>
      <c r="I173" s="27"/>
      <c r="J173" s="27"/>
      <c r="K173" s="27"/>
      <c r="L173" s="27"/>
      <c r="M173" s="27"/>
      <c r="N173" s="27"/>
      <c r="O173" s="27"/>
      <c r="P173" s="27"/>
      <c r="Q173" s="27"/>
      <c r="R173" s="27"/>
      <c r="S173" s="27"/>
      <c r="T173" s="27"/>
      <c r="U173" s="27"/>
      <c r="V173" s="27"/>
      <c r="W173" s="18" t="s">
        <v>648</v>
      </c>
      <c r="X173" s="18"/>
      <c r="Y173" s="27"/>
      <c r="Z173" s="27"/>
      <c r="AA173" s="27"/>
    </row>
    <row r="174" spans="1:27">
      <c r="A174" s="27"/>
      <c r="B174" s="27"/>
      <c r="C174" s="27"/>
      <c r="D174" s="27"/>
      <c r="E174" s="27"/>
      <c r="F174" s="27"/>
      <c r="G174" s="27"/>
      <c r="H174" s="27"/>
      <c r="I174" s="27"/>
      <c r="J174" s="27"/>
      <c r="K174" s="27"/>
      <c r="L174" s="27"/>
      <c r="M174" s="27"/>
      <c r="N174" s="27"/>
      <c r="O174" s="27"/>
      <c r="P174" s="27"/>
      <c r="Q174" s="27"/>
      <c r="R174" s="27"/>
      <c r="S174" s="27"/>
      <c r="T174" s="27"/>
      <c r="U174" s="27"/>
      <c r="V174" s="27"/>
      <c r="W174" s="18" t="s">
        <v>649</v>
      </c>
      <c r="X174" s="18"/>
      <c r="Y174" s="27"/>
      <c r="Z174" s="27"/>
      <c r="AA174" s="27"/>
    </row>
    <row r="175" spans="1:27">
      <c r="A175" s="27"/>
      <c r="B175" s="27"/>
      <c r="C175" s="27"/>
      <c r="D175" s="27"/>
      <c r="E175" s="27"/>
      <c r="F175" s="27"/>
      <c r="G175" s="27"/>
      <c r="H175" s="27"/>
      <c r="I175" s="27"/>
      <c r="J175" s="27"/>
      <c r="K175" s="27"/>
      <c r="L175" s="27"/>
      <c r="M175" s="27"/>
      <c r="N175" s="27"/>
      <c r="O175" s="27"/>
      <c r="P175" s="27"/>
      <c r="Q175" s="27"/>
      <c r="R175" s="27"/>
      <c r="S175" s="27"/>
      <c r="T175" s="27"/>
      <c r="U175" s="27"/>
      <c r="V175" s="27"/>
      <c r="W175" s="18" t="s">
        <v>650</v>
      </c>
      <c r="X175" s="18"/>
      <c r="Y175" s="27"/>
      <c r="Z175" s="27"/>
      <c r="AA175" s="27"/>
    </row>
    <row r="176" spans="1:27">
      <c r="A176" s="27"/>
      <c r="B176" s="27"/>
      <c r="C176" s="27"/>
      <c r="D176" s="27"/>
      <c r="E176" s="27"/>
      <c r="F176" s="27"/>
      <c r="G176" s="27"/>
      <c r="H176" s="27"/>
      <c r="I176" s="27"/>
      <c r="J176" s="27"/>
      <c r="K176" s="27"/>
      <c r="L176" s="27"/>
      <c r="M176" s="27"/>
      <c r="N176" s="27"/>
      <c r="O176" s="27"/>
      <c r="P176" s="27"/>
      <c r="Q176" s="27"/>
      <c r="R176" s="27"/>
      <c r="S176" s="27"/>
      <c r="T176" s="27"/>
      <c r="U176" s="27"/>
      <c r="V176" s="27"/>
      <c r="W176" s="18" t="s">
        <v>651</v>
      </c>
      <c r="X176" s="18"/>
      <c r="Y176" s="27"/>
      <c r="Z176" s="27"/>
      <c r="AA176" s="27"/>
    </row>
    <row r="177" spans="1:27">
      <c r="A177" s="27"/>
      <c r="B177" s="27"/>
      <c r="C177" s="27"/>
      <c r="D177" s="27"/>
      <c r="E177" s="27"/>
      <c r="F177" s="27"/>
      <c r="G177" s="27"/>
      <c r="H177" s="27"/>
      <c r="I177" s="27"/>
      <c r="J177" s="27"/>
      <c r="K177" s="27"/>
      <c r="L177" s="27"/>
      <c r="M177" s="27"/>
      <c r="N177" s="27"/>
      <c r="O177" s="27"/>
      <c r="P177" s="27"/>
      <c r="Q177" s="27"/>
      <c r="R177" s="27"/>
      <c r="S177" s="27"/>
      <c r="T177" s="27"/>
      <c r="U177" s="27"/>
      <c r="V177" s="27"/>
      <c r="W177" s="18" t="s">
        <v>652</v>
      </c>
      <c r="X177" s="18"/>
      <c r="Y177" s="27"/>
      <c r="Z177" s="27"/>
      <c r="AA177" s="27"/>
    </row>
    <row r="178" spans="1:27">
      <c r="A178" s="27"/>
      <c r="B178" s="27"/>
      <c r="C178" s="27"/>
      <c r="D178" s="27"/>
      <c r="E178" s="27"/>
      <c r="F178" s="27"/>
      <c r="G178" s="27"/>
      <c r="H178" s="27"/>
      <c r="I178" s="27"/>
      <c r="J178" s="27"/>
      <c r="K178" s="27"/>
      <c r="L178" s="27"/>
      <c r="M178" s="27"/>
      <c r="N178" s="27"/>
      <c r="O178" s="27"/>
      <c r="P178" s="27"/>
      <c r="Q178" s="27"/>
      <c r="R178" s="27"/>
      <c r="S178" s="27"/>
      <c r="T178" s="27"/>
      <c r="U178" s="27"/>
      <c r="V178" s="27"/>
      <c r="W178" s="18" t="s">
        <v>653</v>
      </c>
      <c r="X178" s="18"/>
      <c r="Y178" s="27"/>
      <c r="Z178" s="27"/>
      <c r="AA178" s="27"/>
    </row>
    <row r="179" spans="1:27">
      <c r="A179" s="27"/>
      <c r="B179" s="27"/>
      <c r="C179" s="27"/>
      <c r="D179" s="27"/>
      <c r="E179" s="27"/>
      <c r="F179" s="27"/>
      <c r="G179" s="27"/>
      <c r="H179" s="27"/>
      <c r="I179" s="27"/>
      <c r="J179" s="27"/>
      <c r="K179" s="27"/>
      <c r="L179" s="27"/>
      <c r="M179" s="27"/>
      <c r="N179" s="27"/>
      <c r="O179" s="27"/>
      <c r="P179" s="27"/>
      <c r="Q179" s="27"/>
      <c r="R179" s="27"/>
      <c r="S179" s="27"/>
      <c r="T179" s="27"/>
      <c r="U179" s="27"/>
      <c r="V179" s="27"/>
      <c r="W179" s="18" t="s">
        <v>654</v>
      </c>
      <c r="X179" s="18"/>
      <c r="Y179" s="27"/>
      <c r="Z179" s="27"/>
      <c r="AA179" s="27"/>
    </row>
    <row r="180" spans="1:27">
      <c r="A180" s="27"/>
      <c r="B180" s="27"/>
      <c r="C180" s="27"/>
      <c r="D180" s="27"/>
      <c r="E180" s="27"/>
      <c r="F180" s="27"/>
      <c r="G180" s="27"/>
      <c r="H180" s="27"/>
      <c r="I180" s="27"/>
      <c r="J180" s="27"/>
      <c r="K180" s="27"/>
      <c r="L180" s="27"/>
      <c r="M180" s="27"/>
      <c r="N180" s="27"/>
      <c r="O180" s="27"/>
      <c r="P180" s="27"/>
      <c r="Q180" s="27"/>
      <c r="R180" s="27"/>
      <c r="S180" s="27"/>
      <c r="T180" s="27"/>
      <c r="U180" s="27"/>
      <c r="V180" s="27"/>
      <c r="W180" s="18" t="s">
        <v>655</v>
      </c>
      <c r="X180" s="18"/>
      <c r="Y180" s="27"/>
      <c r="Z180" s="27"/>
      <c r="AA180" s="27"/>
    </row>
    <row r="181" spans="1:27">
      <c r="A181" s="27"/>
      <c r="B181" s="27"/>
      <c r="C181" s="27"/>
      <c r="D181" s="27"/>
      <c r="E181" s="27"/>
      <c r="F181" s="27"/>
      <c r="G181" s="27"/>
      <c r="H181" s="27"/>
      <c r="I181" s="27"/>
      <c r="J181" s="27"/>
      <c r="K181" s="27"/>
      <c r="L181" s="27"/>
      <c r="M181" s="27"/>
      <c r="N181" s="27"/>
      <c r="O181" s="27"/>
      <c r="P181" s="27"/>
      <c r="Q181" s="27"/>
      <c r="R181" s="27"/>
      <c r="S181" s="27"/>
      <c r="T181" s="27"/>
      <c r="U181" s="27"/>
      <c r="V181" s="27"/>
      <c r="W181" s="18" t="s">
        <v>656</v>
      </c>
      <c r="X181" s="18"/>
      <c r="Y181" s="27"/>
      <c r="Z181" s="27"/>
      <c r="AA181" s="27"/>
    </row>
    <row r="182" spans="1:27">
      <c r="A182" s="27"/>
      <c r="B182" s="27"/>
      <c r="C182" s="27"/>
      <c r="D182" s="27"/>
      <c r="E182" s="27"/>
      <c r="F182" s="27"/>
      <c r="G182" s="27"/>
      <c r="H182" s="27"/>
      <c r="I182" s="27"/>
      <c r="J182" s="27"/>
      <c r="K182" s="27"/>
      <c r="L182" s="27"/>
      <c r="M182" s="27"/>
      <c r="N182" s="27"/>
      <c r="O182" s="27"/>
      <c r="P182" s="27"/>
      <c r="Q182" s="27"/>
      <c r="R182" s="27"/>
      <c r="S182" s="27"/>
      <c r="T182" s="27"/>
      <c r="U182" s="27"/>
      <c r="V182" s="27"/>
      <c r="W182" s="18" t="s">
        <v>657</v>
      </c>
      <c r="X182" s="18"/>
      <c r="Y182" s="27"/>
      <c r="Z182" s="27"/>
      <c r="AA182" s="27"/>
    </row>
    <row r="183" spans="1:27">
      <c r="A183" s="27"/>
      <c r="B183" s="27"/>
      <c r="C183" s="27"/>
      <c r="D183" s="27"/>
      <c r="E183" s="27"/>
      <c r="F183" s="27"/>
      <c r="G183" s="27"/>
      <c r="H183" s="27"/>
      <c r="I183" s="27"/>
      <c r="J183" s="27"/>
      <c r="K183" s="27"/>
      <c r="L183" s="27"/>
      <c r="M183" s="27"/>
      <c r="N183" s="27"/>
      <c r="O183" s="27"/>
      <c r="P183" s="27"/>
      <c r="Q183" s="27"/>
      <c r="R183" s="27"/>
      <c r="S183" s="27"/>
      <c r="T183" s="27"/>
      <c r="U183" s="27"/>
      <c r="V183" s="27"/>
      <c r="W183" s="18" t="s">
        <v>658</v>
      </c>
      <c r="X183" s="18"/>
      <c r="Y183" s="27"/>
      <c r="Z183" s="27"/>
      <c r="AA183" s="27"/>
    </row>
    <row r="184" spans="1:27">
      <c r="A184" s="27"/>
      <c r="B184" s="27"/>
      <c r="C184" s="27"/>
      <c r="D184" s="27"/>
      <c r="E184" s="27"/>
      <c r="F184" s="27"/>
      <c r="G184" s="27"/>
      <c r="H184" s="27"/>
      <c r="I184" s="27"/>
      <c r="J184" s="27"/>
      <c r="K184" s="27"/>
      <c r="L184" s="27"/>
      <c r="M184" s="27"/>
      <c r="N184" s="27"/>
      <c r="O184" s="27"/>
      <c r="P184" s="27"/>
      <c r="Q184" s="27"/>
      <c r="R184" s="27"/>
      <c r="S184" s="27"/>
      <c r="T184" s="27"/>
      <c r="U184" s="27"/>
      <c r="V184" s="27"/>
      <c r="W184" s="18" t="s">
        <v>659</v>
      </c>
      <c r="X184" s="18"/>
      <c r="Y184" s="27"/>
      <c r="Z184" s="27"/>
      <c r="AA184" s="27"/>
    </row>
    <row r="185" spans="1:27">
      <c r="A185" s="27"/>
      <c r="B185" s="27"/>
      <c r="C185" s="27"/>
      <c r="D185" s="27"/>
      <c r="E185" s="27"/>
      <c r="F185" s="27"/>
      <c r="G185" s="27"/>
      <c r="H185" s="27"/>
      <c r="I185" s="27"/>
      <c r="J185" s="27"/>
      <c r="K185" s="27"/>
      <c r="L185" s="27"/>
      <c r="M185" s="27"/>
      <c r="N185" s="27"/>
      <c r="O185" s="27"/>
      <c r="P185" s="27"/>
      <c r="Q185" s="27"/>
      <c r="R185" s="27"/>
      <c r="S185" s="27"/>
      <c r="T185" s="27"/>
      <c r="U185" s="27"/>
      <c r="V185" s="27"/>
      <c r="W185" s="18" t="s">
        <v>660</v>
      </c>
      <c r="X185" s="18"/>
      <c r="Y185" s="27"/>
      <c r="Z185" s="27"/>
      <c r="AA185" s="27"/>
    </row>
    <row r="186" spans="1:27">
      <c r="A186" s="27"/>
      <c r="B186" s="27"/>
      <c r="C186" s="27"/>
      <c r="D186" s="27"/>
      <c r="E186" s="27"/>
      <c r="F186" s="27"/>
      <c r="G186" s="27"/>
      <c r="H186" s="27"/>
      <c r="I186" s="27"/>
      <c r="J186" s="27"/>
      <c r="K186" s="27"/>
      <c r="L186" s="27"/>
      <c r="M186" s="27"/>
      <c r="N186" s="27"/>
      <c r="O186" s="27"/>
      <c r="P186" s="27"/>
      <c r="Q186" s="27"/>
      <c r="R186" s="27"/>
      <c r="S186" s="27"/>
      <c r="T186" s="27"/>
      <c r="U186" s="27"/>
      <c r="V186" s="27"/>
      <c r="W186" s="18" t="s">
        <v>661</v>
      </c>
      <c r="X186" s="18"/>
      <c r="Y186" s="27"/>
      <c r="Z186" s="27"/>
      <c r="AA186" s="27"/>
    </row>
    <row r="187" spans="1:27">
      <c r="A187" s="27"/>
      <c r="B187" s="27"/>
      <c r="C187" s="27"/>
      <c r="D187" s="27"/>
      <c r="E187" s="27"/>
      <c r="F187" s="27"/>
      <c r="G187" s="27"/>
      <c r="H187" s="27"/>
      <c r="I187" s="27"/>
      <c r="J187" s="27"/>
      <c r="K187" s="27"/>
      <c r="L187" s="27"/>
      <c r="M187" s="27"/>
      <c r="N187" s="27"/>
      <c r="O187" s="27"/>
      <c r="P187" s="27"/>
      <c r="Q187" s="27"/>
      <c r="R187" s="27"/>
      <c r="S187" s="27"/>
      <c r="T187" s="27"/>
      <c r="U187" s="27"/>
      <c r="V187" s="27"/>
      <c r="W187" s="18" t="s">
        <v>662</v>
      </c>
      <c r="X187" s="18"/>
      <c r="Y187" s="27"/>
      <c r="Z187" s="27"/>
      <c r="AA187" s="27"/>
    </row>
    <row r="188" spans="1:27">
      <c r="A188" s="27"/>
      <c r="B188" s="27"/>
      <c r="C188" s="27"/>
      <c r="D188" s="27"/>
      <c r="E188" s="27"/>
      <c r="F188" s="27"/>
      <c r="G188" s="27"/>
      <c r="H188" s="27"/>
      <c r="I188" s="27"/>
      <c r="J188" s="27"/>
      <c r="K188" s="27"/>
      <c r="L188" s="27"/>
      <c r="M188" s="27"/>
      <c r="N188" s="27"/>
      <c r="O188" s="27"/>
      <c r="P188" s="27"/>
      <c r="Q188" s="27"/>
      <c r="R188" s="27"/>
      <c r="S188" s="27"/>
      <c r="T188" s="27"/>
      <c r="U188" s="27"/>
      <c r="V188" s="27"/>
      <c r="W188" s="18" t="s">
        <v>663</v>
      </c>
      <c r="X188" s="18"/>
      <c r="Y188" s="27"/>
      <c r="Z188" s="27"/>
      <c r="AA188" s="27"/>
    </row>
    <row r="189" spans="1:27">
      <c r="A189" s="27"/>
      <c r="B189" s="27"/>
      <c r="C189" s="27"/>
      <c r="D189" s="27"/>
      <c r="E189" s="27"/>
      <c r="F189" s="27"/>
      <c r="G189" s="27"/>
      <c r="H189" s="27"/>
      <c r="I189" s="27"/>
      <c r="J189" s="27"/>
      <c r="K189" s="27"/>
      <c r="L189" s="27"/>
      <c r="M189" s="27"/>
      <c r="N189" s="27"/>
      <c r="O189" s="27"/>
      <c r="P189" s="27"/>
      <c r="Q189" s="27"/>
      <c r="R189" s="27"/>
      <c r="S189" s="27"/>
      <c r="T189" s="27"/>
      <c r="U189" s="27"/>
      <c r="V189" s="27"/>
      <c r="W189" s="18" t="s">
        <v>664</v>
      </c>
      <c r="X189" s="18"/>
      <c r="Y189" s="27"/>
      <c r="Z189" s="27"/>
      <c r="AA189" s="27"/>
    </row>
    <row r="190" spans="1:27">
      <c r="A190" s="27"/>
      <c r="B190" s="27"/>
      <c r="C190" s="27"/>
      <c r="D190" s="27"/>
      <c r="E190" s="27"/>
      <c r="F190" s="27"/>
      <c r="G190" s="27"/>
      <c r="H190" s="27"/>
      <c r="I190" s="27"/>
      <c r="J190" s="27"/>
      <c r="K190" s="27"/>
      <c r="L190" s="27"/>
      <c r="M190" s="27"/>
      <c r="N190" s="27"/>
      <c r="O190" s="27"/>
      <c r="P190" s="27"/>
      <c r="Q190" s="27"/>
      <c r="R190" s="27"/>
      <c r="S190" s="27"/>
      <c r="T190" s="27"/>
      <c r="U190" s="27"/>
      <c r="V190" s="27"/>
      <c r="W190" s="18" t="s">
        <v>665</v>
      </c>
      <c r="X190" s="18"/>
      <c r="Y190" s="27"/>
      <c r="Z190" s="27"/>
      <c r="AA190" s="27"/>
    </row>
    <row r="191" spans="1:27">
      <c r="A191" s="27"/>
      <c r="B191" s="27"/>
      <c r="C191" s="27"/>
      <c r="D191" s="27"/>
      <c r="E191" s="27"/>
      <c r="F191" s="27"/>
      <c r="G191" s="27"/>
      <c r="H191" s="27"/>
      <c r="I191" s="27"/>
      <c r="J191" s="27"/>
      <c r="K191" s="27"/>
      <c r="L191" s="27"/>
      <c r="M191" s="27"/>
      <c r="N191" s="27"/>
      <c r="O191" s="27"/>
      <c r="P191" s="27"/>
      <c r="Q191" s="27"/>
      <c r="R191" s="27"/>
      <c r="S191" s="27"/>
      <c r="T191" s="27"/>
      <c r="U191" s="27"/>
      <c r="V191" s="27"/>
      <c r="W191" s="18" t="s">
        <v>666</v>
      </c>
      <c r="X191" s="18"/>
      <c r="Y191" s="27"/>
      <c r="Z191" s="27"/>
      <c r="AA191" s="27"/>
    </row>
    <row r="192" spans="1:27">
      <c r="A192" s="27"/>
      <c r="B192" s="27"/>
      <c r="C192" s="27"/>
      <c r="D192" s="27"/>
      <c r="E192" s="27"/>
      <c r="F192" s="27"/>
      <c r="G192" s="27"/>
      <c r="H192" s="27"/>
      <c r="I192" s="27"/>
      <c r="J192" s="27"/>
      <c r="K192" s="27"/>
      <c r="L192" s="27"/>
      <c r="M192" s="27"/>
      <c r="N192" s="27"/>
      <c r="O192" s="27"/>
      <c r="P192" s="27"/>
      <c r="Q192" s="27"/>
      <c r="R192" s="27"/>
      <c r="S192" s="27"/>
      <c r="T192" s="27"/>
      <c r="U192" s="27"/>
      <c r="V192" s="27"/>
      <c r="W192" s="18" t="s">
        <v>667</v>
      </c>
      <c r="X192" s="18"/>
      <c r="Y192" s="27"/>
      <c r="Z192" s="27"/>
      <c r="AA192" s="27"/>
    </row>
    <row r="193" spans="1:27">
      <c r="A193" s="27"/>
      <c r="B193" s="27"/>
      <c r="C193" s="27"/>
      <c r="D193" s="27"/>
      <c r="E193" s="27"/>
      <c r="F193" s="27"/>
      <c r="G193" s="27"/>
      <c r="H193" s="27"/>
      <c r="I193" s="27"/>
      <c r="J193" s="27"/>
      <c r="K193" s="27"/>
      <c r="L193" s="27"/>
      <c r="M193" s="27"/>
      <c r="N193" s="27"/>
      <c r="O193" s="27"/>
      <c r="P193" s="27"/>
      <c r="Q193" s="27"/>
      <c r="R193" s="27"/>
      <c r="S193" s="27"/>
      <c r="T193" s="27"/>
      <c r="U193" s="27"/>
      <c r="V193" s="27"/>
      <c r="W193" s="18" t="s">
        <v>668</v>
      </c>
      <c r="X193" s="18"/>
      <c r="Y193" s="27"/>
      <c r="Z193" s="27"/>
      <c r="AA193" s="27"/>
    </row>
    <row r="194" spans="1:27">
      <c r="A194" s="27"/>
      <c r="B194" s="27"/>
      <c r="C194" s="27"/>
      <c r="D194" s="27"/>
      <c r="E194" s="27"/>
      <c r="F194" s="27"/>
      <c r="G194" s="27"/>
      <c r="H194" s="27"/>
      <c r="I194" s="27"/>
      <c r="J194" s="27"/>
      <c r="K194" s="27"/>
      <c r="L194" s="27"/>
      <c r="M194" s="27"/>
      <c r="N194" s="27"/>
      <c r="O194" s="27"/>
      <c r="P194" s="27"/>
      <c r="Q194" s="27"/>
      <c r="R194" s="27"/>
      <c r="S194" s="27"/>
      <c r="T194" s="27"/>
      <c r="U194" s="27"/>
      <c r="V194" s="27"/>
      <c r="W194" s="18" t="s">
        <v>669</v>
      </c>
      <c r="X194" s="18"/>
      <c r="Y194" s="27"/>
      <c r="Z194" s="27"/>
      <c r="AA194" s="27"/>
    </row>
    <row r="195" spans="1:27">
      <c r="A195" s="27"/>
      <c r="B195" s="27"/>
      <c r="C195" s="27"/>
      <c r="D195" s="27"/>
      <c r="E195" s="27"/>
      <c r="F195" s="27"/>
      <c r="G195" s="27"/>
      <c r="H195" s="27"/>
      <c r="I195" s="27"/>
      <c r="J195" s="27"/>
      <c r="K195" s="27"/>
      <c r="L195" s="27"/>
      <c r="M195" s="27"/>
      <c r="N195" s="27"/>
      <c r="O195" s="27"/>
      <c r="P195" s="27"/>
      <c r="Q195" s="27"/>
      <c r="R195" s="27"/>
      <c r="S195" s="27"/>
      <c r="T195" s="27"/>
      <c r="U195" s="27"/>
      <c r="V195" s="27"/>
      <c r="W195" s="18" t="s">
        <v>670</v>
      </c>
      <c r="X195" s="18"/>
      <c r="Y195" s="27"/>
      <c r="Z195" s="27"/>
      <c r="AA195" s="27"/>
    </row>
    <row r="196" spans="1:27">
      <c r="A196" s="27"/>
      <c r="B196" s="27"/>
      <c r="C196" s="27"/>
      <c r="D196" s="27"/>
      <c r="E196" s="27"/>
      <c r="F196" s="27"/>
      <c r="G196" s="27"/>
      <c r="H196" s="27"/>
      <c r="I196" s="27"/>
      <c r="J196" s="27"/>
      <c r="K196" s="27"/>
      <c r="L196" s="27"/>
      <c r="M196" s="27"/>
      <c r="N196" s="27"/>
      <c r="O196" s="27"/>
      <c r="P196" s="27"/>
      <c r="Q196" s="27"/>
      <c r="R196" s="27"/>
      <c r="S196" s="27"/>
      <c r="T196" s="27"/>
      <c r="U196" s="27"/>
      <c r="V196" s="27"/>
      <c r="W196" s="18" t="s">
        <v>671</v>
      </c>
      <c r="X196" s="18"/>
      <c r="Y196" s="27"/>
      <c r="Z196" s="27"/>
      <c r="AA196" s="27"/>
    </row>
    <row r="197" spans="1:27">
      <c r="A197" s="27"/>
      <c r="B197" s="27"/>
      <c r="C197" s="27"/>
      <c r="D197" s="27"/>
      <c r="E197" s="27"/>
      <c r="F197" s="27"/>
      <c r="G197" s="27"/>
      <c r="H197" s="27"/>
      <c r="I197" s="27"/>
      <c r="J197" s="27"/>
      <c r="K197" s="27"/>
      <c r="L197" s="27"/>
      <c r="M197" s="27"/>
      <c r="N197" s="27"/>
      <c r="O197" s="27"/>
      <c r="P197" s="27"/>
      <c r="Q197" s="27"/>
      <c r="R197" s="27"/>
      <c r="S197" s="27"/>
      <c r="T197" s="27"/>
      <c r="U197" s="27"/>
      <c r="V197" s="27"/>
      <c r="W197" s="18" t="s">
        <v>672</v>
      </c>
      <c r="X197" s="18"/>
      <c r="Y197" s="27"/>
      <c r="Z197" s="27"/>
      <c r="AA197" s="27"/>
    </row>
    <row r="198" spans="1:27">
      <c r="A198" s="27"/>
      <c r="B198" s="27"/>
      <c r="C198" s="27"/>
      <c r="D198" s="27"/>
      <c r="E198" s="27"/>
      <c r="F198" s="27"/>
      <c r="G198" s="27"/>
      <c r="H198" s="27"/>
      <c r="I198" s="27"/>
      <c r="J198" s="27"/>
      <c r="K198" s="27"/>
      <c r="L198" s="27"/>
      <c r="M198" s="27"/>
      <c r="N198" s="27"/>
      <c r="O198" s="27"/>
      <c r="P198" s="27"/>
      <c r="Q198" s="27"/>
      <c r="R198" s="27"/>
      <c r="S198" s="27"/>
      <c r="T198" s="27"/>
      <c r="U198" s="27"/>
      <c r="V198" s="27"/>
      <c r="W198" s="18" t="s">
        <v>673</v>
      </c>
      <c r="X198" s="18"/>
      <c r="Y198" s="27"/>
      <c r="Z198" s="27"/>
      <c r="AA198" s="27"/>
    </row>
    <row r="199" spans="1:27">
      <c r="A199" s="27"/>
      <c r="B199" s="27"/>
      <c r="C199" s="27"/>
      <c r="D199" s="27"/>
      <c r="E199" s="27"/>
      <c r="F199" s="27"/>
      <c r="G199" s="27"/>
      <c r="H199" s="27"/>
      <c r="I199" s="27"/>
      <c r="J199" s="27"/>
      <c r="K199" s="27"/>
      <c r="L199" s="27"/>
      <c r="M199" s="27"/>
      <c r="N199" s="27"/>
      <c r="O199" s="27"/>
      <c r="P199" s="27"/>
      <c r="Q199" s="27"/>
      <c r="R199" s="27"/>
      <c r="S199" s="27"/>
      <c r="T199" s="27"/>
      <c r="U199" s="27"/>
      <c r="V199" s="27"/>
      <c r="W199" s="18" t="s">
        <v>674</v>
      </c>
      <c r="X199" s="18"/>
      <c r="Y199" s="27"/>
      <c r="Z199" s="27"/>
      <c r="AA199" s="27"/>
    </row>
    <row r="200" spans="1:27">
      <c r="A200" s="27"/>
      <c r="B200" s="27"/>
      <c r="C200" s="27"/>
      <c r="D200" s="27"/>
      <c r="E200" s="27"/>
      <c r="F200" s="27"/>
      <c r="G200" s="27"/>
      <c r="H200" s="27"/>
      <c r="I200" s="27"/>
      <c r="J200" s="27"/>
      <c r="K200" s="27"/>
      <c r="L200" s="27"/>
      <c r="M200" s="27"/>
      <c r="N200" s="27"/>
      <c r="O200" s="27"/>
      <c r="P200" s="27"/>
      <c r="Q200" s="27"/>
      <c r="R200" s="27"/>
      <c r="S200" s="27"/>
      <c r="T200" s="27"/>
      <c r="U200" s="27"/>
      <c r="V200" s="27"/>
      <c r="W200" s="18" t="s">
        <v>675</v>
      </c>
      <c r="X200" s="18"/>
      <c r="Y200" s="27"/>
      <c r="Z200" s="27"/>
      <c r="AA200" s="27"/>
    </row>
    <row r="201" spans="1:27">
      <c r="A201" s="27"/>
      <c r="B201" s="27"/>
      <c r="C201" s="27"/>
      <c r="D201" s="27"/>
      <c r="E201" s="27"/>
      <c r="F201" s="27"/>
      <c r="G201" s="27"/>
      <c r="H201" s="27"/>
      <c r="I201" s="27"/>
      <c r="J201" s="27"/>
      <c r="K201" s="27"/>
      <c r="L201" s="27"/>
      <c r="M201" s="27"/>
      <c r="N201" s="27"/>
      <c r="O201" s="27"/>
      <c r="P201" s="27"/>
      <c r="Q201" s="27"/>
      <c r="R201" s="27"/>
      <c r="S201" s="27"/>
      <c r="T201" s="27"/>
      <c r="U201" s="27"/>
      <c r="V201" s="27"/>
      <c r="W201" s="18" t="s">
        <v>676</v>
      </c>
      <c r="X201" s="18"/>
      <c r="Y201" s="27"/>
      <c r="Z201" s="27"/>
      <c r="AA201" s="27"/>
    </row>
    <row r="202" spans="1:27">
      <c r="A202" s="27"/>
      <c r="B202" s="27"/>
      <c r="C202" s="27"/>
      <c r="D202" s="27"/>
      <c r="E202" s="27"/>
      <c r="F202" s="27"/>
      <c r="G202" s="27"/>
      <c r="H202" s="27"/>
      <c r="I202" s="27"/>
      <c r="J202" s="27"/>
      <c r="K202" s="27"/>
      <c r="L202" s="27"/>
      <c r="M202" s="27"/>
      <c r="N202" s="27"/>
      <c r="O202" s="27"/>
      <c r="P202" s="27"/>
      <c r="Q202" s="27"/>
      <c r="R202" s="27"/>
      <c r="S202" s="27"/>
      <c r="T202" s="27"/>
      <c r="U202" s="27"/>
      <c r="V202" s="27"/>
      <c r="W202" s="18" t="s">
        <v>677</v>
      </c>
      <c r="X202" s="18"/>
      <c r="Y202" s="27"/>
      <c r="Z202" s="27"/>
      <c r="AA202" s="27"/>
    </row>
    <row r="203" spans="1:27">
      <c r="A203" s="27"/>
      <c r="B203" s="27"/>
      <c r="C203" s="27"/>
      <c r="D203" s="27"/>
      <c r="E203" s="27"/>
      <c r="F203" s="27"/>
      <c r="G203" s="27"/>
      <c r="H203" s="27"/>
      <c r="I203" s="27"/>
      <c r="J203" s="27"/>
      <c r="K203" s="27"/>
      <c r="L203" s="27"/>
      <c r="M203" s="27"/>
      <c r="N203" s="27"/>
      <c r="O203" s="27"/>
      <c r="P203" s="27"/>
      <c r="Q203" s="27"/>
      <c r="R203" s="27"/>
      <c r="S203" s="27"/>
      <c r="T203" s="27"/>
      <c r="U203" s="27"/>
      <c r="V203" s="27"/>
      <c r="W203" s="18" t="s">
        <v>678</v>
      </c>
      <c r="X203" s="18"/>
      <c r="Y203" s="27"/>
      <c r="Z203" s="27"/>
      <c r="AA203" s="27"/>
    </row>
    <row r="204" spans="1:27">
      <c r="A204" s="27"/>
      <c r="B204" s="27"/>
      <c r="C204" s="27"/>
      <c r="D204" s="27"/>
      <c r="E204" s="27"/>
      <c r="F204" s="27"/>
      <c r="G204" s="27"/>
      <c r="H204" s="27"/>
      <c r="I204" s="27"/>
      <c r="J204" s="27"/>
      <c r="K204" s="27"/>
      <c r="L204" s="27"/>
      <c r="M204" s="27"/>
      <c r="N204" s="27"/>
      <c r="O204" s="27"/>
      <c r="P204" s="27"/>
      <c r="Q204" s="27"/>
      <c r="R204" s="27"/>
      <c r="S204" s="27"/>
      <c r="T204" s="27"/>
      <c r="U204" s="27"/>
      <c r="V204" s="27"/>
      <c r="W204" s="18" t="s">
        <v>679</v>
      </c>
      <c r="X204" s="18"/>
      <c r="Y204" s="27"/>
      <c r="Z204" s="27"/>
      <c r="AA204" s="27"/>
    </row>
    <row r="205" spans="1:27">
      <c r="A205" s="27"/>
      <c r="B205" s="27"/>
      <c r="C205" s="27"/>
      <c r="D205" s="27"/>
      <c r="E205" s="27"/>
      <c r="F205" s="27"/>
      <c r="G205" s="27"/>
      <c r="H205" s="27"/>
      <c r="I205" s="27"/>
      <c r="J205" s="27"/>
      <c r="K205" s="27"/>
      <c r="L205" s="27"/>
      <c r="M205" s="27"/>
      <c r="N205" s="27"/>
      <c r="O205" s="27"/>
      <c r="P205" s="27"/>
      <c r="Q205" s="27"/>
      <c r="R205" s="27"/>
      <c r="S205" s="27"/>
      <c r="T205" s="27"/>
      <c r="U205" s="27"/>
      <c r="V205" s="27"/>
      <c r="W205" s="18" t="s">
        <v>680</v>
      </c>
      <c r="X205" s="18"/>
      <c r="Y205" s="27"/>
      <c r="Z205" s="27"/>
      <c r="AA205" s="27"/>
    </row>
    <row r="206" spans="1:27">
      <c r="A206" s="27"/>
      <c r="B206" s="27"/>
      <c r="C206" s="27"/>
      <c r="D206" s="27"/>
      <c r="E206" s="27"/>
      <c r="F206" s="27"/>
      <c r="G206" s="27"/>
      <c r="H206" s="27"/>
      <c r="I206" s="27"/>
      <c r="J206" s="27"/>
      <c r="K206" s="27"/>
      <c r="L206" s="27"/>
      <c r="M206" s="27"/>
      <c r="N206" s="27"/>
      <c r="O206" s="27"/>
      <c r="P206" s="27"/>
      <c r="Q206" s="27"/>
      <c r="R206" s="27"/>
      <c r="S206" s="27"/>
      <c r="T206" s="27"/>
      <c r="U206" s="27"/>
      <c r="V206" s="27"/>
      <c r="W206" s="18" t="s">
        <v>681</v>
      </c>
      <c r="X206" s="18"/>
      <c r="Y206" s="27"/>
      <c r="Z206" s="27"/>
      <c r="AA206" s="27"/>
    </row>
    <row r="207" spans="1:27">
      <c r="A207" s="27"/>
      <c r="B207" s="27"/>
      <c r="C207" s="27"/>
      <c r="D207" s="27"/>
      <c r="E207" s="27"/>
      <c r="F207" s="27"/>
      <c r="G207" s="27"/>
      <c r="H207" s="27"/>
      <c r="I207" s="27"/>
      <c r="J207" s="27"/>
      <c r="K207" s="27"/>
      <c r="L207" s="27"/>
      <c r="M207" s="27"/>
      <c r="N207" s="27"/>
      <c r="O207" s="27"/>
      <c r="P207" s="27"/>
      <c r="Q207" s="27"/>
      <c r="R207" s="27"/>
      <c r="S207" s="27"/>
      <c r="T207" s="27"/>
      <c r="U207" s="27"/>
      <c r="V207" s="27"/>
      <c r="W207" s="18" t="s">
        <v>682</v>
      </c>
      <c r="X207" s="18"/>
      <c r="Y207" s="27"/>
      <c r="Z207" s="27"/>
      <c r="AA207" s="27"/>
    </row>
    <row r="208" spans="1:27">
      <c r="A208" s="27"/>
      <c r="B208" s="27"/>
      <c r="C208" s="27"/>
      <c r="D208" s="27"/>
      <c r="E208" s="27"/>
      <c r="F208" s="27"/>
      <c r="G208" s="27"/>
      <c r="H208" s="27"/>
      <c r="I208" s="27"/>
      <c r="J208" s="27"/>
      <c r="K208" s="27"/>
      <c r="L208" s="27"/>
      <c r="M208" s="27"/>
      <c r="N208" s="27"/>
      <c r="O208" s="27"/>
      <c r="P208" s="27"/>
      <c r="Q208" s="27"/>
      <c r="R208" s="27"/>
      <c r="S208" s="27"/>
      <c r="T208" s="27"/>
      <c r="U208" s="27"/>
      <c r="V208" s="27"/>
      <c r="W208" s="18" t="s">
        <v>683</v>
      </c>
      <c r="X208" s="18"/>
      <c r="Y208" s="27"/>
      <c r="Z208" s="27"/>
      <c r="AA208" s="27"/>
    </row>
    <row r="209" spans="1:27">
      <c r="A209" s="27"/>
      <c r="B209" s="27"/>
      <c r="C209" s="27"/>
      <c r="D209" s="27"/>
      <c r="E209" s="27"/>
      <c r="F209" s="27"/>
      <c r="G209" s="27"/>
      <c r="H209" s="27"/>
      <c r="I209" s="27"/>
      <c r="J209" s="27"/>
      <c r="K209" s="27"/>
      <c r="L209" s="27"/>
      <c r="M209" s="27"/>
      <c r="N209" s="27"/>
      <c r="O209" s="27"/>
      <c r="P209" s="27"/>
      <c r="Q209" s="27"/>
      <c r="R209" s="27"/>
      <c r="S209" s="27"/>
      <c r="T209" s="27"/>
      <c r="U209" s="27"/>
      <c r="V209" s="27"/>
      <c r="W209" s="18" t="s">
        <v>684</v>
      </c>
      <c r="X209" s="18"/>
      <c r="Y209" s="27"/>
      <c r="Z209" s="27"/>
      <c r="AA209" s="27"/>
    </row>
    <row r="210" spans="1:27">
      <c r="A210" s="27"/>
      <c r="B210" s="27"/>
      <c r="C210" s="27"/>
      <c r="D210" s="27"/>
      <c r="E210" s="27"/>
      <c r="F210" s="27"/>
      <c r="G210" s="27"/>
      <c r="H210" s="27"/>
      <c r="I210" s="27"/>
      <c r="J210" s="27"/>
      <c r="K210" s="27"/>
      <c r="L210" s="27"/>
      <c r="M210" s="27"/>
      <c r="N210" s="27"/>
      <c r="O210" s="27"/>
      <c r="P210" s="27"/>
      <c r="Q210" s="27"/>
      <c r="R210" s="27"/>
      <c r="S210" s="27"/>
      <c r="T210" s="27"/>
      <c r="U210" s="27"/>
      <c r="V210" s="27"/>
      <c r="W210" s="18" t="s">
        <v>685</v>
      </c>
      <c r="X210" s="18"/>
      <c r="Y210" s="27"/>
      <c r="Z210" s="27"/>
      <c r="AA210" s="27"/>
    </row>
    <row r="211" spans="1:27">
      <c r="A211" s="27"/>
      <c r="B211" s="27"/>
      <c r="C211" s="27"/>
      <c r="D211" s="27"/>
      <c r="E211" s="27"/>
      <c r="F211" s="27"/>
      <c r="G211" s="27"/>
      <c r="H211" s="27"/>
      <c r="I211" s="27"/>
      <c r="J211" s="27"/>
      <c r="K211" s="27"/>
      <c r="L211" s="27"/>
      <c r="M211" s="27"/>
      <c r="N211" s="27"/>
      <c r="O211" s="27"/>
      <c r="P211" s="27"/>
      <c r="Q211" s="27"/>
      <c r="R211" s="27"/>
      <c r="S211" s="27"/>
      <c r="T211" s="27"/>
      <c r="U211" s="27"/>
      <c r="V211" s="27"/>
      <c r="W211" s="18" t="s">
        <v>686</v>
      </c>
      <c r="X211" s="18"/>
      <c r="Y211" s="27"/>
      <c r="Z211" s="27"/>
      <c r="AA211" s="27"/>
    </row>
    <row r="212" spans="1:27">
      <c r="A212" s="27"/>
      <c r="B212" s="27"/>
      <c r="C212" s="27"/>
      <c r="D212" s="27"/>
      <c r="E212" s="27"/>
      <c r="F212" s="27"/>
      <c r="G212" s="27"/>
      <c r="H212" s="27"/>
      <c r="I212" s="27"/>
      <c r="J212" s="27"/>
      <c r="K212" s="27"/>
      <c r="L212" s="27"/>
      <c r="M212" s="27"/>
      <c r="N212" s="27"/>
      <c r="O212" s="27"/>
      <c r="P212" s="27"/>
      <c r="Q212" s="27"/>
      <c r="R212" s="27"/>
      <c r="S212" s="27"/>
      <c r="T212" s="27"/>
      <c r="U212" s="27"/>
      <c r="V212" s="27"/>
      <c r="W212" s="18" t="s">
        <v>687</v>
      </c>
      <c r="X212" s="18"/>
      <c r="Y212" s="27"/>
      <c r="Z212" s="27"/>
      <c r="AA212" s="27"/>
    </row>
    <row r="213" spans="1:27">
      <c r="A213" s="27"/>
      <c r="B213" s="27"/>
      <c r="C213" s="27"/>
      <c r="D213" s="27"/>
      <c r="E213" s="27"/>
      <c r="F213" s="27"/>
      <c r="G213" s="27"/>
      <c r="H213" s="27"/>
      <c r="I213" s="27"/>
      <c r="J213" s="27"/>
      <c r="K213" s="27"/>
      <c r="L213" s="27"/>
      <c r="M213" s="27"/>
      <c r="N213" s="27"/>
      <c r="O213" s="27"/>
      <c r="P213" s="27"/>
      <c r="Q213" s="27"/>
      <c r="R213" s="27"/>
      <c r="S213" s="27"/>
      <c r="T213" s="27"/>
      <c r="U213" s="27"/>
      <c r="V213" s="27"/>
      <c r="W213" s="18" t="s">
        <v>688</v>
      </c>
      <c r="X213" s="18"/>
      <c r="Y213" s="27"/>
      <c r="Z213" s="27"/>
      <c r="AA213" s="27"/>
    </row>
    <row r="214" spans="1:27">
      <c r="A214" s="27"/>
      <c r="B214" s="27"/>
      <c r="C214" s="27"/>
      <c r="D214" s="27"/>
      <c r="E214" s="27"/>
      <c r="F214" s="27"/>
      <c r="G214" s="27"/>
      <c r="H214" s="27"/>
      <c r="I214" s="27"/>
      <c r="J214" s="27"/>
      <c r="K214" s="27"/>
      <c r="L214" s="27"/>
      <c r="M214" s="27"/>
      <c r="N214" s="27"/>
      <c r="O214" s="27"/>
      <c r="P214" s="27"/>
      <c r="Q214" s="27"/>
      <c r="R214" s="27"/>
      <c r="S214" s="27"/>
      <c r="T214" s="27"/>
      <c r="U214" s="27"/>
      <c r="V214" s="27"/>
      <c r="W214" s="18" t="s">
        <v>689</v>
      </c>
      <c r="X214" s="18"/>
      <c r="Y214" s="27"/>
      <c r="Z214" s="27"/>
      <c r="AA214" s="27"/>
    </row>
    <row r="215" spans="1:27">
      <c r="A215" s="27"/>
      <c r="B215" s="27"/>
      <c r="C215" s="27"/>
      <c r="D215" s="27"/>
      <c r="E215" s="27"/>
      <c r="F215" s="27"/>
      <c r="G215" s="27"/>
      <c r="H215" s="27"/>
      <c r="I215" s="27"/>
      <c r="J215" s="27"/>
      <c r="K215" s="27"/>
      <c r="L215" s="27"/>
      <c r="M215" s="27"/>
      <c r="N215" s="27"/>
      <c r="O215" s="27"/>
      <c r="P215" s="27"/>
      <c r="Q215" s="27"/>
      <c r="R215" s="27"/>
      <c r="S215" s="27"/>
      <c r="T215" s="27"/>
      <c r="U215" s="27"/>
      <c r="V215" s="27"/>
      <c r="W215" s="18" t="s">
        <v>690</v>
      </c>
      <c r="X215" s="18"/>
      <c r="Y215" s="27"/>
      <c r="Z215" s="27"/>
      <c r="AA215" s="27"/>
    </row>
    <row r="216" spans="1:27">
      <c r="A216" s="27"/>
      <c r="B216" s="27"/>
      <c r="C216" s="27"/>
      <c r="D216" s="27"/>
      <c r="E216" s="27"/>
      <c r="F216" s="27"/>
      <c r="G216" s="27"/>
      <c r="H216" s="27"/>
      <c r="I216" s="27"/>
      <c r="J216" s="27"/>
      <c r="K216" s="27"/>
      <c r="L216" s="27"/>
      <c r="M216" s="27"/>
      <c r="N216" s="27"/>
      <c r="O216" s="27"/>
      <c r="P216" s="27"/>
      <c r="Q216" s="27"/>
      <c r="R216" s="27"/>
      <c r="S216" s="27"/>
      <c r="T216" s="27"/>
      <c r="U216" s="27"/>
      <c r="V216" s="27"/>
      <c r="W216" s="18" t="s">
        <v>691</v>
      </c>
      <c r="X216" s="18"/>
      <c r="Y216" s="27"/>
      <c r="Z216" s="27"/>
      <c r="AA216" s="27"/>
    </row>
    <row r="217" spans="1:27">
      <c r="A217" s="27"/>
      <c r="B217" s="27"/>
      <c r="C217" s="27"/>
      <c r="D217" s="27"/>
      <c r="E217" s="27"/>
      <c r="F217" s="27"/>
      <c r="G217" s="27"/>
      <c r="H217" s="27"/>
      <c r="I217" s="27"/>
      <c r="J217" s="27"/>
      <c r="K217" s="27"/>
      <c r="L217" s="27"/>
      <c r="M217" s="27"/>
      <c r="N217" s="27"/>
      <c r="O217" s="27"/>
      <c r="P217" s="27"/>
      <c r="Q217" s="27"/>
      <c r="R217" s="27"/>
      <c r="S217" s="27"/>
      <c r="T217" s="27"/>
      <c r="U217" s="27"/>
      <c r="V217" s="27"/>
      <c r="W217" s="18" t="s">
        <v>692</v>
      </c>
      <c r="X217" s="18"/>
      <c r="Y217" s="27"/>
      <c r="Z217" s="27"/>
      <c r="AA217" s="27"/>
    </row>
    <row r="218" spans="1:27">
      <c r="A218" s="27"/>
      <c r="B218" s="27"/>
      <c r="C218" s="27"/>
      <c r="D218" s="27"/>
      <c r="E218" s="27"/>
      <c r="F218" s="27"/>
      <c r="G218" s="27"/>
      <c r="H218" s="27"/>
      <c r="I218" s="27"/>
      <c r="J218" s="27"/>
      <c r="K218" s="27"/>
      <c r="L218" s="27"/>
      <c r="M218" s="27"/>
      <c r="N218" s="27"/>
      <c r="O218" s="27"/>
      <c r="P218" s="27"/>
      <c r="Q218" s="27"/>
      <c r="R218" s="27"/>
      <c r="S218" s="27"/>
      <c r="T218" s="27"/>
      <c r="U218" s="27"/>
      <c r="V218" s="27"/>
      <c r="W218" s="18" t="s">
        <v>693</v>
      </c>
      <c r="X218" s="18"/>
      <c r="Y218" s="27"/>
      <c r="Z218" s="27"/>
      <c r="AA218" s="27"/>
    </row>
    <row r="219" spans="1:27">
      <c r="A219" s="27"/>
      <c r="B219" s="27"/>
      <c r="C219" s="27"/>
      <c r="D219" s="27"/>
      <c r="E219" s="27"/>
      <c r="F219" s="27"/>
      <c r="G219" s="27"/>
      <c r="H219" s="27"/>
      <c r="I219" s="27"/>
      <c r="J219" s="27"/>
      <c r="K219" s="27"/>
      <c r="L219" s="27"/>
      <c r="M219" s="27"/>
      <c r="N219" s="27"/>
      <c r="O219" s="27"/>
      <c r="P219" s="27"/>
      <c r="Q219" s="27"/>
      <c r="R219" s="27"/>
      <c r="S219" s="27"/>
      <c r="T219" s="27"/>
      <c r="U219" s="27"/>
      <c r="V219" s="27"/>
      <c r="W219" s="18" t="s">
        <v>694</v>
      </c>
      <c r="X219" s="18"/>
      <c r="Y219" s="27"/>
      <c r="Z219" s="27"/>
      <c r="AA219" s="27"/>
    </row>
    <row r="220" spans="1:27">
      <c r="A220" s="27"/>
      <c r="B220" s="27"/>
      <c r="C220" s="27"/>
      <c r="D220" s="27"/>
      <c r="E220" s="27"/>
      <c r="F220" s="27"/>
      <c r="G220" s="27"/>
      <c r="H220" s="27"/>
      <c r="I220" s="27"/>
      <c r="J220" s="27"/>
      <c r="K220" s="27"/>
      <c r="L220" s="27"/>
      <c r="M220" s="27"/>
      <c r="N220" s="27"/>
      <c r="O220" s="27"/>
      <c r="P220" s="27"/>
      <c r="Q220" s="27"/>
      <c r="R220" s="27"/>
      <c r="S220" s="27"/>
      <c r="T220" s="27"/>
      <c r="U220" s="27"/>
      <c r="V220" s="27"/>
      <c r="W220" s="18" t="s">
        <v>695</v>
      </c>
      <c r="X220" s="18"/>
      <c r="Y220" s="27"/>
      <c r="Z220" s="27"/>
      <c r="AA220" s="27"/>
    </row>
    <row r="221" spans="1:27">
      <c r="A221" s="27"/>
      <c r="B221" s="27"/>
      <c r="C221" s="27"/>
      <c r="D221" s="27"/>
      <c r="E221" s="27"/>
      <c r="F221" s="27"/>
      <c r="G221" s="27"/>
      <c r="H221" s="27"/>
      <c r="I221" s="27"/>
      <c r="J221" s="27"/>
      <c r="K221" s="27"/>
      <c r="L221" s="27"/>
      <c r="M221" s="27"/>
      <c r="N221" s="27"/>
      <c r="O221" s="27"/>
      <c r="P221" s="27"/>
      <c r="Q221" s="27"/>
      <c r="R221" s="27"/>
      <c r="S221" s="27"/>
      <c r="T221" s="27"/>
      <c r="U221" s="27"/>
      <c r="V221" s="27"/>
      <c r="W221" s="18" t="s">
        <v>696</v>
      </c>
      <c r="X221" s="18"/>
      <c r="Y221" s="27"/>
      <c r="Z221" s="27"/>
      <c r="AA221" s="27"/>
    </row>
    <row r="222" spans="1:27">
      <c r="A222" s="27"/>
      <c r="B222" s="27"/>
      <c r="C222" s="27"/>
      <c r="D222" s="27"/>
      <c r="E222" s="27"/>
      <c r="F222" s="27"/>
      <c r="G222" s="27"/>
      <c r="H222" s="27"/>
      <c r="I222" s="27"/>
      <c r="J222" s="27"/>
      <c r="K222" s="27"/>
      <c r="L222" s="27"/>
      <c r="M222" s="27"/>
      <c r="N222" s="27"/>
      <c r="O222" s="27"/>
      <c r="P222" s="27"/>
      <c r="Q222" s="27"/>
      <c r="R222" s="27"/>
      <c r="S222" s="27"/>
      <c r="T222" s="27"/>
      <c r="U222" s="27"/>
      <c r="V222" s="27"/>
      <c r="W222" s="18" t="s">
        <v>697</v>
      </c>
      <c r="X222" s="18"/>
      <c r="Y222" s="27"/>
      <c r="Z222" s="27"/>
      <c r="AA222" s="27"/>
    </row>
    <row r="223" spans="1:27">
      <c r="A223" s="27"/>
      <c r="B223" s="27"/>
      <c r="C223" s="27"/>
      <c r="D223" s="27"/>
      <c r="E223" s="27"/>
      <c r="F223" s="27"/>
      <c r="G223" s="27"/>
      <c r="H223" s="27"/>
      <c r="I223" s="27"/>
      <c r="J223" s="27"/>
      <c r="K223" s="27"/>
      <c r="L223" s="27"/>
      <c r="M223" s="27"/>
      <c r="N223" s="27"/>
      <c r="O223" s="27"/>
      <c r="P223" s="27"/>
      <c r="Q223" s="27"/>
      <c r="R223" s="27"/>
      <c r="S223" s="27"/>
      <c r="T223" s="27"/>
      <c r="U223" s="27"/>
      <c r="V223" s="27"/>
      <c r="W223" s="18" t="s">
        <v>698</v>
      </c>
      <c r="X223" s="18"/>
      <c r="Y223" s="27"/>
      <c r="Z223" s="27"/>
      <c r="AA223" s="27"/>
    </row>
    <row r="224" spans="1:27">
      <c r="A224" s="27"/>
      <c r="B224" s="27"/>
      <c r="C224" s="27"/>
      <c r="D224" s="27"/>
      <c r="E224" s="27"/>
      <c r="F224" s="27"/>
      <c r="G224" s="27"/>
      <c r="H224" s="27"/>
      <c r="I224" s="27"/>
      <c r="J224" s="27"/>
      <c r="K224" s="27"/>
      <c r="L224" s="27"/>
      <c r="M224" s="27"/>
      <c r="N224" s="27"/>
      <c r="O224" s="27"/>
      <c r="P224" s="27"/>
      <c r="Q224" s="27"/>
      <c r="R224" s="27"/>
      <c r="S224" s="27"/>
      <c r="T224" s="27"/>
      <c r="U224" s="27"/>
      <c r="V224" s="27"/>
      <c r="W224" s="18" t="s">
        <v>699</v>
      </c>
      <c r="X224" s="18"/>
      <c r="Y224" s="27"/>
      <c r="Z224" s="27"/>
      <c r="AA224" s="27"/>
    </row>
    <row r="225" spans="1:27">
      <c r="A225" s="27"/>
      <c r="B225" s="27"/>
      <c r="C225" s="27"/>
      <c r="D225" s="27"/>
      <c r="E225" s="27"/>
      <c r="F225" s="27"/>
      <c r="G225" s="27"/>
      <c r="H225" s="27"/>
      <c r="I225" s="27"/>
      <c r="J225" s="27"/>
      <c r="K225" s="27"/>
      <c r="L225" s="27"/>
      <c r="M225" s="27"/>
      <c r="N225" s="27"/>
      <c r="O225" s="27"/>
      <c r="P225" s="27"/>
      <c r="Q225" s="27"/>
      <c r="R225" s="27"/>
      <c r="S225" s="27"/>
      <c r="T225" s="27"/>
      <c r="U225" s="27"/>
      <c r="V225" s="27"/>
      <c r="W225" s="18" t="s">
        <v>700</v>
      </c>
      <c r="X225" s="18"/>
      <c r="Y225" s="27"/>
      <c r="Z225" s="27"/>
      <c r="AA225" s="27"/>
    </row>
    <row r="226" spans="1:27">
      <c r="A226" s="27"/>
      <c r="B226" s="27"/>
      <c r="C226" s="27"/>
      <c r="D226" s="27"/>
      <c r="E226" s="27"/>
      <c r="F226" s="27"/>
      <c r="G226" s="27"/>
      <c r="H226" s="27"/>
      <c r="I226" s="27"/>
      <c r="J226" s="27"/>
      <c r="K226" s="27"/>
      <c r="L226" s="27"/>
      <c r="M226" s="27"/>
      <c r="N226" s="27"/>
      <c r="O226" s="27"/>
      <c r="P226" s="27"/>
      <c r="Q226" s="27"/>
      <c r="R226" s="27"/>
      <c r="S226" s="27"/>
      <c r="T226" s="27"/>
      <c r="U226" s="27"/>
      <c r="V226" s="27"/>
      <c r="W226" s="18" t="s">
        <v>701</v>
      </c>
      <c r="X226" s="18"/>
      <c r="Y226" s="27"/>
      <c r="Z226" s="27"/>
      <c r="AA226" s="27"/>
    </row>
    <row r="227" spans="1:27">
      <c r="A227" s="27"/>
      <c r="B227" s="27"/>
      <c r="C227" s="27"/>
      <c r="D227" s="27"/>
      <c r="E227" s="27"/>
      <c r="F227" s="27"/>
      <c r="G227" s="27"/>
      <c r="H227" s="27"/>
      <c r="I227" s="27"/>
      <c r="J227" s="27"/>
      <c r="K227" s="27"/>
      <c r="L227" s="27"/>
      <c r="M227" s="27"/>
      <c r="N227" s="27"/>
      <c r="O227" s="27"/>
      <c r="P227" s="27"/>
      <c r="Q227" s="27"/>
      <c r="R227" s="27"/>
      <c r="S227" s="27"/>
      <c r="T227" s="27"/>
      <c r="U227" s="27"/>
      <c r="V227" s="27"/>
      <c r="W227" s="18" t="s">
        <v>702</v>
      </c>
      <c r="X227" s="18"/>
      <c r="Y227" s="27"/>
      <c r="Z227" s="27"/>
      <c r="AA227" s="27"/>
    </row>
    <row r="228" spans="1:27">
      <c r="A228" s="27"/>
      <c r="B228" s="27"/>
      <c r="C228" s="27"/>
      <c r="D228" s="27"/>
      <c r="E228" s="27"/>
      <c r="F228" s="27"/>
      <c r="G228" s="27"/>
      <c r="H228" s="27"/>
      <c r="I228" s="27"/>
      <c r="J228" s="27"/>
      <c r="K228" s="27"/>
      <c r="L228" s="27"/>
      <c r="M228" s="27"/>
      <c r="N228" s="27"/>
      <c r="O228" s="27"/>
      <c r="P228" s="27"/>
      <c r="Q228" s="27"/>
      <c r="R228" s="27"/>
      <c r="S228" s="27"/>
      <c r="T228" s="27"/>
      <c r="U228" s="27"/>
      <c r="V228" s="27"/>
      <c r="W228" s="18" t="s">
        <v>703</v>
      </c>
      <c r="X228" s="18"/>
      <c r="Y228" s="27"/>
      <c r="Z228" s="27"/>
      <c r="AA228" s="27"/>
    </row>
    <row r="229" spans="1:27">
      <c r="A229" s="27"/>
      <c r="B229" s="27"/>
      <c r="C229" s="27"/>
      <c r="D229" s="27"/>
      <c r="E229" s="27"/>
      <c r="F229" s="27"/>
      <c r="G229" s="27"/>
      <c r="H229" s="27"/>
      <c r="I229" s="27"/>
      <c r="J229" s="27"/>
      <c r="K229" s="27"/>
      <c r="L229" s="27"/>
      <c r="M229" s="27"/>
      <c r="N229" s="27"/>
      <c r="O229" s="27"/>
      <c r="P229" s="27"/>
      <c r="Q229" s="27"/>
      <c r="R229" s="27"/>
      <c r="S229" s="27"/>
      <c r="T229" s="27"/>
      <c r="U229" s="27"/>
      <c r="V229" s="27"/>
      <c r="W229" s="18" t="s">
        <v>704</v>
      </c>
      <c r="X229" s="18"/>
      <c r="Y229" s="27"/>
      <c r="Z229" s="27"/>
      <c r="AA229" s="27"/>
    </row>
    <row r="230" spans="1:27">
      <c r="A230" s="27"/>
      <c r="B230" s="27"/>
      <c r="C230" s="27"/>
      <c r="D230" s="27"/>
      <c r="E230" s="27"/>
      <c r="F230" s="27"/>
      <c r="G230" s="27"/>
      <c r="H230" s="27"/>
      <c r="I230" s="27"/>
      <c r="J230" s="27"/>
      <c r="K230" s="27"/>
      <c r="L230" s="27"/>
      <c r="M230" s="27"/>
      <c r="N230" s="27"/>
      <c r="O230" s="27"/>
      <c r="P230" s="27"/>
      <c r="Q230" s="27"/>
      <c r="R230" s="27"/>
      <c r="S230" s="27"/>
      <c r="T230" s="27"/>
      <c r="U230" s="27"/>
      <c r="V230" s="27"/>
      <c r="W230" s="18" t="s">
        <v>705</v>
      </c>
      <c r="X230" s="18"/>
      <c r="Y230" s="27"/>
      <c r="Z230" s="27"/>
      <c r="AA230" s="27"/>
    </row>
    <row r="231" spans="1:27">
      <c r="A231" s="27"/>
      <c r="B231" s="27"/>
      <c r="C231" s="27"/>
      <c r="D231" s="27"/>
      <c r="E231" s="27"/>
      <c r="F231" s="27"/>
      <c r="G231" s="27"/>
      <c r="H231" s="27"/>
      <c r="I231" s="27"/>
      <c r="J231" s="27"/>
      <c r="K231" s="27"/>
      <c r="L231" s="27"/>
      <c r="M231" s="27"/>
      <c r="N231" s="27"/>
      <c r="O231" s="27"/>
      <c r="P231" s="27"/>
      <c r="Q231" s="27"/>
      <c r="R231" s="27"/>
      <c r="S231" s="27"/>
      <c r="T231" s="27"/>
      <c r="U231" s="27"/>
      <c r="V231" s="27"/>
      <c r="W231" s="18" t="s">
        <v>706</v>
      </c>
      <c r="X231" s="18"/>
      <c r="Y231" s="27"/>
      <c r="Z231" s="27"/>
      <c r="AA231" s="27"/>
    </row>
    <row r="232" spans="1:27">
      <c r="A232" s="27"/>
      <c r="B232" s="27"/>
      <c r="C232" s="27"/>
      <c r="D232" s="27"/>
      <c r="E232" s="27"/>
      <c r="F232" s="27"/>
      <c r="G232" s="27"/>
      <c r="H232" s="27"/>
      <c r="I232" s="27"/>
      <c r="J232" s="27"/>
      <c r="K232" s="27"/>
      <c r="L232" s="27"/>
      <c r="M232" s="27"/>
      <c r="N232" s="27"/>
      <c r="O232" s="27"/>
      <c r="P232" s="27"/>
      <c r="Q232" s="27"/>
      <c r="R232" s="27"/>
      <c r="S232" s="27"/>
      <c r="T232" s="27"/>
      <c r="U232" s="27"/>
      <c r="V232" s="27"/>
      <c r="W232" s="18" t="s">
        <v>707</v>
      </c>
      <c r="X232" s="18"/>
      <c r="Y232" s="27"/>
      <c r="Z232" s="27"/>
      <c r="AA232" s="27"/>
    </row>
    <row r="233" spans="1:27">
      <c r="A233" s="27"/>
      <c r="B233" s="27"/>
      <c r="C233" s="27"/>
      <c r="D233" s="27"/>
      <c r="E233" s="27"/>
      <c r="F233" s="27"/>
      <c r="G233" s="27"/>
      <c r="H233" s="27"/>
      <c r="I233" s="27"/>
      <c r="J233" s="27"/>
      <c r="K233" s="27"/>
      <c r="L233" s="27"/>
      <c r="M233" s="27"/>
      <c r="N233" s="27"/>
      <c r="O233" s="27"/>
      <c r="P233" s="27"/>
      <c r="Q233" s="27"/>
      <c r="R233" s="27"/>
      <c r="S233" s="27"/>
      <c r="T233" s="27"/>
      <c r="U233" s="27"/>
      <c r="V233" s="27"/>
      <c r="W233" s="18" t="s">
        <v>708</v>
      </c>
      <c r="X233" s="18"/>
      <c r="Y233" s="27"/>
      <c r="Z233" s="27"/>
      <c r="AA233" s="27"/>
    </row>
    <row r="234" spans="1:27">
      <c r="A234" s="27"/>
      <c r="B234" s="27"/>
      <c r="C234" s="27"/>
      <c r="D234" s="27"/>
      <c r="E234" s="27"/>
      <c r="F234" s="27"/>
      <c r="G234" s="27"/>
      <c r="H234" s="27"/>
      <c r="I234" s="27"/>
      <c r="J234" s="27"/>
      <c r="K234" s="27"/>
      <c r="L234" s="27"/>
      <c r="M234" s="27"/>
      <c r="N234" s="27"/>
      <c r="O234" s="27"/>
      <c r="P234" s="27"/>
      <c r="Q234" s="27"/>
      <c r="R234" s="27"/>
      <c r="S234" s="27"/>
      <c r="T234" s="27"/>
      <c r="U234" s="27"/>
      <c r="V234" s="27"/>
      <c r="W234" s="18" t="s">
        <v>709</v>
      </c>
      <c r="X234" s="18"/>
      <c r="Y234" s="27"/>
      <c r="Z234" s="27"/>
      <c r="AA234" s="27"/>
    </row>
    <row r="235" spans="1:27">
      <c r="A235" s="27"/>
      <c r="B235" s="27"/>
      <c r="C235" s="27"/>
      <c r="D235" s="27"/>
      <c r="E235" s="27"/>
      <c r="F235" s="27"/>
      <c r="G235" s="27"/>
      <c r="H235" s="27"/>
      <c r="I235" s="27"/>
      <c r="J235" s="27"/>
      <c r="K235" s="27"/>
      <c r="L235" s="27"/>
      <c r="M235" s="27"/>
      <c r="N235" s="27"/>
      <c r="O235" s="27"/>
      <c r="P235" s="27"/>
      <c r="Q235" s="27"/>
      <c r="R235" s="27"/>
      <c r="S235" s="27"/>
      <c r="T235" s="27"/>
      <c r="U235" s="27"/>
      <c r="V235" s="27"/>
      <c r="W235" s="18" t="s">
        <v>710</v>
      </c>
      <c r="X235" s="18"/>
      <c r="Y235" s="27"/>
      <c r="Z235" s="27"/>
      <c r="AA235" s="27"/>
    </row>
    <row r="236" spans="1:27">
      <c r="A236" s="27"/>
      <c r="B236" s="27"/>
      <c r="C236" s="27"/>
      <c r="D236" s="27"/>
      <c r="E236" s="27"/>
      <c r="F236" s="27"/>
      <c r="G236" s="27"/>
      <c r="H236" s="27"/>
      <c r="I236" s="27"/>
      <c r="J236" s="27"/>
      <c r="K236" s="27"/>
      <c r="L236" s="27"/>
      <c r="M236" s="27"/>
      <c r="N236" s="27"/>
      <c r="O236" s="27"/>
      <c r="P236" s="27"/>
      <c r="Q236" s="27"/>
      <c r="R236" s="27"/>
      <c r="S236" s="27"/>
      <c r="T236" s="27"/>
      <c r="U236" s="27"/>
      <c r="V236" s="27"/>
      <c r="W236" s="18" t="s">
        <v>711</v>
      </c>
      <c r="X236" s="18"/>
      <c r="Y236" s="27"/>
      <c r="Z236" s="27"/>
      <c r="AA236" s="27"/>
    </row>
    <row r="237" spans="1:27">
      <c r="A237" s="27"/>
      <c r="B237" s="27"/>
      <c r="C237" s="27"/>
      <c r="D237" s="27"/>
      <c r="E237" s="27"/>
      <c r="F237" s="27"/>
      <c r="G237" s="27"/>
      <c r="H237" s="27"/>
      <c r="I237" s="27"/>
      <c r="J237" s="27"/>
      <c r="K237" s="27"/>
      <c r="L237" s="27"/>
      <c r="M237" s="27"/>
      <c r="N237" s="27"/>
      <c r="O237" s="27"/>
      <c r="P237" s="27"/>
      <c r="Q237" s="27"/>
      <c r="R237" s="27"/>
      <c r="S237" s="27"/>
      <c r="T237" s="27"/>
      <c r="U237" s="27"/>
      <c r="V237" s="27"/>
      <c r="W237" s="18" t="s">
        <v>712</v>
      </c>
      <c r="X237" s="18"/>
      <c r="Y237" s="27"/>
      <c r="Z237" s="27"/>
      <c r="AA237" s="27"/>
    </row>
    <row r="238" spans="1:27">
      <c r="A238" s="27"/>
      <c r="B238" s="27"/>
      <c r="C238" s="27"/>
      <c r="D238" s="27"/>
      <c r="E238" s="27"/>
      <c r="F238" s="27"/>
      <c r="G238" s="27"/>
      <c r="H238" s="27"/>
      <c r="I238" s="27"/>
      <c r="J238" s="27"/>
      <c r="K238" s="27"/>
      <c r="L238" s="27"/>
      <c r="M238" s="27"/>
      <c r="N238" s="27"/>
      <c r="O238" s="27"/>
      <c r="P238" s="27"/>
      <c r="Q238" s="27"/>
      <c r="R238" s="27"/>
      <c r="S238" s="27"/>
      <c r="T238" s="27"/>
      <c r="U238" s="27"/>
      <c r="V238" s="27"/>
      <c r="W238" s="18" t="s">
        <v>713</v>
      </c>
      <c r="X238" s="18"/>
      <c r="Y238" s="27"/>
      <c r="Z238" s="27"/>
      <c r="AA238" s="27"/>
    </row>
    <row r="239" spans="1:27">
      <c r="A239" s="27"/>
      <c r="B239" s="27"/>
      <c r="C239" s="27"/>
      <c r="D239" s="27"/>
      <c r="E239" s="27"/>
      <c r="F239" s="27"/>
      <c r="G239" s="27"/>
      <c r="H239" s="27"/>
      <c r="I239" s="27"/>
      <c r="J239" s="27"/>
      <c r="K239" s="27"/>
      <c r="L239" s="27"/>
      <c r="M239" s="27"/>
      <c r="N239" s="27"/>
      <c r="O239" s="27"/>
      <c r="P239" s="27"/>
      <c r="Q239" s="27"/>
      <c r="R239" s="27"/>
      <c r="S239" s="27"/>
      <c r="T239" s="27"/>
      <c r="U239" s="27"/>
      <c r="V239" s="27"/>
      <c r="W239" s="18" t="s">
        <v>714</v>
      </c>
      <c r="X239" s="18"/>
      <c r="Y239" s="27"/>
      <c r="Z239" s="27"/>
      <c r="AA239" s="27"/>
    </row>
    <row r="240" spans="1:27">
      <c r="A240" s="27"/>
      <c r="B240" s="27"/>
      <c r="C240" s="27"/>
      <c r="D240" s="27"/>
      <c r="E240" s="27"/>
      <c r="F240" s="27"/>
      <c r="G240" s="27"/>
      <c r="H240" s="27"/>
      <c r="I240" s="27"/>
      <c r="J240" s="27"/>
      <c r="K240" s="27"/>
      <c r="L240" s="27"/>
      <c r="M240" s="27"/>
      <c r="N240" s="27"/>
      <c r="O240" s="27"/>
      <c r="P240" s="27"/>
      <c r="Q240" s="27"/>
      <c r="R240" s="27"/>
      <c r="S240" s="27"/>
      <c r="T240" s="27"/>
      <c r="U240" s="27"/>
      <c r="V240" s="27"/>
      <c r="W240" s="18" t="s">
        <v>715</v>
      </c>
      <c r="X240" s="18"/>
      <c r="Y240" s="27"/>
      <c r="Z240" s="27"/>
      <c r="AA240" s="27"/>
    </row>
    <row r="241" spans="1:27">
      <c r="A241" s="27"/>
      <c r="B241" s="27"/>
      <c r="C241" s="27"/>
      <c r="D241" s="27"/>
      <c r="E241" s="27"/>
      <c r="F241" s="27"/>
      <c r="G241" s="27"/>
      <c r="H241" s="27"/>
      <c r="I241" s="27"/>
      <c r="J241" s="27"/>
      <c r="K241" s="27"/>
      <c r="L241" s="27"/>
      <c r="M241" s="27"/>
      <c r="N241" s="27"/>
      <c r="O241" s="27"/>
      <c r="P241" s="27"/>
      <c r="Q241" s="27"/>
      <c r="R241" s="27"/>
      <c r="S241" s="27"/>
      <c r="T241" s="27"/>
      <c r="U241" s="27"/>
      <c r="V241" s="27"/>
      <c r="W241" s="18" t="s">
        <v>716</v>
      </c>
      <c r="X241" s="18"/>
      <c r="Y241" s="27"/>
      <c r="Z241" s="27"/>
      <c r="AA241" s="27"/>
    </row>
    <row r="242" spans="1:27">
      <c r="A242" s="27"/>
      <c r="B242" s="27"/>
      <c r="C242" s="27"/>
      <c r="D242" s="27"/>
      <c r="E242" s="27"/>
      <c r="F242" s="27"/>
      <c r="G242" s="27"/>
      <c r="H242" s="27"/>
      <c r="I242" s="27"/>
      <c r="J242" s="27"/>
      <c r="K242" s="27"/>
      <c r="L242" s="27"/>
      <c r="M242" s="27"/>
      <c r="N242" s="27"/>
      <c r="O242" s="27"/>
      <c r="P242" s="27"/>
      <c r="Q242" s="27"/>
      <c r="R242" s="27"/>
      <c r="S242" s="27"/>
      <c r="T242" s="27"/>
      <c r="U242" s="27"/>
      <c r="V242" s="27"/>
      <c r="W242" s="18" t="s">
        <v>717</v>
      </c>
      <c r="X242" s="18"/>
      <c r="Y242" s="27"/>
      <c r="Z242" s="27"/>
      <c r="AA242" s="27"/>
    </row>
    <row r="243" spans="1:27">
      <c r="A243" s="27"/>
      <c r="B243" s="27"/>
      <c r="C243" s="27"/>
      <c r="D243" s="27"/>
      <c r="E243" s="27"/>
      <c r="F243" s="27"/>
      <c r="G243" s="27"/>
      <c r="H243" s="27"/>
      <c r="I243" s="27"/>
      <c r="J243" s="27"/>
      <c r="K243" s="27"/>
      <c r="L243" s="27"/>
      <c r="M243" s="27"/>
      <c r="N243" s="27"/>
      <c r="O243" s="27"/>
      <c r="P243" s="27"/>
      <c r="Q243" s="27"/>
      <c r="R243" s="27"/>
      <c r="S243" s="27"/>
      <c r="T243" s="27"/>
      <c r="U243" s="27"/>
      <c r="V243" s="27"/>
      <c r="W243" s="18" t="s">
        <v>718</v>
      </c>
      <c r="X243" s="18"/>
      <c r="Y243" s="27"/>
      <c r="Z243" s="27"/>
      <c r="AA243" s="27"/>
    </row>
    <row r="244" spans="1:27">
      <c r="A244" s="27"/>
      <c r="B244" s="27"/>
      <c r="C244" s="27"/>
      <c r="D244" s="27"/>
      <c r="E244" s="27"/>
      <c r="F244" s="27"/>
      <c r="G244" s="27"/>
      <c r="H244" s="27"/>
      <c r="I244" s="27"/>
      <c r="J244" s="27"/>
      <c r="K244" s="27"/>
      <c r="L244" s="27"/>
      <c r="M244" s="27"/>
      <c r="N244" s="27"/>
      <c r="O244" s="27"/>
      <c r="P244" s="27"/>
      <c r="Q244" s="27"/>
      <c r="R244" s="27"/>
      <c r="S244" s="27"/>
      <c r="T244" s="27"/>
      <c r="U244" s="27"/>
      <c r="V244" s="27"/>
      <c r="W244" s="18" t="s">
        <v>719</v>
      </c>
      <c r="X244" s="18"/>
      <c r="Y244" s="27"/>
      <c r="Z244" s="27"/>
      <c r="AA244" s="27"/>
    </row>
    <row r="245" spans="1:27">
      <c r="A245" s="27"/>
      <c r="B245" s="27"/>
      <c r="C245" s="27"/>
      <c r="D245" s="27"/>
      <c r="E245" s="27"/>
      <c r="F245" s="27"/>
      <c r="G245" s="27"/>
      <c r="H245" s="27"/>
      <c r="I245" s="27"/>
      <c r="J245" s="27"/>
      <c r="K245" s="27"/>
      <c r="L245" s="27"/>
      <c r="M245" s="27"/>
      <c r="N245" s="27"/>
      <c r="O245" s="27"/>
      <c r="P245" s="27"/>
      <c r="Q245" s="27"/>
      <c r="R245" s="27"/>
      <c r="S245" s="27"/>
      <c r="T245" s="27"/>
      <c r="U245" s="27"/>
      <c r="V245" s="27"/>
      <c r="W245" s="18" t="s">
        <v>720</v>
      </c>
      <c r="X245" s="18"/>
      <c r="Y245" s="27"/>
      <c r="Z245" s="27"/>
      <c r="AA245" s="27"/>
    </row>
    <row r="246" spans="1:27">
      <c r="A246" s="27"/>
      <c r="B246" s="27"/>
      <c r="C246" s="27"/>
      <c r="D246" s="27"/>
      <c r="E246" s="27"/>
      <c r="F246" s="27"/>
      <c r="G246" s="27"/>
      <c r="H246" s="27"/>
      <c r="I246" s="27"/>
      <c r="J246" s="27"/>
      <c r="K246" s="27"/>
      <c r="L246" s="27"/>
      <c r="M246" s="27"/>
      <c r="N246" s="27"/>
      <c r="O246" s="27"/>
      <c r="P246" s="27"/>
      <c r="Q246" s="27"/>
      <c r="R246" s="27"/>
      <c r="S246" s="27"/>
      <c r="T246" s="27"/>
      <c r="U246" s="27"/>
      <c r="V246" s="27"/>
      <c r="W246" s="18" t="s">
        <v>721</v>
      </c>
      <c r="X246" s="18"/>
      <c r="Y246" s="27"/>
      <c r="Z246" s="27"/>
      <c r="AA246" s="27"/>
    </row>
    <row r="247" spans="1:27">
      <c r="A247" s="27"/>
      <c r="B247" s="27"/>
      <c r="C247" s="27"/>
      <c r="D247" s="27"/>
      <c r="E247" s="27"/>
      <c r="F247" s="27"/>
      <c r="G247" s="27"/>
      <c r="H247" s="27"/>
      <c r="I247" s="27"/>
      <c r="J247" s="27"/>
      <c r="K247" s="27"/>
      <c r="L247" s="27"/>
      <c r="M247" s="27"/>
      <c r="N247" s="27"/>
      <c r="O247" s="27"/>
      <c r="P247" s="27"/>
      <c r="Q247" s="27"/>
      <c r="R247" s="27"/>
      <c r="S247" s="27"/>
      <c r="T247" s="27"/>
      <c r="U247" s="27"/>
      <c r="V247" s="27"/>
      <c r="W247" s="18" t="s">
        <v>722</v>
      </c>
      <c r="X247" s="18"/>
      <c r="Y247" s="27"/>
      <c r="Z247" s="27"/>
      <c r="AA247" s="27"/>
    </row>
    <row r="248" spans="1:27">
      <c r="A248" s="27"/>
      <c r="B248" s="27"/>
      <c r="C248" s="27"/>
      <c r="D248" s="27"/>
      <c r="E248" s="27"/>
      <c r="F248" s="27"/>
      <c r="G248" s="27"/>
      <c r="H248" s="27"/>
      <c r="I248" s="27"/>
      <c r="J248" s="27"/>
      <c r="K248" s="27"/>
      <c r="L248" s="27"/>
      <c r="M248" s="27"/>
      <c r="N248" s="27"/>
      <c r="O248" s="27"/>
      <c r="P248" s="27"/>
      <c r="Q248" s="27"/>
      <c r="R248" s="27"/>
      <c r="S248" s="27"/>
      <c r="T248" s="27"/>
      <c r="U248" s="27"/>
      <c r="V248" s="27"/>
      <c r="W248" s="18" t="s">
        <v>723</v>
      </c>
      <c r="X248" s="18"/>
      <c r="Y248" s="27"/>
      <c r="Z248" s="27"/>
      <c r="AA248" s="27"/>
    </row>
    <row r="249" spans="1:27">
      <c r="A249" s="27"/>
      <c r="B249" s="27"/>
      <c r="C249" s="27"/>
      <c r="D249" s="27"/>
      <c r="E249" s="27"/>
      <c r="F249" s="27"/>
      <c r="G249" s="27"/>
      <c r="H249" s="27"/>
      <c r="I249" s="27"/>
      <c r="J249" s="27"/>
      <c r="K249" s="27"/>
      <c r="L249" s="27"/>
      <c r="M249" s="27"/>
      <c r="N249" s="27"/>
      <c r="O249" s="27"/>
      <c r="P249" s="27"/>
      <c r="Q249" s="27"/>
      <c r="R249" s="27"/>
      <c r="S249" s="27"/>
      <c r="T249" s="27"/>
      <c r="U249" s="27"/>
      <c r="V249" s="27"/>
      <c r="W249" s="18" t="s">
        <v>724</v>
      </c>
      <c r="X249" s="18"/>
      <c r="Y249" s="27"/>
      <c r="Z249" s="27"/>
      <c r="AA249" s="27"/>
    </row>
    <row r="250" spans="1:27">
      <c r="A250" s="27"/>
      <c r="B250" s="27"/>
      <c r="C250" s="27"/>
      <c r="D250" s="27"/>
      <c r="E250" s="27"/>
      <c r="F250" s="27"/>
      <c r="G250" s="27"/>
      <c r="H250" s="27"/>
      <c r="I250" s="27"/>
      <c r="J250" s="27"/>
      <c r="K250" s="27"/>
      <c r="L250" s="27"/>
      <c r="M250" s="27"/>
      <c r="N250" s="27"/>
      <c r="O250" s="27"/>
      <c r="P250" s="27"/>
      <c r="Q250" s="27"/>
      <c r="R250" s="27"/>
      <c r="S250" s="27"/>
      <c r="T250" s="27"/>
      <c r="U250" s="27"/>
      <c r="V250" s="27"/>
      <c r="W250" s="18" t="s">
        <v>725</v>
      </c>
      <c r="X250" s="18"/>
      <c r="Y250" s="27"/>
      <c r="Z250" s="27"/>
      <c r="AA250" s="27"/>
    </row>
    <row r="251" spans="1:27">
      <c r="A251" s="27"/>
      <c r="B251" s="27"/>
      <c r="C251" s="27"/>
      <c r="D251" s="27"/>
      <c r="E251" s="27"/>
      <c r="F251" s="27"/>
      <c r="G251" s="27"/>
      <c r="H251" s="27"/>
      <c r="I251" s="27"/>
      <c r="J251" s="27"/>
      <c r="K251" s="27"/>
      <c r="L251" s="27"/>
      <c r="M251" s="27"/>
      <c r="N251" s="27"/>
      <c r="O251" s="27"/>
      <c r="P251" s="27"/>
      <c r="Q251" s="27"/>
      <c r="R251" s="27"/>
      <c r="S251" s="27"/>
      <c r="T251" s="27"/>
      <c r="U251" s="27"/>
      <c r="V251" s="27"/>
      <c r="W251" s="18" t="s">
        <v>726</v>
      </c>
      <c r="X251" s="18"/>
      <c r="Y251" s="27"/>
      <c r="Z251" s="27"/>
      <c r="AA251" s="27"/>
    </row>
    <row r="252" spans="1:27">
      <c r="A252" s="27"/>
      <c r="B252" s="27"/>
      <c r="C252" s="27"/>
      <c r="D252" s="27"/>
      <c r="E252" s="27"/>
      <c r="F252" s="27"/>
      <c r="G252" s="27"/>
      <c r="H252" s="27"/>
      <c r="I252" s="27"/>
      <c r="J252" s="27"/>
      <c r="K252" s="27"/>
      <c r="L252" s="27"/>
      <c r="M252" s="27"/>
      <c r="N252" s="27"/>
      <c r="O252" s="27"/>
      <c r="P252" s="27"/>
      <c r="Q252" s="27"/>
      <c r="R252" s="27"/>
      <c r="S252" s="27"/>
      <c r="T252" s="27"/>
      <c r="U252" s="27"/>
      <c r="V252" s="27"/>
      <c r="W252" s="18" t="s">
        <v>727</v>
      </c>
      <c r="X252" s="18"/>
      <c r="Y252" s="27"/>
      <c r="Z252" s="27"/>
      <c r="AA252" s="27"/>
    </row>
    <row r="253" spans="1:27">
      <c r="A253" s="27"/>
      <c r="B253" s="27"/>
      <c r="C253" s="27"/>
      <c r="D253" s="27"/>
      <c r="E253" s="27"/>
      <c r="F253" s="27"/>
      <c r="G253" s="27"/>
      <c r="H253" s="27"/>
      <c r="I253" s="27"/>
      <c r="J253" s="27"/>
      <c r="K253" s="27"/>
      <c r="L253" s="27"/>
      <c r="M253" s="27"/>
      <c r="N253" s="27"/>
      <c r="O253" s="27"/>
      <c r="P253" s="27"/>
      <c r="Q253" s="27"/>
      <c r="R253" s="27"/>
      <c r="S253" s="27"/>
      <c r="T253" s="27"/>
      <c r="U253" s="27"/>
      <c r="V253" s="27"/>
      <c r="W253" s="18" t="s">
        <v>728</v>
      </c>
      <c r="X253" s="18"/>
      <c r="Y253" s="27"/>
      <c r="Z253" s="27"/>
      <c r="AA253" s="27"/>
    </row>
    <row r="254" spans="1:27">
      <c r="A254" s="27"/>
      <c r="B254" s="27"/>
      <c r="C254" s="27"/>
      <c r="D254" s="27"/>
      <c r="E254" s="27"/>
      <c r="F254" s="27"/>
      <c r="G254" s="27"/>
      <c r="H254" s="27"/>
      <c r="I254" s="27"/>
      <c r="J254" s="27"/>
      <c r="K254" s="27"/>
      <c r="L254" s="27"/>
      <c r="M254" s="27"/>
      <c r="N254" s="27"/>
      <c r="O254" s="27"/>
      <c r="P254" s="27"/>
      <c r="Q254" s="27"/>
      <c r="R254" s="27"/>
      <c r="S254" s="27"/>
      <c r="T254" s="27"/>
      <c r="U254" s="27"/>
      <c r="V254" s="27"/>
      <c r="W254" s="18" t="s">
        <v>729</v>
      </c>
      <c r="X254" s="18"/>
      <c r="Y254" s="27"/>
      <c r="Z254" s="27"/>
      <c r="AA254" s="27"/>
    </row>
    <row r="255" spans="1:27">
      <c r="A255" s="27"/>
      <c r="B255" s="27"/>
      <c r="C255" s="27"/>
      <c r="D255" s="27"/>
      <c r="E255" s="27"/>
      <c r="F255" s="27"/>
      <c r="G255" s="27"/>
      <c r="H255" s="27"/>
      <c r="I255" s="27"/>
      <c r="J255" s="27"/>
      <c r="K255" s="27"/>
      <c r="L255" s="27"/>
      <c r="M255" s="27"/>
      <c r="N255" s="27"/>
      <c r="O255" s="27"/>
      <c r="P255" s="27"/>
      <c r="Q255" s="27"/>
      <c r="R255" s="27"/>
      <c r="S255" s="27"/>
      <c r="T255" s="27"/>
      <c r="U255" s="27"/>
      <c r="V255" s="27"/>
      <c r="W255" s="18" t="s">
        <v>730</v>
      </c>
      <c r="X255" s="18"/>
      <c r="Y255" s="27"/>
      <c r="Z255" s="27"/>
      <c r="AA255" s="27"/>
    </row>
    <row r="256" spans="1:27">
      <c r="A256" s="27"/>
      <c r="B256" s="27"/>
      <c r="C256" s="27"/>
      <c r="D256" s="27"/>
      <c r="E256" s="27"/>
      <c r="F256" s="27"/>
      <c r="G256" s="27"/>
      <c r="H256" s="27"/>
      <c r="I256" s="27"/>
      <c r="J256" s="27"/>
      <c r="K256" s="27"/>
      <c r="L256" s="27"/>
      <c r="M256" s="27"/>
      <c r="N256" s="27"/>
      <c r="O256" s="27"/>
      <c r="P256" s="27"/>
      <c r="Q256" s="27"/>
      <c r="R256" s="27"/>
      <c r="S256" s="27"/>
      <c r="T256" s="27"/>
      <c r="U256" s="27"/>
      <c r="V256" s="27"/>
      <c r="W256" s="18" t="s">
        <v>731</v>
      </c>
      <c r="X256" s="18"/>
      <c r="Y256" s="27"/>
      <c r="Z256" s="27"/>
      <c r="AA256" s="27"/>
    </row>
    <row r="257" spans="1:27">
      <c r="A257" s="27"/>
      <c r="B257" s="27"/>
      <c r="C257" s="27"/>
      <c r="D257" s="27"/>
      <c r="E257" s="27"/>
      <c r="F257" s="27"/>
      <c r="G257" s="27"/>
      <c r="H257" s="27"/>
      <c r="I257" s="27"/>
      <c r="J257" s="27"/>
      <c r="K257" s="27"/>
      <c r="L257" s="27"/>
      <c r="M257" s="27"/>
      <c r="N257" s="27"/>
      <c r="O257" s="27"/>
      <c r="P257" s="27"/>
      <c r="Q257" s="27"/>
      <c r="R257" s="27"/>
      <c r="S257" s="27"/>
      <c r="T257" s="27"/>
      <c r="U257" s="27"/>
      <c r="V257" s="27"/>
      <c r="W257" s="18" t="s">
        <v>732</v>
      </c>
      <c r="X257" s="18"/>
      <c r="Y257" s="27"/>
      <c r="Z257" s="27"/>
      <c r="AA257" s="27"/>
    </row>
    <row r="258" spans="1:27">
      <c r="A258" s="27"/>
      <c r="B258" s="27"/>
      <c r="C258" s="27"/>
      <c r="D258" s="27"/>
      <c r="E258" s="27"/>
      <c r="F258" s="27"/>
      <c r="G258" s="27"/>
      <c r="H258" s="27"/>
      <c r="I258" s="27"/>
      <c r="J258" s="27"/>
      <c r="K258" s="27"/>
      <c r="L258" s="27"/>
      <c r="M258" s="27"/>
      <c r="N258" s="27"/>
      <c r="O258" s="27"/>
      <c r="P258" s="27"/>
      <c r="Q258" s="27"/>
      <c r="R258" s="27"/>
      <c r="S258" s="27"/>
      <c r="T258" s="27"/>
      <c r="U258" s="27"/>
      <c r="V258" s="27"/>
      <c r="W258" s="18" t="s">
        <v>733</v>
      </c>
      <c r="X258" s="18"/>
      <c r="Y258" s="27"/>
      <c r="Z258" s="27"/>
      <c r="AA258" s="27"/>
    </row>
    <row r="259" spans="1:27">
      <c r="A259" s="27"/>
      <c r="B259" s="27"/>
      <c r="C259" s="27"/>
      <c r="D259" s="27"/>
      <c r="E259" s="27"/>
      <c r="F259" s="27"/>
      <c r="G259" s="27"/>
      <c r="H259" s="27"/>
      <c r="I259" s="27"/>
      <c r="J259" s="27"/>
      <c r="K259" s="27"/>
      <c r="L259" s="27"/>
      <c r="M259" s="27"/>
      <c r="N259" s="27"/>
      <c r="O259" s="27"/>
      <c r="P259" s="27"/>
      <c r="Q259" s="27"/>
      <c r="R259" s="27"/>
      <c r="S259" s="27"/>
      <c r="T259" s="27"/>
      <c r="U259" s="27"/>
      <c r="V259" s="27"/>
      <c r="W259" s="18" t="s">
        <v>734</v>
      </c>
      <c r="X259" s="18"/>
      <c r="Y259" s="27"/>
      <c r="Z259" s="27"/>
      <c r="AA259" s="27"/>
    </row>
    <row r="260" spans="1:27">
      <c r="A260" s="27"/>
      <c r="B260" s="27"/>
      <c r="C260" s="27"/>
      <c r="D260" s="27"/>
      <c r="E260" s="27"/>
      <c r="F260" s="27"/>
      <c r="G260" s="27"/>
      <c r="H260" s="27"/>
      <c r="I260" s="27"/>
      <c r="J260" s="27"/>
      <c r="K260" s="27"/>
      <c r="L260" s="27"/>
      <c r="M260" s="27"/>
      <c r="N260" s="27"/>
      <c r="O260" s="27"/>
      <c r="P260" s="27"/>
      <c r="Q260" s="27"/>
      <c r="R260" s="27"/>
      <c r="S260" s="27"/>
      <c r="T260" s="27"/>
      <c r="U260" s="27"/>
      <c r="V260" s="27"/>
      <c r="W260" s="18" t="s">
        <v>735</v>
      </c>
      <c r="X260" s="18"/>
      <c r="Y260" s="27"/>
      <c r="Z260" s="27"/>
      <c r="AA260" s="27"/>
    </row>
    <row r="261" spans="1:27">
      <c r="A261" s="27"/>
      <c r="B261" s="27"/>
      <c r="C261" s="27"/>
      <c r="D261" s="27"/>
      <c r="E261" s="27"/>
      <c r="F261" s="27"/>
      <c r="G261" s="27"/>
      <c r="H261" s="27"/>
      <c r="I261" s="27"/>
      <c r="J261" s="27"/>
      <c r="K261" s="27"/>
      <c r="L261" s="27"/>
      <c r="M261" s="27"/>
      <c r="N261" s="27"/>
      <c r="O261" s="27"/>
      <c r="P261" s="27"/>
      <c r="Q261" s="27"/>
      <c r="R261" s="27"/>
      <c r="S261" s="27"/>
      <c r="T261" s="27"/>
      <c r="U261" s="27"/>
      <c r="V261" s="27"/>
      <c r="W261" s="18" t="s">
        <v>736</v>
      </c>
      <c r="X261" s="18"/>
      <c r="Y261" s="27"/>
      <c r="Z261" s="27"/>
      <c r="AA261" s="27"/>
    </row>
    <row r="262" spans="1:27">
      <c r="A262" s="27"/>
      <c r="B262" s="27"/>
      <c r="C262" s="27"/>
      <c r="D262" s="27"/>
      <c r="E262" s="27"/>
      <c r="F262" s="27"/>
      <c r="G262" s="27"/>
      <c r="H262" s="27"/>
      <c r="I262" s="27"/>
      <c r="J262" s="27"/>
      <c r="K262" s="27"/>
      <c r="L262" s="27"/>
      <c r="M262" s="27"/>
      <c r="N262" s="27"/>
      <c r="O262" s="27"/>
      <c r="P262" s="27"/>
      <c r="Q262" s="27"/>
      <c r="R262" s="27"/>
      <c r="S262" s="27"/>
      <c r="T262" s="27"/>
      <c r="U262" s="27"/>
      <c r="V262" s="27"/>
      <c r="W262" s="18" t="s">
        <v>737</v>
      </c>
      <c r="X262" s="18"/>
      <c r="Y262" s="27"/>
      <c r="Z262" s="27"/>
      <c r="AA262" s="27"/>
    </row>
    <row r="263" spans="1:27">
      <c r="A263" s="27"/>
      <c r="B263" s="27"/>
      <c r="C263" s="27"/>
      <c r="D263" s="27"/>
      <c r="E263" s="27"/>
      <c r="F263" s="27"/>
      <c r="G263" s="27"/>
      <c r="H263" s="27"/>
      <c r="I263" s="27"/>
      <c r="J263" s="27"/>
      <c r="K263" s="27"/>
      <c r="L263" s="27"/>
      <c r="M263" s="27"/>
      <c r="N263" s="27"/>
      <c r="O263" s="27"/>
      <c r="P263" s="27"/>
      <c r="Q263" s="27"/>
      <c r="R263" s="27"/>
      <c r="S263" s="27"/>
      <c r="T263" s="27"/>
      <c r="U263" s="27"/>
      <c r="V263" s="27"/>
      <c r="W263" s="18" t="s">
        <v>738</v>
      </c>
      <c r="X263" s="18"/>
      <c r="Y263" s="27"/>
      <c r="Z263" s="27"/>
      <c r="AA263" s="27"/>
    </row>
    <row r="264" spans="1:27">
      <c r="A264" s="27"/>
      <c r="B264" s="27"/>
      <c r="C264" s="27"/>
      <c r="D264" s="27"/>
      <c r="E264" s="27"/>
      <c r="F264" s="27"/>
      <c r="G264" s="27"/>
      <c r="H264" s="27"/>
      <c r="I264" s="27"/>
      <c r="J264" s="27"/>
      <c r="K264" s="27"/>
      <c r="L264" s="27"/>
      <c r="M264" s="27"/>
      <c r="N264" s="27"/>
      <c r="O264" s="27"/>
      <c r="P264" s="27"/>
      <c r="Q264" s="27"/>
      <c r="R264" s="27"/>
      <c r="S264" s="27"/>
      <c r="T264" s="27"/>
      <c r="U264" s="27"/>
      <c r="V264" s="27"/>
      <c r="W264" s="18" t="s">
        <v>739</v>
      </c>
      <c r="X264" s="18"/>
      <c r="Y264" s="27"/>
      <c r="Z264" s="27"/>
      <c r="AA264" s="27"/>
    </row>
    <row r="265" spans="1:27">
      <c r="A265" s="27"/>
      <c r="B265" s="27"/>
      <c r="C265" s="27"/>
      <c r="D265" s="27"/>
      <c r="E265" s="27"/>
      <c r="F265" s="27"/>
      <c r="G265" s="27"/>
      <c r="H265" s="27"/>
      <c r="I265" s="27"/>
      <c r="J265" s="27"/>
      <c r="K265" s="27"/>
      <c r="L265" s="27"/>
      <c r="M265" s="27"/>
      <c r="N265" s="27"/>
      <c r="O265" s="27"/>
      <c r="P265" s="27"/>
      <c r="Q265" s="27"/>
      <c r="R265" s="27"/>
      <c r="S265" s="27"/>
      <c r="T265" s="27"/>
      <c r="U265" s="27"/>
      <c r="V265" s="27"/>
      <c r="W265" s="18" t="s">
        <v>740</v>
      </c>
      <c r="X265" s="18"/>
      <c r="Y265" s="27"/>
      <c r="Z265" s="27"/>
      <c r="AA265" s="27"/>
    </row>
    <row r="266" spans="1:27">
      <c r="A266" s="27"/>
      <c r="B266" s="27"/>
      <c r="C266" s="27"/>
      <c r="D266" s="27"/>
      <c r="E266" s="27"/>
      <c r="F266" s="27"/>
      <c r="G266" s="27"/>
      <c r="H266" s="27"/>
      <c r="I266" s="27"/>
      <c r="J266" s="27"/>
      <c r="K266" s="27"/>
      <c r="L266" s="27"/>
      <c r="M266" s="27"/>
      <c r="N266" s="27"/>
      <c r="O266" s="27"/>
      <c r="P266" s="27"/>
      <c r="Q266" s="27"/>
      <c r="R266" s="27"/>
      <c r="S266" s="27"/>
      <c r="T266" s="27"/>
      <c r="U266" s="27"/>
      <c r="V266" s="27"/>
      <c r="W266" s="18" t="s">
        <v>741</v>
      </c>
      <c r="X266" s="18"/>
      <c r="Y266" s="27"/>
      <c r="Z266" s="27"/>
      <c r="AA266" s="27"/>
    </row>
    <row r="267" spans="1:27">
      <c r="A267" s="27"/>
      <c r="B267" s="27"/>
      <c r="C267" s="27"/>
      <c r="D267" s="27"/>
      <c r="E267" s="27"/>
      <c r="F267" s="27"/>
      <c r="G267" s="27"/>
      <c r="H267" s="27"/>
      <c r="I267" s="27"/>
      <c r="J267" s="27"/>
      <c r="K267" s="27"/>
      <c r="L267" s="27"/>
      <c r="M267" s="27"/>
      <c r="N267" s="27"/>
      <c r="O267" s="27"/>
      <c r="P267" s="27"/>
      <c r="Q267" s="27"/>
      <c r="R267" s="27"/>
      <c r="S267" s="27"/>
      <c r="T267" s="27"/>
      <c r="U267" s="27"/>
      <c r="V267" s="27"/>
      <c r="W267" s="18" t="s">
        <v>742</v>
      </c>
      <c r="X267" s="18"/>
      <c r="Y267" s="27"/>
      <c r="Z267" s="27"/>
      <c r="AA267" s="27"/>
    </row>
    <row r="268" spans="1:27">
      <c r="A268" s="27"/>
      <c r="B268" s="27"/>
      <c r="C268" s="27"/>
      <c r="D268" s="27"/>
      <c r="E268" s="27"/>
      <c r="F268" s="27"/>
      <c r="G268" s="27"/>
      <c r="H268" s="27"/>
      <c r="I268" s="27"/>
      <c r="J268" s="27"/>
      <c r="K268" s="27"/>
      <c r="L268" s="27"/>
      <c r="M268" s="27"/>
      <c r="N268" s="27"/>
      <c r="O268" s="27"/>
      <c r="P268" s="27"/>
      <c r="Q268" s="27"/>
      <c r="R268" s="27"/>
      <c r="S268" s="27"/>
      <c r="T268" s="27"/>
      <c r="U268" s="27"/>
      <c r="V268" s="27"/>
      <c r="W268" s="18" t="s">
        <v>743</v>
      </c>
      <c r="X268" s="18"/>
      <c r="Y268" s="27"/>
      <c r="Z268" s="27"/>
      <c r="AA268" s="27"/>
    </row>
    <row r="269" spans="1:27">
      <c r="A269" s="27"/>
      <c r="B269" s="27"/>
      <c r="C269" s="27"/>
      <c r="D269" s="27"/>
      <c r="E269" s="27"/>
      <c r="F269" s="27"/>
      <c r="G269" s="27"/>
      <c r="H269" s="27"/>
      <c r="I269" s="27"/>
      <c r="J269" s="27"/>
      <c r="K269" s="27"/>
      <c r="L269" s="27"/>
      <c r="M269" s="27"/>
      <c r="N269" s="27"/>
      <c r="O269" s="27"/>
      <c r="P269" s="27"/>
      <c r="Q269" s="27"/>
      <c r="R269" s="27"/>
      <c r="S269" s="27"/>
      <c r="T269" s="27"/>
      <c r="U269" s="27"/>
      <c r="V269" s="27"/>
      <c r="W269" s="18" t="s">
        <v>744</v>
      </c>
      <c r="X269" s="18"/>
      <c r="Y269" s="27"/>
      <c r="Z269" s="27"/>
      <c r="AA269" s="27"/>
    </row>
    <row r="270" spans="1:27">
      <c r="A270" s="27"/>
      <c r="B270" s="27"/>
      <c r="C270" s="27"/>
      <c r="D270" s="27"/>
      <c r="E270" s="27"/>
      <c r="F270" s="27"/>
      <c r="G270" s="27"/>
      <c r="H270" s="27"/>
      <c r="I270" s="27"/>
      <c r="J270" s="27"/>
      <c r="K270" s="27"/>
      <c r="L270" s="27"/>
      <c r="M270" s="27"/>
      <c r="N270" s="27"/>
      <c r="O270" s="27"/>
      <c r="P270" s="27"/>
      <c r="Q270" s="27"/>
      <c r="R270" s="27"/>
      <c r="S270" s="27"/>
      <c r="T270" s="27"/>
      <c r="U270" s="27"/>
      <c r="V270" s="27"/>
      <c r="W270" s="18" t="s">
        <v>745</v>
      </c>
      <c r="X270" s="18"/>
      <c r="Y270" s="27"/>
      <c r="Z270" s="27"/>
      <c r="AA270" s="27"/>
    </row>
    <row r="271" spans="1:27">
      <c r="A271" s="27"/>
      <c r="B271" s="27"/>
      <c r="C271" s="27"/>
      <c r="D271" s="27"/>
      <c r="E271" s="27"/>
      <c r="F271" s="27"/>
      <c r="G271" s="27"/>
      <c r="H271" s="27"/>
      <c r="I271" s="27"/>
      <c r="J271" s="27"/>
      <c r="K271" s="27"/>
      <c r="L271" s="27"/>
      <c r="M271" s="27"/>
      <c r="N271" s="27"/>
      <c r="O271" s="27"/>
      <c r="P271" s="27"/>
      <c r="Q271" s="27"/>
      <c r="R271" s="27"/>
      <c r="S271" s="27"/>
      <c r="T271" s="27"/>
      <c r="U271" s="27"/>
      <c r="V271" s="27"/>
      <c r="W271" s="18" t="s">
        <v>746</v>
      </c>
      <c r="X271" s="18"/>
      <c r="Y271" s="27"/>
      <c r="Z271" s="27"/>
      <c r="AA271" s="27"/>
    </row>
    <row r="272" spans="1:27">
      <c r="A272" s="27"/>
      <c r="B272" s="27"/>
      <c r="C272" s="27"/>
      <c r="D272" s="27"/>
      <c r="E272" s="27"/>
      <c r="F272" s="27"/>
      <c r="G272" s="27"/>
      <c r="H272" s="27"/>
      <c r="I272" s="27"/>
      <c r="J272" s="27"/>
      <c r="K272" s="27"/>
      <c r="L272" s="27"/>
      <c r="M272" s="27"/>
      <c r="N272" s="27"/>
      <c r="O272" s="27"/>
      <c r="P272" s="27"/>
      <c r="Q272" s="27"/>
      <c r="R272" s="27"/>
      <c r="S272" s="27"/>
      <c r="T272" s="27"/>
      <c r="U272" s="27"/>
      <c r="V272" s="27"/>
      <c r="W272" s="18" t="s">
        <v>747</v>
      </c>
      <c r="X272" s="18"/>
      <c r="Y272" s="27"/>
      <c r="Z272" s="27"/>
      <c r="AA272" s="27"/>
    </row>
    <row r="273" spans="1:27">
      <c r="A273" s="27"/>
      <c r="B273" s="27"/>
      <c r="C273" s="27"/>
      <c r="D273" s="27"/>
      <c r="E273" s="27"/>
      <c r="F273" s="27"/>
      <c r="G273" s="27"/>
      <c r="H273" s="27"/>
      <c r="I273" s="27"/>
      <c r="J273" s="27"/>
      <c r="K273" s="27"/>
      <c r="L273" s="27"/>
      <c r="M273" s="27"/>
      <c r="N273" s="27"/>
      <c r="O273" s="27"/>
      <c r="P273" s="27"/>
      <c r="Q273" s="27"/>
      <c r="R273" s="27"/>
      <c r="S273" s="27"/>
      <c r="T273" s="27"/>
      <c r="U273" s="27"/>
      <c r="V273" s="27"/>
      <c r="W273" s="18" t="s">
        <v>748</v>
      </c>
      <c r="X273" s="18"/>
      <c r="Y273" s="27"/>
      <c r="Z273" s="27"/>
      <c r="AA273" s="27"/>
    </row>
    <row r="274" spans="1:27">
      <c r="A274" s="27"/>
      <c r="B274" s="27"/>
      <c r="C274" s="27"/>
      <c r="D274" s="27"/>
      <c r="E274" s="27"/>
      <c r="F274" s="27"/>
      <c r="G274" s="27"/>
      <c r="H274" s="27"/>
      <c r="I274" s="27"/>
      <c r="J274" s="27"/>
      <c r="K274" s="27"/>
      <c r="L274" s="27"/>
      <c r="M274" s="27"/>
      <c r="N274" s="27"/>
      <c r="O274" s="27"/>
      <c r="P274" s="27"/>
      <c r="Q274" s="27"/>
      <c r="R274" s="27"/>
      <c r="S274" s="27"/>
      <c r="T274" s="27"/>
      <c r="U274" s="27"/>
      <c r="V274" s="27"/>
      <c r="W274" s="18" t="s">
        <v>749</v>
      </c>
      <c r="X274" s="18"/>
      <c r="Y274" s="27"/>
      <c r="Z274" s="27"/>
      <c r="AA274" s="27"/>
    </row>
    <row r="275" spans="1:27">
      <c r="A275" s="27"/>
      <c r="B275" s="27"/>
      <c r="C275" s="27"/>
      <c r="D275" s="27"/>
      <c r="E275" s="27"/>
      <c r="F275" s="27"/>
      <c r="G275" s="27"/>
      <c r="H275" s="27"/>
      <c r="I275" s="27"/>
      <c r="J275" s="27"/>
      <c r="K275" s="27"/>
      <c r="L275" s="27"/>
      <c r="M275" s="27"/>
      <c r="N275" s="27"/>
      <c r="O275" s="27"/>
      <c r="P275" s="27"/>
      <c r="Q275" s="27"/>
      <c r="R275" s="27"/>
      <c r="S275" s="27"/>
      <c r="T275" s="27"/>
      <c r="U275" s="27"/>
      <c r="V275" s="27"/>
      <c r="W275" s="18" t="s">
        <v>750</v>
      </c>
      <c r="X275" s="18"/>
      <c r="Y275" s="27"/>
      <c r="Z275" s="27"/>
      <c r="AA275" s="27"/>
    </row>
    <row r="276" spans="1:27">
      <c r="A276" s="27"/>
      <c r="B276" s="27"/>
      <c r="C276" s="27"/>
      <c r="D276" s="27"/>
      <c r="E276" s="27"/>
      <c r="F276" s="27"/>
      <c r="G276" s="27"/>
      <c r="H276" s="27"/>
      <c r="I276" s="27"/>
      <c r="J276" s="27"/>
      <c r="K276" s="27"/>
      <c r="L276" s="27"/>
      <c r="M276" s="27"/>
      <c r="N276" s="27"/>
      <c r="O276" s="27"/>
      <c r="P276" s="27"/>
      <c r="Q276" s="27"/>
      <c r="R276" s="27"/>
      <c r="S276" s="27"/>
      <c r="T276" s="27"/>
      <c r="U276" s="27"/>
      <c r="V276" s="27"/>
      <c r="W276" s="18" t="s">
        <v>751</v>
      </c>
      <c r="X276" s="18"/>
      <c r="Y276" s="27"/>
      <c r="Z276" s="27"/>
      <c r="AA276" s="27"/>
    </row>
    <row r="277" spans="1:27">
      <c r="A277" s="27"/>
      <c r="B277" s="27"/>
      <c r="C277" s="27"/>
      <c r="D277" s="27"/>
      <c r="E277" s="27"/>
      <c r="F277" s="27"/>
      <c r="G277" s="27"/>
      <c r="H277" s="27"/>
      <c r="I277" s="27"/>
      <c r="J277" s="27"/>
      <c r="K277" s="27"/>
      <c r="L277" s="27"/>
      <c r="M277" s="27"/>
      <c r="N277" s="27"/>
      <c r="O277" s="27"/>
      <c r="P277" s="27"/>
      <c r="Q277" s="27"/>
      <c r="R277" s="27"/>
      <c r="S277" s="27"/>
      <c r="T277" s="27"/>
      <c r="U277" s="27"/>
      <c r="V277" s="27"/>
      <c r="W277" s="18" t="s">
        <v>752</v>
      </c>
      <c r="X277" s="18"/>
      <c r="Y277" s="27"/>
      <c r="Z277" s="27"/>
      <c r="AA277" s="27"/>
    </row>
    <row r="278" spans="1:27">
      <c r="A278" s="27"/>
      <c r="B278" s="27"/>
      <c r="C278" s="27"/>
      <c r="D278" s="27"/>
      <c r="E278" s="27"/>
      <c r="F278" s="27"/>
      <c r="G278" s="27"/>
      <c r="H278" s="27"/>
      <c r="I278" s="27"/>
      <c r="J278" s="27"/>
      <c r="K278" s="27"/>
      <c r="L278" s="27"/>
      <c r="M278" s="27"/>
      <c r="N278" s="27"/>
      <c r="O278" s="27"/>
      <c r="P278" s="27"/>
      <c r="Q278" s="27"/>
      <c r="R278" s="27"/>
      <c r="S278" s="27"/>
      <c r="T278" s="27"/>
      <c r="U278" s="27"/>
      <c r="V278" s="27"/>
      <c r="W278" s="18" t="s">
        <v>753</v>
      </c>
      <c r="X278" s="18"/>
      <c r="Y278" s="27"/>
      <c r="Z278" s="27"/>
      <c r="AA278" s="27"/>
    </row>
    <row r="279" spans="1:27">
      <c r="A279" s="27"/>
      <c r="B279" s="27"/>
      <c r="C279" s="27"/>
      <c r="D279" s="27"/>
      <c r="E279" s="27"/>
      <c r="F279" s="27"/>
      <c r="G279" s="27"/>
      <c r="H279" s="27"/>
      <c r="I279" s="27"/>
      <c r="J279" s="27"/>
      <c r="K279" s="27"/>
      <c r="L279" s="27"/>
      <c r="M279" s="27"/>
      <c r="N279" s="27"/>
      <c r="O279" s="27"/>
      <c r="P279" s="27"/>
      <c r="Q279" s="27"/>
      <c r="R279" s="27"/>
      <c r="S279" s="27"/>
      <c r="T279" s="27"/>
      <c r="U279" s="27"/>
      <c r="V279" s="27"/>
      <c r="W279" s="18" t="s">
        <v>754</v>
      </c>
      <c r="X279" s="18"/>
      <c r="Y279" s="27"/>
      <c r="Z279" s="27"/>
      <c r="AA279" s="27"/>
    </row>
    <row r="280" spans="1:27">
      <c r="A280" s="27"/>
      <c r="B280" s="27"/>
      <c r="C280" s="27"/>
      <c r="D280" s="27"/>
      <c r="E280" s="27"/>
      <c r="F280" s="27"/>
      <c r="G280" s="27"/>
      <c r="H280" s="27"/>
      <c r="I280" s="27"/>
      <c r="J280" s="27"/>
      <c r="K280" s="27"/>
      <c r="L280" s="27"/>
      <c r="M280" s="27"/>
      <c r="N280" s="27"/>
      <c r="O280" s="27"/>
      <c r="P280" s="27"/>
      <c r="Q280" s="27"/>
      <c r="R280" s="27"/>
      <c r="S280" s="27"/>
      <c r="T280" s="27"/>
      <c r="U280" s="27"/>
      <c r="V280" s="27"/>
      <c r="W280" s="18" t="s">
        <v>755</v>
      </c>
      <c r="X280" s="18"/>
      <c r="Y280" s="27"/>
      <c r="Z280" s="27"/>
      <c r="AA280" s="27"/>
    </row>
    <row r="281" spans="1:27">
      <c r="A281" s="27"/>
      <c r="B281" s="27"/>
      <c r="C281" s="27"/>
      <c r="D281" s="27"/>
      <c r="E281" s="27"/>
      <c r="F281" s="27"/>
      <c r="G281" s="27"/>
      <c r="H281" s="27"/>
      <c r="I281" s="27"/>
      <c r="J281" s="27"/>
      <c r="K281" s="27"/>
      <c r="L281" s="27"/>
      <c r="M281" s="27"/>
      <c r="N281" s="27"/>
      <c r="O281" s="27"/>
      <c r="P281" s="27"/>
      <c r="Q281" s="27"/>
      <c r="R281" s="27"/>
      <c r="S281" s="27"/>
      <c r="T281" s="27"/>
      <c r="U281" s="27"/>
      <c r="V281" s="27"/>
      <c r="W281" s="18" t="s">
        <v>756</v>
      </c>
      <c r="X281" s="18"/>
      <c r="Y281" s="27"/>
      <c r="Z281" s="27"/>
      <c r="AA281" s="27"/>
    </row>
    <row r="282" spans="1:27">
      <c r="A282" s="27"/>
      <c r="B282" s="27"/>
      <c r="C282" s="27"/>
      <c r="D282" s="27"/>
      <c r="E282" s="27"/>
      <c r="F282" s="27"/>
      <c r="G282" s="27"/>
      <c r="H282" s="27"/>
      <c r="I282" s="27"/>
      <c r="J282" s="27"/>
      <c r="K282" s="27"/>
      <c r="L282" s="27"/>
      <c r="M282" s="27"/>
      <c r="N282" s="27"/>
      <c r="O282" s="27"/>
      <c r="P282" s="27"/>
      <c r="Q282" s="27"/>
      <c r="R282" s="27"/>
      <c r="S282" s="27"/>
      <c r="T282" s="27"/>
      <c r="U282" s="27"/>
      <c r="V282" s="27"/>
      <c r="W282" s="18" t="s">
        <v>757</v>
      </c>
      <c r="X282" s="18"/>
      <c r="Y282" s="27"/>
      <c r="Z282" s="27"/>
      <c r="AA282" s="27"/>
    </row>
    <row r="283" spans="1:27">
      <c r="A283" s="27"/>
      <c r="B283" s="27"/>
      <c r="C283" s="27"/>
      <c r="D283" s="27"/>
      <c r="E283" s="27"/>
      <c r="F283" s="27"/>
      <c r="G283" s="27"/>
      <c r="H283" s="27"/>
      <c r="I283" s="27"/>
      <c r="J283" s="27"/>
      <c r="K283" s="27"/>
      <c r="L283" s="27"/>
      <c r="M283" s="27"/>
      <c r="N283" s="27"/>
      <c r="O283" s="27"/>
      <c r="P283" s="27"/>
      <c r="Q283" s="27"/>
      <c r="R283" s="27"/>
      <c r="S283" s="27"/>
      <c r="T283" s="27"/>
      <c r="U283" s="27"/>
      <c r="V283" s="27"/>
      <c r="W283" s="18" t="s">
        <v>758</v>
      </c>
      <c r="X283" s="18"/>
      <c r="Y283" s="27"/>
      <c r="Z283" s="27"/>
      <c r="AA283" s="27"/>
    </row>
    <row r="284" spans="1:27">
      <c r="A284" s="27"/>
      <c r="B284" s="27"/>
      <c r="C284" s="27"/>
      <c r="D284" s="27"/>
      <c r="E284" s="27"/>
      <c r="F284" s="27"/>
      <c r="G284" s="27"/>
      <c r="H284" s="27"/>
      <c r="I284" s="27"/>
      <c r="J284" s="27"/>
      <c r="K284" s="27"/>
      <c r="L284" s="27"/>
      <c r="M284" s="27"/>
      <c r="N284" s="27"/>
      <c r="O284" s="27"/>
      <c r="P284" s="27"/>
      <c r="Q284" s="27"/>
      <c r="R284" s="27"/>
      <c r="S284" s="27"/>
      <c r="T284" s="27"/>
      <c r="U284" s="27"/>
      <c r="V284" s="27"/>
      <c r="W284" s="18" t="s">
        <v>759</v>
      </c>
      <c r="X284" s="18"/>
      <c r="Y284" s="27"/>
      <c r="Z284" s="27"/>
      <c r="AA284" s="27"/>
    </row>
    <row r="285" spans="1:27">
      <c r="A285" s="27"/>
      <c r="B285" s="27"/>
      <c r="C285" s="27"/>
      <c r="D285" s="27"/>
      <c r="E285" s="27"/>
      <c r="F285" s="27"/>
      <c r="G285" s="27"/>
      <c r="H285" s="27"/>
      <c r="I285" s="27"/>
      <c r="J285" s="27"/>
      <c r="K285" s="27"/>
      <c r="L285" s="27"/>
      <c r="M285" s="27"/>
      <c r="N285" s="27"/>
      <c r="O285" s="27"/>
      <c r="P285" s="27"/>
      <c r="Q285" s="27"/>
      <c r="R285" s="27"/>
      <c r="S285" s="27"/>
      <c r="T285" s="27"/>
      <c r="U285" s="27"/>
      <c r="V285" s="27"/>
      <c r="W285" s="18" t="s">
        <v>760</v>
      </c>
      <c r="X285" s="18"/>
      <c r="Y285" s="27"/>
      <c r="Z285" s="27"/>
      <c r="AA285" s="27"/>
    </row>
    <row r="286" spans="1:27">
      <c r="A286" s="27"/>
      <c r="B286" s="27"/>
      <c r="C286" s="27"/>
      <c r="D286" s="27"/>
      <c r="E286" s="27"/>
      <c r="F286" s="27"/>
      <c r="G286" s="27"/>
      <c r="H286" s="27"/>
      <c r="I286" s="27"/>
      <c r="J286" s="27"/>
      <c r="K286" s="27"/>
      <c r="L286" s="27"/>
      <c r="M286" s="27"/>
      <c r="N286" s="27"/>
      <c r="O286" s="27"/>
      <c r="P286" s="27"/>
      <c r="Q286" s="27"/>
      <c r="R286" s="27"/>
      <c r="S286" s="27"/>
      <c r="T286" s="27"/>
      <c r="U286" s="27"/>
      <c r="V286" s="27"/>
      <c r="W286" s="18" t="s">
        <v>761</v>
      </c>
      <c r="X286" s="18"/>
      <c r="Y286" s="27"/>
      <c r="Z286" s="27"/>
      <c r="AA286" s="27"/>
    </row>
    <row r="287" spans="1:27">
      <c r="A287" s="27"/>
      <c r="B287" s="27"/>
      <c r="C287" s="27"/>
      <c r="D287" s="27"/>
      <c r="E287" s="27"/>
      <c r="F287" s="27"/>
      <c r="G287" s="27"/>
      <c r="H287" s="27"/>
      <c r="I287" s="27"/>
      <c r="J287" s="27"/>
      <c r="K287" s="27"/>
      <c r="L287" s="27"/>
      <c r="M287" s="27"/>
      <c r="N287" s="27"/>
      <c r="O287" s="27"/>
      <c r="P287" s="27"/>
      <c r="Q287" s="27"/>
      <c r="R287" s="27"/>
      <c r="S287" s="27"/>
      <c r="T287" s="27"/>
      <c r="U287" s="27"/>
      <c r="V287" s="27"/>
      <c r="W287" s="18" t="s">
        <v>762</v>
      </c>
      <c r="X287" s="18"/>
      <c r="Y287" s="27"/>
      <c r="Z287" s="27"/>
      <c r="AA287" s="27"/>
    </row>
    <row r="288" spans="1:27">
      <c r="A288" s="27"/>
      <c r="B288" s="27"/>
      <c r="C288" s="27"/>
      <c r="D288" s="27"/>
      <c r="E288" s="27"/>
      <c r="F288" s="27"/>
      <c r="G288" s="27"/>
      <c r="H288" s="27"/>
      <c r="I288" s="27"/>
      <c r="J288" s="27"/>
      <c r="K288" s="27"/>
      <c r="L288" s="27"/>
      <c r="M288" s="27"/>
      <c r="N288" s="27"/>
      <c r="O288" s="27"/>
      <c r="P288" s="27"/>
      <c r="Q288" s="27"/>
      <c r="R288" s="27"/>
      <c r="S288" s="27"/>
      <c r="T288" s="27"/>
      <c r="U288" s="27"/>
      <c r="V288" s="27"/>
      <c r="W288" s="18" t="s">
        <v>763</v>
      </c>
      <c r="X288" s="18"/>
      <c r="Y288" s="27"/>
      <c r="Z288" s="27"/>
      <c r="AA288" s="27"/>
    </row>
    <row r="289" spans="1:27">
      <c r="A289" s="27"/>
      <c r="B289" s="27"/>
      <c r="C289" s="27"/>
      <c r="D289" s="27"/>
      <c r="E289" s="27"/>
      <c r="F289" s="27"/>
      <c r="G289" s="27"/>
      <c r="H289" s="27"/>
      <c r="I289" s="27"/>
      <c r="J289" s="27"/>
      <c r="K289" s="27"/>
      <c r="L289" s="27"/>
      <c r="M289" s="27"/>
      <c r="N289" s="27"/>
      <c r="O289" s="27"/>
      <c r="P289" s="27"/>
      <c r="Q289" s="27"/>
      <c r="R289" s="27"/>
      <c r="S289" s="27"/>
      <c r="T289" s="27"/>
      <c r="U289" s="27"/>
      <c r="V289" s="27"/>
      <c r="W289" s="18" t="s">
        <v>764</v>
      </c>
      <c r="X289" s="18"/>
      <c r="Y289" s="27"/>
      <c r="Z289" s="27"/>
      <c r="AA289" s="27"/>
    </row>
    <row r="290" spans="1:27">
      <c r="A290" s="27"/>
      <c r="B290" s="27"/>
      <c r="C290" s="27"/>
      <c r="D290" s="27"/>
      <c r="E290" s="27"/>
      <c r="F290" s="27"/>
      <c r="G290" s="27"/>
      <c r="H290" s="27"/>
      <c r="I290" s="27"/>
      <c r="J290" s="27"/>
      <c r="K290" s="27"/>
      <c r="L290" s="27"/>
      <c r="M290" s="27"/>
      <c r="N290" s="27"/>
      <c r="O290" s="27"/>
      <c r="P290" s="27"/>
      <c r="Q290" s="27"/>
      <c r="R290" s="27"/>
      <c r="S290" s="27"/>
      <c r="T290" s="27"/>
      <c r="U290" s="27"/>
      <c r="V290" s="27"/>
      <c r="W290" s="18" t="s">
        <v>765</v>
      </c>
      <c r="X290" s="18"/>
      <c r="Y290" s="27"/>
      <c r="Z290" s="27"/>
      <c r="AA290" s="27"/>
    </row>
    <row r="291" spans="1:27">
      <c r="A291" s="27"/>
      <c r="B291" s="27"/>
      <c r="C291" s="27"/>
      <c r="D291" s="27"/>
      <c r="E291" s="27"/>
      <c r="F291" s="27"/>
      <c r="G291" s="27"/>
      <c r="H291" s="27"/>
      <c r="I291" s="27"/>
      <c r="J291" s="27"/>
      <c r="K291" s="27"/>
      <c r="L291" s="27"/>
      <c r="M291" s="27"/>
      <c r="N291" s="27"/>
      <c r="O291" s="27"/>
      <c r="P291" s="27"/>
      <c r="Q291" s="27"/>
      <c r="R291" s="27"/>
      <c r="S291" s="27"/>
      <c r="T291" s="27"/>
      <c r="U291" s="27"/>
      <c r="V291" s="27"/>
      <c r="W291" s="18" t="s">
        <v>766</v>
      </c>
      <c r="X291" s="18"/>
      <c r="Y291" s="27"/>
      <c r="Z291" s="27"/>
      <c r="AA291" s="27"/>
    </row>
    <row r="292" spans="1:27">
      <c r="A292" s="27"/>
      <c r="B292" s="27"/>
      <c r="C292" s="27"/>
      <c r="D292" s="27"/>
      <c r="E292" s="27"/>
      <c r="F292" s="27"/>
      <c r="G292" s="27"/>
      <c r="H292" s="27"/>
      <c r="I292" s="27"/>
      <c r="J292" s="27"/>
      <c r="K292" s="27"/>
      <c r="L292" s="27"/>
      <c r="M292" s="27"/>
      <c r="N292" s="27"/>
      <c r="O292" s="27"/>
      <c r="P292" s="27"/>
      <c r="Q292" s="27"/>
      <c r="R292" s="27"/>
      <c r="S292" s="27"/>
      <c r="T292" s="27"/>
      <c r="U292" s="27"/>
      <c r="V292" s="27"/>
      <c r="W292" s="18" t="s">
        <v>767</v>
      </c>
      <c r="X292" s="18"/>
      <c r="Y292" s="27"/>
      <c r="Z292" s="27"/>
      <c r="AA292" s="27"/>
    </row>
    <row r="293" spans="1:27">
      <c r="A293" s="27"/>
      <c r="B293" s="27"/>
      <c r="C293" s="27"/>
      <c r="D293" s="27"/>
      <c r="E293" s="27"/>
      <c r="F293" s="27"/>
      <c r="G293" s="27"/>
      <c r="H293" s="27"/>
      <c r="I293" s="27"/>
      <c r="J293" s="27"/>
      <c r="K293" s="27"/>
      <c r="L293" s="27"/>
      <c r="M293" s="27"/>
      <c r="N293" s="27"/>
      <c r="O293" s="27"/>
      <c r="P293" s="27"/>
      <c r="Q293" s="27"/>
      <c r="R293" s="27"/>
      <c r="S293" s="27"/>
      <c r="T293" s="27"/>
      <c r="U293" s="27"/>
      <c r="V293" s="27"/>
      <c r="W293" s="18" t="s">
        <v>768</v>
      </c>
      <c r="X293" s="18"/>
      <c r="Y293" s="27"/>
      <c r="Z293" s="27"/>
      <c r="AA293" s="27"/>
    </row>
    <row r="294" spans="1:27">
      <c r="A294" s="27"/>
      <c r="B294" s="27"/>
      <c r="C294" s="27"/>
      <c r="D294" s="27"/>
      <c r="E294" s="27"/>
      <c r="F294" s="27"/>
      <c r="G294" s="27"/>
      <c r="H294" s="27"/>
      <c r="I294" s="27"/>
      <c r="J294" s="27"/>
      <c r="K294" s="27"/>
      <c r="L294" s="27"/>
      <c r="M294" s="27"/>
      <c r="N294" s="27"/>
      <c r="O294" s="27"/>
      <c r="P294" s="27"/>
      <c r="Q294" s="27"/>
      <c r="R294" s="27"/>
      <c r="S294" s="27"/>
      <c r="T294" s="27"/>
      <c r="U294" s="27"/>
      <c r="V294" s="27"/>
      <c r="W294" s="18" t="s">
        <v>769</v>
      </c>
      <c r="X294" s="18"/>
      <c r="Y294" s="27"/>
      <c r="Z294" s="27"/>
      <c r="AA294" s="27"/>
    </row>
    <row r="295" spans="1:27">
      <c r="A295" s="27"/>
      <c r="B295" s="27"/>
      <c r="C295" s="27"/>
      <c r="D295" s="27"/>
      <c r="E295" s="27"/>
      <c r="F295" s="27"/>
      <c r="G295" s="27"/>
      <c r="H295" s="27"/>
      <c r="I295" s="27"/>
      <c r="J295" s="27"/>
      <c r="K295" s="27"/>
      <c r="L295" s="27"/>
      <c r="M295" s="27"/>
      <c r="N295" s="27"/>
      <c r="O295" s="27"/>
      <c r="P295" s="27"/>
      <c r="Q295" s="27"/>
      <c r="R295" s="27"/>
      <c r="S295" s="27"/>
      <c r="T295" s="27"/>
      <c r="U295" s="27"/>
      <c r="V295" s="27"/>
      <c r="W295" s="18" t="s">
        <v>770</v>
      </c>
      <c r="X295" s="18"/>
      <c r="Y295" s="27"/>
      <c r="Z295" s="27"/>
      <c r="AA295" s="27"/>
    </row>
    <row r="296" spans="1:27">
      <c r="A296" s="27"/>
      <c r="B296" s="27"/>
      <c r="C296" s="27"/>
      <c r="D296" s="27"/>
      <c r="E296" s="27"/>
      <c r="F296" s="27"/>
      <c r="G296" s="27"/>
      <c r="H296" s="27"/>
      <c r="I296" s="27"/>
      <c r="J296" s="27"/>
      <c r="K296" s="27"/>
      <c r="L296" s="27"/>
      <c r="M296" s="27"/>
      <c r="N296" s="27"/>
      <c r="O296" s="27"/>
      <c r="P296" s="27"/>
      <c r="Q296" s="27"/>
      <c r="R296" s="27"/>
      <c r="S296" s="27"/>
      <c r="T296" s="27"/>
      <c r="U296" s="27"/>
      <c r="V296" s="27"/>
      <c r="W296" s="18" t="s">
        <v>771</v>
      </c>
      <c r="X296" s="18"/>
      <c r="Y296" s="27"/>
      <c r="Z296" s="27"/>
      <c r="AA296" s="27"/>
    </row>
    <row r="297" spans="1:27">
      <c r="A297" s="27"/>
      <c r="B297" s="27"/>
      <c r="C297" s="27"/>
      <c r="D297" s="27"/>
      <c r="E297" s="27"/>
      <c r="F297" s="27"/>
      <c r="G297" s="27"/>
      <c r="H297" s="27"/>
      <c r="I297" s="27"/>
      <c r="J297" s="27"/>
      <c r="K297" s="27"/>
      <c r="L297" s="27"/>
      <c r="M297" s="27"/>
      <c r="N297" s="27"/>
      <c r="O297" s="27"/>
      <c r="P297" s="27"/>
      <c r="Q297" s="27"/>
      <c r="R297" s="27"/>
      <c r="S297" s="27"/>
      <c r="T297" s="27"/>
      <c r="U297" s="27"/>
      <c r="V297" s="27"/>
      <c r="W297" s="18" t="s">
        <v>772</v>
      </c>
      <c r="X297" s="18"/>
      <c r="Y297" s="27"/>
      <c r="Z297" s="27"/>
      <c r="AA297" s="27"/>
    </row>
    <row r="298" spans="1:27">
      <c r="A298" s="27"/>
      <c r="B298" s="27"/>
      <c r="C298" s="27"/>
      <c r="D298" s="27"/>
      <c r="E298" s="27"/>
      <c r="F298" s="27"/>
      <c r="G298" s="27"/>
      <c r="H298" s="27"/>
      <c r="I298" s="27"/>
      <c r="J298" s="27"/>
      <c r="K298" s="27"/>
      <c r="L298" s="27"/>
      <c r="M298" s="27"/>
      <c r="N298" s="27"/>
      <c r="O298" s="27"/>
      <c r="P298" s="27"/>
      <c r="Q298" s="27"/>
      <c r="R298" s="27"/>
      <c r="S298" s="27"/>
      <c r="T298" s="27"/>
      <c r="U298" s="27"/>
      <c r="V298" s="27"/>
      <c r="W298" s="18" t="s">
        <v>773</v>
      </c>
      <c r="X298" s="18"/>
      <c r="Y298" s="27"/>
      <c r="Z298" s="27"/>
      <c r="AA298" s="27"/>
    </row>
    <row r="299" spans="1:27">
      <c r="A299" s="27"/>
      <c r="B299" s="27"/>
      <c r="C299" s="27"/>
      <c r="D299" s="27"/>
      <c r="E299" s="27"/>
      <c r="F299" s="27"/>
      <c r="G299" s="27"/>
      <c r="H299" s="27"/>
      <c r="I299" s="27"/>
      <c r="J299" s="27"/>
      <c r="K299" s="27"/>
      <c r="L299" s="27"/>
      <c r="M299" s="27"/>
      <c r="N299" s="27"/>
      <c r="O299" s="27"/>
      <c r="P299" s="27"/>
      <c r="Q299" s="27"/>
      <c r="R299" s="27"/>
      <c r="S299" s="27"/>
      <c r="T299" s="27"/>
      <c r="U299" s="27"/>
      <c r="V299" s="27"/>
      <c r="W299" s="18" t="s">
        <v>774</v>
      </c>
      <c r="X299" s="18"/>
      <c r="Y299" s="27"/>
      <c r="Z299" s="27"/>
      <c r="AA299" s="27"/>
    </row>
    <row r="300" spans="1:27">
      <c r="A300" s="27"/>
      <c r="B300" s="27"/>
      <c r="C300" s="27"/>
      <c r="D300" s="27"/>
      <c r="E300" s="27"/>
      <c r="F300" s="27"/>
      <c r="G300" s="27"/>
      <c r="H300" s="27"/>
      <c r="I300" s="27"/>
      <c r="J300" s="27"/>
      <c r="K300" s="27"/>
      <c r="L300" s="27"/>
      <c r="M300" s="27"/>
      <c r="N300" s="27"/>
      <c r="O300" s="27"/>
      <c r="P300" s="27"/>
      <c r="Q300" s="27"/>
      <c r="R300" s="27"/>
      <c r="S300" s="27"/>
      <c r="T300" s="27"/>
      <c r="U300" s="27"/>
      <c r="V300" s="27"/>
      <c r="W300" s="18" t="s">
        <v>775</v>
      </c>
      <c r="X300" s="18"/>
      <c r="Y300" s="27"/>
      <c r="Z300" s="27"/>
      <c r="AA300" s="27"/>
    </row>
    <row r="301" spans="1:27">
      <c r="A301" s="27"/>
      <c r="B301" s="27"/>
      <c r="C301" s="27"/>
      <c r="D301" s="27"/>
      <c r="E301" s="27"/>
      <c r="F301" s="27"/>
      <c r="G301" s="27"/>
      <c r="H301" s="27"/>
      <c r="I301" s="27"/>
      <c r="J301" s="27"/>
      <c r="K301" s="27"/>
      <c r="L301" s="27"/>
      <c r="M301" s="27"/>
      <c r="N301" s="27"/>
      <c r="O301" s="27"/>
      <c r="P301" s="27"/>
      <c r="Q301" s="27"/>
      <c r="R301" s="27"/>
      <c r="S301" s="27"/>
      <c r="T301" s="27"/>
      <c r="U301" s="27"/>
      <c r="V301" s="27"/>
      <c r="W301" s="18" t="s">
        <v>776</v>
      </c>
      <c r="X301" s="18"/>
      <c r="Y301" s="27"/>
      <c r="Z301" s="27"/>
      <c r="AA301" s="27"/>
    </row>
    <row r="302" spans="1:27">
      <c r="A302" s="27"/>
      <c r="B302" s="27"/>
      <c r="C302" s="27"/>
      <c r="D302" s="27"/>
      <c r="E302" s="27"/>
      <c r="F302" s="27"/>
      <c r="G302" s="27"/>
      <c r="H302" s="27"/>
      <c r="I302" s="27"/>
      <c r="J302" s="27"/>
      <c r="K302" s="27"/>
      <c r="L302" s="27"/>
      <c r="M302" s="27"/>
      <c r="N302" s="27"/>
      <c r="O302" s="27"/>
      <c r="P302" s="27"/>
      <c r="Q302" s="27"/>
      <c r="R302" s="27"/>
      <c r="S302" s="27"/>
      <c r="T302" s="27"/>
      <c r="U302" s="27"/>
      <c r="V302" s="27"/>
      <c r="W302" s="18" t="s">
        <v>777</v>
      </c>
      <c r="X302" s="18"/>
      <c r="Y302" s="27"/>
      <c r="Z302" s="27"/>
      <c r="AA302" s="27"/>
    </row>
    <row r="303" spans="1:27">
      <c r="A303" s="27"/>
      <c r="B303" s="27"/>
      <c r="C303" s="27"/>
      <c r="D303" s="27"/>
      <c r="E303" s="27"/>
      <c r="F303" s="27"/>
      <c r="G303" s="27"/>
      <c r="H303" s="27"/>
      <c r="I303" s="27"/>
      <c r="J303" s="27"/>
      <c r="K303" s="27"/>
      <c r="L303" s="27"/>
      <c r="M303" s="27"/>
      <c r="N303" s="27"/>
      <c r="O303" s="27"/>
      <c r="P303" s="27"/>
      <c r="Q303" s="27"/>
      <c r="R303" s="27"/>
      <c r="S303" s="27"/>
      <c r="T303" s="27"/>
      <c r="U303" s="27"/>
      <c r="V303" s="27"/>
      <c r="W303" s="18" t="s">
        <v>778</v>
      </c>
      <c r="X303" s="18"/>
      <c r="Y303" s="27"/>
      <c r="Z303" s="27"/>
      <c r="AA303" s="27"/>
    </row>
    <row r="304" spans="1:27">
      <c r="A304" s="27"/>
      <c r="B304" s="27"/>
      <c r="C304" s="27"/>
      <c r="D304" s="27"/>
      <c r="E304" s="27"/>
      <c r="F304" s="27"/>
      <c r="G304" s="27"/>
      <c r="H304" s="27"/>
      <c r="I304" s="27"/>
      <c r="J304" s="27"/>
      <c r="K304" s="27"/>
      <c r="L304" s="27"/>
      <c r="M304" s="27"/>
      <c r="N304" s="27"/>
      <c r="O304" s="27"/>
      <c r="P304" s="27"/>
      <c r="Q304" s="27"/>
      <c r="R304" s="27"/>
      <c r="S304" s="27"/>
      <c r="T304" s="27"/>
      <c r="U304" s="27"/>
      <c r="V304" s="27"/>
      <c r="W304" s="18" t="s">
        <v>779</v>
      </c>
      <c r="X304" s="18"/>
      <c r="Y304" s="27"/>
      <c r="Z304" s="27"/>
      <c r="AA304" s="27"/>
    </row>
    <row r="305" spans="1:27">
      <c r="A305" s="27"/>
      <c r="B305" s="27"/>
      <c r="C305" s="27"/>
      <c r="D305" s="27"/>
      <c r="E305" s="27"/>
      <c r="F305" s="27"/>
      <c r="G305" s="27"/>
      <c r="H305" s="27"/>
      <c r="I305" s="27"/>
      <c r="J305" s="27"/>
      <c r="K305" s="27"/>
      <c r="L305" s="27"/>
      <c r="M305" s="27"/>
      <c r="N305" s="27"/>
      <c r="O305" s="27"/>
      <c r="P305" s="27"/>
      <c r="Q305" s="27"/>
      <c r="R305" s="27"/>
      <c r="S305" s="27"/>
      <c r="T305" s="27"/>
      <c r="U305" s="27"/>
      <c r="V305" s="27"/>
      <c r="W305" s="18" t="s">
        <v>780</v>
      </c>
      <c r="X305" s="18"/>
      <c r="Y305" s="27"/>
      <c r="Z305" s="27"/>
      <c r="AA305" s="27"/>
    </row>
    <row r="306" spans="1:27">
      <c r="A306" s="27"/>
      <c r="B306" s="27"/>
      <c r="C306" s="27"/>
      <c r="D306" s="27"/>
      <c r="E306" s="27"/>
      <c r="F306" s="27"/>
      <c r="G306" s="27"/>
      <c r="H306" s="27"/>
      <c r="I306" s="27"/>
      <c r="J306" s="27"/>
      <c r="K306" s="27"/>
      <c r="L306" s="27"/>
      <c r="M306" s="27"/>
      <c r="N306" s="27"/>
      <c r="O306" s="27"/>
      <c r="P306" s="27"/>
      <c r="Q306" s="27"/>
      <c r="R306" s="27"/>
      <c r="S306" s="27"/>
      <c r="T306" s="27"/>
      <c r="U306" s="27"/>
      <c r="V306" s="27"/>
      <c r="W306" s="18" t="s">
        <v>781</v>
      </c>
      <c r="X306" s="18"/>
      <c r="Y306" s="27"/>
      <c r="Z306" s="27"/>
      <c r="AA306" s="27"/>
    </row>
    <row r="307" spans="1:27">
      <c r="A307" s="27"/>
      <c r="B307" s="27"/>
      <c r="C307" s="27"/>
      <c r="D307" s="27"/>
      <c r="E307" s="27"/>
      <c r="F307" s="27"/>
      <c r="G307" s="27"/>
      <c r="H307" s="27"/>
      <c r="I307" s="27"/>
      <c r="J307" s="27"/>
      <c r="K307" s="27"/>
      <c r="L307" s="27"/>
      <c r="M307" s="27"/>
      <c r="N307" s="27"/>
      <c r="O307" s="27"/>
      <c r="P307" s="27"/>
      <c r="Q307" s="27"/>
      <c r="R307" s="27"/>
      <c r="S307" s="27"/>
      <c r="T307" s="27"/>
      <c r="U307" s="27"/>
      <c r="V307" s="27"/>
      <c r="W307" s="18" t="s">
        <v>782</v>
      </c>
      <c r="X307" s="18"/>
      <c r="Y307" s="27"/>
      <c r="Z307" s="27"/>
      <c r="AA307" s="27"/>
    </row>
    <row r="308" spans="1:27">
      <c r="A308" s="27"/>
      <c r="B308" s="27"/>
      <c r="C308" s="27"/>
      <c r="D308" s="27"/>
      <c r="E308" s="27"/>
      <c r="F308" s="27"/>
      <c r="G308" s="27"/>
      <c r="H308" s="27"/>
      <c r="I308" s="27"/>
      <c r="J308" s="27"/>
      <c r="K308" s="27"/>
      <c r="L308" s="27"/>
      <c r="M308" s="27"/>
      <c r="N308" s="27"/>
      <c r="O308" s="27"/>
      <c r="P308" s="27"/>
      <c r="Q308" s="27"/>
      <c r="R308" s="27"/>
      <c r="S308" s="27"/>
      <c r="T308" s="27"/>
      <c r="U308" s="27"/>
      <c r="V308" s="27"/>
      <c r="W308" s="18" t="s">
        <v>783</v>
      </c>
      <c r="X308" s="18"/>
      <c r="Y308" s="27"/>
      <c r="Z308" s="27"/>
      <c r="AA308" s="27"/>
    </row>
    <row r="309" spans="1:27">
      <c r="A309" s="27"/>
      <c r="B309" s="27"/>
      <c r="C309" s="27"/>
      <c r="D309" s="27"/>
      <c r="E309" s="27"/>
      <c r="F309" s="27"/>
      <c r="G309" s="27"/>
      <c r="H309" s="27"/>
      <c r="I309" s="27"/>
      <c r="J309" s="27"/>
      <c r="K309" s="27"/>
      <c r="L309" s="27"/>
      <c r="M309" s="27"/>
      <c r="N309" s="27"/>
      <c r="O309" s="27"/>
      <c r="P309" s="27"/>
      <c r="Q309" s="27"/>
      <c r="R309" s="27"/>
      <c r="S309" s="27"/>
      <c r="T309" s="27"/>
      <c r="U309" s="27"/>
      <c r="V309" s="27"/>
      <c r="W309" s="18" t="s">
        <v>784</v>
      </c>
      <c r="X309" s="18"/>
      <c r="Y309" s="27"/>
      <c r="Z309" s="27"/>
      <c r="AA309" s="27"/>
    </row>
    <row r="310" spans="1:27">
      <c r="A310" s="27"/>
      <c r="B310" s="27"/>
      <c r="C310" s="27"/>
      <c r="D310" s="27"/>
      <c r="E310" s="27"/>
      <c r="F310" s="27"/>
      <c r="G310" s="27"/>
      <c r="H310" s="27"/>
      <c r="I310" s="27"/>
      <c r="J310" s="27"/>
      <c r="K310" s="27"/>
      <c r="L310" s="27"/>
      <c r="M310" s="27"/>
      <c r="N310" s="27"/>
      <c r="O310" s="27"/>
      <c r="P310" s="27"/>
      <c r="Q310" s="27"/>
      <c r="R310" s="27"/>
      <c r="S310" s="27"/>
      <c r="T310" s="27"/>
      <c r="U310" s="27"/>
      <c r="V310" s="27"/>
      <c r="W310" s="18" t="s">
        <v>785</v>
      </c>
      <c r="X310" s="18"/>
      <c r="Y310" s="27"/>
      <c r="Z310" s="27"/>
      <c r="AA310" s="27"/>
    </row>
    <row r="311" spans="1:27">
      <c r="A311" s="27"/>
      <c r="B311" s="27"/>
      <c r="C311" s="27"/>
      <c r="D311" s="27"/>
      <c r="E311" s="27"/>
      <c r="F311" s="27"/>
      <c r="G311" s="27"/>
      <c r="H311" s="27"/>
      <c r="I311" s="27"/>
      <c r="J311" s="27"/>
      <c r="K311" s="27"/>
      <c r="L311" s="27"/>
      <c r="M311" s="27"/>
      <c r="N311" s="27"/>
      <c r="O311" s="27"/>
      <c r="P311" s="27"/>
      <c r="Q311" s="27"/>
      <c r="R311" s="27"/>
      <c r="S311" s="27"/>
      <c r="T311" s="27"/>
      <c r="U311" s="27"/>
      <c r="V311" s="27"/>
      <c r="W311" s="18" t="s">
        <v>786</v>
      </c>
      <c r="X311" s="18"/>
      <c r="Y311" s="27"/>
      <c r="Z311" s="27"/>
      <c r="AA311" s="27"/>
    </row>
    <row r="312" spans="1:27">
      <c r="A312" s="27"/>
      <c r="B312" s="27"/>
      <c r="C312" s="27"/>
      <c r="D312" s="27"/>
      <c r="E312" s="27"/>
      <c r="F312" s="27"/>
      <c r="G312" s="27"/>
      <c r="H312" s="27"/>
      <c r="I312" s="27"/>
      <c r="J312" s="27"/>
      <c r="K312" s="27"/>
      <c r="L312" s="27"/>
      <c r="M312" s="27"/>
      <c r="N312" s="27"/>
      <c r="O312" s="27"/>
      <c r="P312" s="27"/>
      <c r="Q312" s="27"/>
      <c r="R312" s="27"/>
      <c r="S312" s="27"/>
      <c r="T312" s="27"/>
      <c r="U312" s="27"/>
      <c r="V312" s="27"/>
      <c r="W312" s="18" t="s">
        <v>787</v>
      </c>
      <c r="X312" s="18"/>
      <c r="Y312" s="27"/>
      <c r="Z312" s="27"/>
      <c r="AA312" s="27"/>
    </row>
    <row r="313" spans="1:27">
      <c r="A313" s="27"/>
      <c r="B313" s="27"/>
      <c r="C313" s="27"/>
      <c r="D313" s="27"/>
      <c r="E313" s="27"/>
      <c r="F313" s="27"/>
      <c r="G313" s="27"/>
      <c r="H313" s="27"/>
      <c r="I313" s="27"/>
      <c r="J313" s="27"/>
      <c r="K313" s="27"/>
      <c r="L313" s="27"/>
      <c r="M313" s="27"/>
      <c r="N313" s="27"/>
      <c r="O313" s="27"/>
      <c r="P313" s="27"/>
      <c r="Q313" s="27"/>
      <c r="R313" s="27"/>
      <c r="S313" s="27"/>
      <c r="T313" s="27"/>
      <c r="U313" s="27"/>
      <c r="V313" s="27"/>
      <c r="W313" s="18" t="s">
        <v>788</v>
      </c>
      <c r="X313" s="18"/>
      <c r="Y313" s="27"/>
      <c r="Z313" s="27"/>
      <c r="AA313" s="27"/>
    </row>
    <row r="314" spans="1:27">
      <c r="A314" s="27"/>
      <c r="B314" s="27"/>
      <c r="C314" s="27"/>
      <c r="D314" s="27"/>
      <c r="E314" s="27"/>
      <c r="F314" s="27"/>
      <c r="G314" s="27"/>
      <c r="H314" s="27"/>
      <c r="I314" s="27"/>
      <c r="J314" s="27"/>
      <c r="K314" s="27"/>
      <c r="L314" s="27"/>
      <c r="M314" s="27"/>
      <c r="N314" s="27"/>
      <c r="O314" s="27"/>
      <c r="P314" s="27"/>
      <c r="Q314" s="27"/>
      <c r="R314" s="27"/>
      <c r="S314" s="27"/>
      <c r="T314" s="27"/>
      <c r="U314" s="27"/>
      <c r="V314" s="27"/>
      <c r="W314" s="18" t="s">
        <v>789</v>
      </c>
      <c r="X314" s="18"/>
      <c r="Y314" s="27"/>
      <c r="Z314" s="27"/>
      <c r="AA314" s="27"/>
    </row>
    <row r="315" spans="1:27">
      <c r="A315" s="27"/>
      <c r="B315" s="27"/>
      <c r="C315" s="27"/>
      <c r="D315" s="27"/>
      <c r="E315" s="27"/>
      <c r="F315" s="27"/>
      <c r="G315" s="27"/>
      <c r="H315" s="27"/>
      <c r="I315" s="27"/>
      <c r="J315" s="27"/>
      <c r="K315" s="27"/>
      <c r="L315" s="27"/>
      <c r="M315" s="27"/>
      <c r="N315" s="27"/>
      <c r="O315" s="27"/>
      <c r="P315" s="27"/>
      <c r="Q315" s="27"/>
      <c r="R315" s="27"/>
      <c r="S315" s="27"/>
      <c r="T315" s="27"/>
      <c r="U315" s="27"/>
      <c r="V315" s="27"/>
      <c r="W315" s="18" t="s">
        <v>790</v>
      </c>
      <c r="X315" s="18"/>
      <c r="Y315" s="27"/>
      <c r="Z315" s="27"/>
      <c r="AA315" s="27"/>
    </row>
    <row r="316" spans="1:27">
      <c r="A316" s="27"/>
      <c r="B316" s="27"/>
      <c r="C316" s="27"/>
      <c r="D316" s="27"/>
      <c r="E316" s="27"/>
      <c r="F316" s="27"/>
      <c r="G316" s="27"/>
      <c r="H316" s="27"/>
      <c r="I316" s="27"/>
      <c r="J316" s="27"/>
      <c r="K316" s="27"/>
      <c r="L316" s="27"/>
      <c r="M316" s="27"/>
      <c r="N316" s="27"/>
      <c r="O316" s="27"/>
      <c r="P316" s="27"/>
      <c r="Q316" s="27"/>
      <c r="R316" s="27"/>
      <c r="S316" s="27"/>
      <c r="T316" s="27"/>
      <c r="U316" s="27"/>
      <c r="V316" s="27"/>
      <c r="W316" s="18" t="s">
        <v>791</v>
      </c>
      <c r="X316" s="18"/>
      <c r="Y316" s="27"/>
      <c r="Z316" s="27"/>
      <c r="AA316" s="27"/>
    </row>
    <row r="317" spans="1:27">
      <c r="A317" s="27"/>
      <c r="B317" s="27"/>
      <c r="C317" s="27"/>
      <c r="D317" s="27"/>
      <c r="E317" s="27"/>
      <c r="F317" s="27"/>
      <c r="G317" s="27"/>
      <c r="H317" s="27"/>
      <c r="I317" s="27"/>
      <c r="J317" s="27"/>
      <c r="K317" s="27"/>
      <c r="L317" s="27"/>
      <c r="M317" s="27"/>
      <c r="N317" s="27"/>
      <c r="O317" s="27"/>
      <c r="P317" s="27"/>
      <c r="Q317" s="27"/>
      <c r="R317" s="27"/>
      <c r="S317" s="27"/>
      <c r="T317" s="27"/>
      <c r="U317" s="27"/>
      <c r="V317" s="27"/>
      <c r="W317" s="18" t="s">
        <v>792</v>
      </c>
      <c r="X317" s="18"/>
      <c r="Y317" s="27"/>
      <c r="Z317" s="27"/>
      <c r="AA317" s="27"/>
    </row>
    <row r="318" spans="1:27">
      <c r="A318" s="27"/>
      <c r="B318" s="27"/>
      <c r="C318" s="27"/>
      <c r="D318" s="27"/>
      <c r="E318" s="27"/>
      <c r="F318" s="27"/>
      <c r="G318" s="27"/>
      <c r="H318" s="27"/>
      <c r="I318" s="27"/>
      <c r="J318" s="27"/>
      <c r="K318" s="27"/>
      <c r="L318" s="27"/>
      <c r="M318" s="27"/>
      <c r="N318" s="27"/>
      <c r="O318" s="27"/>
      <c r="P318" s="27"/>
      <c r="Q318" s="27"/>
      <c r="R318" s="27"/>
      <c r="S318" s="27"/>
      <c r="T318" s="27"/>
      <c r="U318" s="27"/>
      <c r="V318" s="27"/>
      <c r="W318" s="18" t="s">
        <v>793</v>
      </c>
      <c r="X318" s="18"/>
      <c r="Y318" s="27"/>
      <c r="Z318" s="27"/>
      <c r="AA318" s="27"/>
    </row>
    <row r="319" spans="1:27">
      <c r="A319" s="27"/>
      <c r="B319" s="27"/>
      <c r="C319" s="27"/>
      <c r="D319" s="27"/>
      <c r="E319" s="27"/>
      <c r="F319" s="27"/>
      <c r="G319" s="27"/>
      <c r="H319" s="27"/>
      <c r="I319" s="27"/>
      <c r="J319" s="27"/>
      <c r="K319" s="27"/>
      <c r="L319" s="27"/>
      <c r="M319" s="27"/>
      <c r="N319" s="27"/>
      <c r="O319" s="27"/>
      <c r="P319" s="27"/>
      <c r="Q319" s="27"/>
      <c r="R319" s="27"/>
      <c r="S319" s="27"/>
      <c r="T319" s="27"/>
      <c r="U319" s="27"/>
      <c r="V319" s="27"/>
      <c r="W319" s="18" t="s">
        <v>794</v>
      </c>
      <c r="X319" s="18"/>
      <c r="Y319" s="27"/>
      <c r="Z319" s="27"/>
      <c r="AA319" s="27"/>
    </row>
    <row r="320" spans="1:27">
      <c r="A320" s="27"/>
      <c r="B320" s="27"/>
      <c r="C320" s="27"/>
      <c r="D320" s="27"/>
      <c r="E320" s="27"/>
      <c r="F320" s="27"/>
      <c r="G320" s="27"/>
      <c r="H320" s="27"/>
      <c r="I320" s="27"/>
      <c r="J320" s="27"/>
      <c r="K320" s="27"/>
      <c r="L320" s="27"/>
      <c r="M320" s="27"/>
      <c r="N320" s="27"/>
      <c r="O320" s="27"/>
      <c r="P320" s="27"/>
      <c r="Q320" s="27"/>
      <c r="R320" s="27"/>
      <c r="S320" s="27"/>
      <c r="T320" s="27"/>
      <c r="U320" s="27"/>
      <c r="V320" s="27"/>
      <c r="W320" s="18" t="s">
        <v>795</v>
      </c>
      <c r="X320" s="18"/>
      <c r="Y320" s="27"/>
      <c r="Z320" s="27"/>
      <c r="AA320" s="27"/>
    </row>
    <row r="321" spans="1:27">
      <c r="A321" s="27"/>
      <c r="B321" s="27"/>
      <c r="C321" s="27"/>
      <c r="D321" s="27"/>
      <c r="E321" s="27"/>
      <c r="F321" s="27"/>
      <c r="G321" s="27"/>
      <c r="H321" s="27"/>
      <c r="I321" s="27"/>
      <c r="J321" s="27"/>
      <c r="K321" s="27"/>
      <c r="L321" s="27"/>
      <c r="M321" s="27"/>
      <c r="N321" s="27"/>
      <c r="O321" s="27"/>
      <c r="P321" s="27"/>
      <c r="Q321" s="27"/>
      <c r="R321" s="27"/>
      <c r="S321" s="27"/>
      <c r="T321" s="27"/>
      <c r="U321" s="27"/>
      <c r="V321" s="27"/>
      <c r="W321" s="18" t="s">
        <v>796</v>
      </c>
      <c r="X321" s="18"/>
      <c r="Y321" s="27"/>
      <c r="Z321" s="27"/>
      <c r="AA321" s="27"/>
    </row>
    <row r="322" spans="1:27">
      <c r="A322" s="27"/>
      <c r="B322" s="27"/>
      <c r="C322" s="27"/>
      <c r="D322" s="27"/>
      <c r="E322" s="27"/>
      <c r="F322" s="27"/>
      <c r="G322" s="27"/>
      <c r="H322" s="27"/>
      <c r="I322" s="27"/>
      <c r="J322" s="27"/>
      <c r="K322" s="27"/>
      <c r="L322" s="27"/>
      <c r="M322" s="27"/>
      <c r="N322" s="27"/>
      <c r="O322" s="27"/>
      <c r="P322" s="27"/>
      <c r="Q322" s="27"/>
      <c r="R322" s="27"/>
      <c r="S322" s="27"/>
      <c r="T322" s="27"/>
      <c r="U322" s="27"/>
      <c r="V322" s="27"/>
      <c r="W322" s="18" t="s">
        <v>797</v>
      </c>
      <c r="X322" s="18"/>
      <c r="Y322" s="27"/>
      <c r="Z322" s="27"/>
      <c r="AA322" s="27"/>
    </row>
    <row r="323" spans="1:27">
      <c r="A323" s="27"/>
      <c r="B323" s="27"/>
      <c r="C323" s="27"/>
      <c r="D323" s="27"/>
      <c r="E323" s="27"/>
      <c r="F323" s="27"/>
      <c r="G323" s="27"/>
      <c r="H323" s="27"/>
      <c r="I323" s="27"/>
      <c r="J323" s="27"/>
      <c r="K323" s="27"/>
      <c r="L323" s="27"/>
      <c r="M323" s="27"/>
      <c r="N323" s="27"/>
      <c r="O323" s="27"/>
      <c r="P323" s="27"/>
      <c r="Q323" s="27"/>
      <c r="R323" s="27"/>
      <c r="S323" s="27"/>
      <c r="T323" s="27"/>
      <c r="U323" s="27"/>
      <c r="V323" s="27"/>
      <c r="W323" s="18" t="s">
        <v>798</v>
      </c>
      <c r="X323" s="18"/>
      <c r="Y323" s="27"/>
      <c r="Z323" s="27"/>
      <c r="AA323" s="27"/>
    </row>
    <row r="324" spans="1:27">
      <c r="A324" s="27"/>
      <c r="B324" s="27"/>
      <c r="C324" s="27"/>
      <c r="D324" s="27"/>
      <c r="E324" s="27"/>
      <c r="F324" s="27"/>
      <c r="G324" s="27"/>
      <c r="H324" s="27"/>
      <c r="I324" s="27"/>
      <c r="J324" s="27"/>
      <c r="K324" s="27"/>
      <c r="L324" s="27"/>
      <c r="M324" s="27"/>
      <c r="N324" s="27"/>
      <c r="O324" s="27"/>
      <c r="P324" s="27"/>
      <c r="Q324" s="27"/>
      <c r="R324" s="27"/>
      <c r="S324" s="27"/>
      <c r="T324" s="27"/>
      <c r="U324" s="27"/>
      <c r="V324" s="27"/>
      <c r="W324" s="18" t="s">
        <v>799</v>
      </c>
      <c r="X324" s="18"/>
      <c r="Y324" s="27"/>
      <c r="Z324" s="27"/>
      <c r="AA324" s="27"/>
    </row>
    <row r="325" spans="1:27">
      <c r="A325" s="27"/>
      <c r="B325" s="27"/>
      <c r="C325" s="27"/>
      <c r="D325" s="27"/>
      <c r="E325" s="27"/>
      <c r="F325" s="27"/>
      <c r="G325" s="27"/>
      <c r="H325" s="27"/>
      <c r="I325" s="27"/>
      <c r="J325" s="27"/>
      <c r="K325" s="27"/>
      <c r="L325" s="27"/>
      <c r="M325" s="27"/>
      <c r="N325" s="27"/>
      <c r="O325" s="27"/>
      <c r="P325" s="27"/>
      <c r="Q325" s="27"/>
      <c r="R325" s="27"/>
      <c r="S325" s="27"/>
      <c r="T325" s="27"/>
      <c r="U325" s="27"/>
      <c r="V325" s="27"/>
      <c r="W325" s="18" t="s">
        <v>800</v>
      </c>
      <c r="X325" s="18"/>
      <c r="Y325" s="27"/>
      <c r="Z325" s="27"/>
      <c r="AA325" s="27"/>
    </row>
    <row r="326" spans="1:27">
      <c r="A326" s="27"/>
      <c r="B326" s="27"/>
      <c r="C326" s="27"/>
      <c r="D326" s="27"/>
      <c r="E326" s="27"/>
      <c r="F326" s="27"/>
      <c r="G326" s="27"/>
      <c r="H326" s="27"/>
      <c r="I326" s="27"/>
      <c r="J326" s="27"/>
      <c r="K326" s="27"/>
      <c r="L326" s="27"/>
      <c r="M326" s="27"/>
      <c r="N326" s="27"/>
      <c r="O326" s="27"/>
      <c r="P326" s="27"/>
      <c r="Q326" s="27"/>
      <c r="R326" s="27"/>
      <c r="S326" s="27"/>
      <c r="T326" s="27"/>
      <c r="U326" s="27"/>
      <c r="V326" s="27"/>
      <c r="W326" s="18" t="s">
        <v>801</v>
      </c>
      <c r="X326" s="18"/>
      <c r="Y326" s="27"/>
      <c r="Z326" s="27"/>
      <c r="AA326" s="27"/>
    </row>
    <row r="327" spans="1:27">
      <c r="A327" s="27"/>
      <c r="B327" s="27"/>
      <c r="C327" s="27"/>
      <c r="D327" s="27"/>
      <c r="E327" s="27"/>
      <c r="F327" s="27"/>
      <c r="G327" s="27"/>
      <c r="H327" s="27"/>
      <c r="I327" s="27"/>
      <c r="J327" s="27"/>
      <c r="K327" s="27"/>
      <c r="L327" s="27"/>
      <c r="M327" s="27"/>
      <c r="N327" s="27"/>
      <c r="O327" s="27"/>
      <c r="P327" s="27"/>
      <c r="Q327" s="27"/>
      <c r="R327" s="27"/>
      <c r="S327" s="27"/>
      <c r="T327" s="27"/>
      <c r="U327" s="27"/>
      <c r="V327" s="27"/>
      <c r="W327" s="18" t="s">
        <v>802</v>
      </c>
      <c r="X327" s="18"/>
      <c r="Y327" s="27"/>
      <c r="Z327" s="27"/>
      <c r="AA327" s="27"/>
    </row>
    <row r="328" spans="1:27">
      <c r="A328" s="27"/>
      <c r="B328" s="27"/>
      <c r="C328" s="27"/>
      <c r="D328" s="27"/>
      <c r="E328" s="27"/>
      <c r="F328" s="27"/>
      <c r="G328" s="27"/>
      <c r="H328" s="27"/>
      <c r="I328" s="27"/>
      <c r="J328" s="27"/>
      <c r="K328" s="27"/>
      <c r="L328" s="27"/>
      <c r="M328" s="27"/>
      <c r="N328" s="27"/>
      <c r="O328" s="27"/>
      <c r="P328" s="27"/>
      <c r="Q328" s="27"/>
      <c r="R328" s="27"/>
      <c r="S328" s="27"/>
      <c r="T328" s="27"/>
      <c r="U328" s="27"/>
      <c r="V328" s="27"/>
      <c r="W328" s="18" t="s">
        <v>803</v>
      </c>
      <c r="X328" s="18"/>
      <c r="Y328" s="27"/>
      <c r="Z328" s="27"/>
      <c r="AA328" s="27"/>
    </row>
    <row r="329" spans="1:27">
      <c r="A329" s="27"/>
      <c r="B329" s="27"/>
      <c r="C329" s="27"/>
      <c r="D329" s="27"/>
      <c r="E329" s="27"/>
      <c r="F329" s="27"/>
      <c r="G329" s="27"/>
      <c r="H329" s="27"/>
      <c r="I329" s="27"/>
      <c r="J329" s="27"/>
      <c r="K329" s="27"/>
      <c r="L329" s="27"/>
      <c r="M329" s="27"/>
      <c r="N329" s="27"/>
      <c r="O329" s="27"/>
      <c r="P329" s="27"/>
      <c r="Q329" s="27"/>
      <c r="R329" s="27"/>
      <c r="S329" s="27"/>
      <c r="T329" s="27"/>
      <c r="U329" s="27"/>
      <c r="V329" s="27"/>
      <c r="W329" s="18" t="s">
        <v>804</v>
      </c>
      <c r="X329" s="18"/>
      <c r="Y329" s="27"/>
      <c r="Z329" s="27"/>
      <c r="AA329" s="27"/>
    </row>
    <row r="330" spans="1:27">
      <c r="A330" s="27"/>
      <c r="B330" s="27"/>
      <c r="C330" s="27"/>
      <c r="D330" s="27"/>
      <c r="E330" s="27"/>
      <c r="F330" s="27"/>
      <c r="G330" s="27"/>
      <c r="H330" s="27"/>
      <c r="I330" s="27"/>
      <c r="J330" s="27"/>
      <c r="K330" s="27"/>
      <c r="L330" s="27"/>
      <c r="M330" s="27"/>
      <c r="N330" s="27"/>
      <c r="O330" s="27"/>
      <c r="P330" s="27"/>
      <c r="Q330" s="27"/>
      <c r="R330" s="27"/>
      <c r="S330" s="27"/>
      <c r="T330" s="27"/>
      <c r="U330" s="27"/>
      <c r="V330" s="27"/>
      <c r="W330" s="18" t="s">
        <v>805</v>
      </c>
      <c r="X330" s="18"/>
      <c r="Y330" s="27"/>
      <c r="Z330" s="27"/>
      <c r="AA330" s="27"/>
    </row>
    <row r="331" spans="1:27">
      <c r="A331" s="27"/>
      <c r="B331" s="27"/>
      <c r="C331" s="27"/>
      <c r="D331" s="27"/>
      <c r="E331" s="27"/>
      <c r="F331" s="27"/>
      <c r="G331" s="27"/>
      <c r="H331" s="27"/>
      <c r="I331" s="27"/>
      <c r="J331" s="27"/>
      <c r="K331" s="27"/>
      <c r="L331" s="27"/>
      <c r="M331" s="27"/>
      <c r="N331" s="27"/>
      <c r="O331" s="27"/>
      <c r="P331" s="27"/>
      <c r="Q331" s="27"/>
      <c r="R331" s="27"/>
      <c r="S331" s="27"/>
      <c r="T331" s="27"/>
      <c r="U331" s="27"/>
      <c r="V331" s="27"/>
      <c r="W331" s="18" t="s">
        <v>806</v>
      </c>
      <c r="X331" s="18"/>
      <c r="Y331" s="27"/>
      <c r="Z331" s="27"/>
      <c r="AA331" s="27"/>
    </row>
    <row r="332" spans="1:27">
      <c r="A332" s="27"/>
      <c r="B332" s="27"/>
      <c r="C332" s="27"/>
      <c r="D332" s="27"/>
      <c r="E332" s="27"/>
      <c r="F332" s="27"/>
      <c r="G332" s="27"/>
      <c r="H332" s="27"/>
      <c r="I332" s="27"/>
      <c r="J332" s="27"/>
      <c r="K332" s="27"/>
      <c r="L332" s="27"/>
      <c r="M332" s="27"/>
      <c r="N332" s="27"/>
      <c r="O332" s="27"/>
      <c r="P332" s="27"/>
      <c r="Q332" s="27"/>
      <c r="R332" s="27"/>
      <c r="S332" s="27"/>
      <c r="T332" s="27"/>
      <c r="U332" s="27"/>
      <c r="V332" s="27"/>
      <c r="W332" s="18" t="s">
        <v>807</v>
      </c>
      <c r="X332" s="18"/>
      <c r="Y332" s="27"/>
      <c r="Z332" s="27"/>
      <c r="AA332" s="27"/>
    </row>
    <row r="333" spans="1:27">
      <c r="A333" s="27"/>
      <c r="B333" s="27"/>
      <c r="C333" s="27"/>
      <c r="D333" s="27"/>
      <c r="E333" s="27"/>
      <c r="F333" s="27"/>
      <c r="G333" s="27"/>
      <c r="H333" s="27"/>
      <c r="I333" s="27"/>
      <c r="J333" s="27"/>
      <c r="K333" s="27"/>
      <c r="L333" s="27"/>
      <c r="M333" s="27"/>
      <c r="N333" s="27"/>
      <c r="O333" s="27"/>
      <c r="P333" s="27"/>
      <c r="Q333" s="27"/>
      <c r="R333" s="27"/>
      <c r="S333" s="27"/>
      <c r="T333" s="27"/>
      <c r="U333" s="27"/>
      <c r="V333" s="27"/>
      <c r="W333" s="18" t="s">
        <v>808</v>
      </c>
      <c r="X333" s="18"/>
      <c r="Y333" s="27"/>
      <c r="Z333" s="27"/>
      <c r="AA333" s="27"/>
    </row>
    <row r="334" spans="1:27">
      <c r="A334" s="27"/>
      <c r="B334" s="27"/>
      <c r="C334" s="27"/>
      <c r="D334" s="27"/>
      <c r="E334" s="27"/>
      <c r="F334" s="27"/>
      <c r="G334" s="27"/>
      <c r="H334" s="27"/>
      <c r="I334" s="27"/>
      <c r="J334" s="27"/>
      <c r="K334" s="27"/>
      <c r="L334" s="27"/>
      <c r="M334" s="27"/>
      <c r="N334" s="27"/>
      <c r="O334" s="27"/>
      <c r="P334" s="27"/>
      <c r="Q334" s="27"/>
      <c r="R334" s="27"/>
      <c r="S334" s="27"/>
      <c r="T334" s="27"/>
      <c r="U334" s="27"/>
      <c r="V334" s="27"/>
      <c r="W334" s="18" t="s">
        <v>809</v>
      </c>
      <c r="X334" s="18"/>
      <c r="Y334" s="27"/>
      <c r="Z334" s="27"/>
      <c r="AA334" s="27"/>
    </row>
    <row r="335" spans="1:27">
      <c r="A335" s="27"/>
      <c r="B335" s="27"/>
      <c r="C335" s="27"/>
      <c r="D335" s="27"/>
      <c r="E335" s="27"/>
      <c r="F335" s="27"/>
      <c r="G335" s="27"/>
      <c r="H335" s="27"/>
      <c r="I335" s="27"/>
      <c r="J335" s="27"/>
      <c r="K335" s="27"/>
      <c r="L335" s="27"/>
      <c r="M335" s="27"/>
      <c r="N335" s="27"/>
      <c r="O335" s="27"/>
      <c r="P335" s="27"/>
      <c r="Q335" s="27"/>
      <c r="R335" s="27"/>
      <c r="S335" s="27"/>
      <c r="T335" s="27"/>
      <c r="U335" s="27"/>
      <c r="V335" s="27"/>
      <c r="W335" s="18" t="s">
        <v>810</v>
      </c>
      <c r="X335" s="18"/>
      <c r="Y335" s="27"/>
      <c r="Z335" s="27"/>
      <c r="AA335" s="27"/>
    </row>
    <row r="336" spans="1:27">
      <c r="A336" s="27"/>
      <c r="B336" s="27"/>
      <c r="C336" s="27"/>
      <c r="D336" s="27"/>
      <c r="E336" s="27"/>
      <c r="F336" s="27"/>
      <c r="G336" s="27"/>
      <c r="H336" s="27"/>
      <c r="I336" s="27"/>
      <c r="J336" s="27"/>
      <c r="K336" s="27"/>
      <c r="L336" s="27"/>
      <c r="M336" s="27"/>
      <c r="N336" s="27"/>
      <c r="O336" s="27"/>
      <c r="P336" s="27"/>
      <c r="Q336" s="27"/>
      <c r="R336" s="27"/>
      <c r="S336" s="27"/>
      <c r="T336" s="27"/>
      <c r="U336" s="27"/>
      <c r="V336" s="27"/>
      <c r="W336" s="18" t="s">
        <v>811</v>
      </c>
      <c r="X336" s="18"/>
      <c r="Y336" s="27"/>
      <c r="Z336" s="27"/>
      <c r="AA336" s="27"/>
    </row>
    <row r="337" spans="1:27">
      <c r="A337" s="27"/>
      <c r="B337" s="27"/>
      <c r="C337" s="27"/>
      <c r="D337" s="27"/>
      <c r="E337" s="27"/>
      <c r="F337" s="27"/>
      <c r="G337" s="27"/>
      <c r="H337" s="27"/>
      <c r="I337" s="27"/>
      <c r="J337" s="27"/>
      <c r="K337" s="27"/>
      <c r="L337" s="27"/>
      <c r="M337" s="27"/>
      <c r="N337" s="27"/>
      <c r="O337" s="27"/>
      <c r="P337" s="27"/>
      <c r="Q337" s="27"/>
      <c r="R337" s="27"/>
      <c r="S337" s="27"/>
      <c r="T337" s="27"/>
      <c r="U337" s="27"/>
      <c r="V337" s="27"/>
      <c r="W337" s="18" t="s">
        <v>812</v>
      </c>
      <c r="X337" s="18"/>
      <c r="Y337" s="27"/>
      <c r="Z337" s="27"/>
      <c r="AA337" s="27"/>
    </row>
    <row r="338" spans="1:27">
      <c r="A338" s="27"/>
      <c r="B338" s="27"/>
      <c r="C338" s="27"/>
      <c r="D338" s="27"/>
      <c r="E338" s="27"/>
      <c r="F338" s="27"/>
      <c r="G338" s="27"/>
      <c r="H338" s="27"/>
      <c r="I338" s="27"/>
      <c r="J338" s="27"/>
      <c r="K338" s="27"/>
      <c r="L338" s="27"/>
      <c r="M338" s="27"/>
      <c r="N338" s="27"/>
      <c r="O338" s="27"/>
      <c r="P338" s="27"/>
      <c r="Q338" s="27"/>
      <c r="R338" s="27"/>
      <c r="S338" s="27"/>
      <c r="T338" s="27"/>
      <c r="U338" s="27"/>
      <c r="V338" s="27"/>
      <c r="W338" s="18" t="s">
        <v>813</v>
      </c>
      <c r="X338" s="18"/>
      <c r="Y338" s="27"/>
      <c r="Z338" s="27"/>
      <c r="AA338" s="27"/>
    </row>
    <row r="339" spans="1:27">
      <c r="A339" s="27"/>
      <c r="B339" s="27"/>
      <c r="C339" s="27"/>
      <c r="D339" s="27"/>
      <c r="E339" s="27"/>
      <c r="F339" s="27"/>
      <c r="G339" s="27"/>
      <c r="H339" s="27"/>
      <c r="I339" s="27"/>
      <c r="J339" s="27"/>
      <c r="K339" s="27"/>
      <c r="L339" s="27"/>
      <c r="M339" s="27"/>
      <c r="N339" s="27"/>
      <c r="O339" s="27"/>
      <c r="P339" s="27"/>
      <c r="Q339" s="27"/>
      <c r="R339" s="27"/>
      <c r="S339" s="27"/>
      <c r="T339" s="27"/>
      <c r="U339" s="27"/>
      <c r="V339" s="27"/>
      <c r="W339" s="18" t="s">
        <v>814</v>
      </c>
      <c r="X339" s="18"/>
      <c r="Y339" s="27"/>
      <c r="Z339" s="27"/>
      <c r="AA339" s="27"/>
    </row>
    <row r="340" spans="1:27">
      <c r="A340" s="27"/>
      <c r="B340" s="27"/>
      <c r="C340" s="27"/>
      <c r="D340" s="27"/>
      <c r="E340" s="27"/>
      <c r="F340" s="27"/>
      <c r="G340" s="27"/>
      <c r="H340" s="27"/>
      <c r="I340" s="27"/>
      <c r="J340" s="27"/>
      <c r="K340" s="27"/>
      <c r="L340" s="27"/>
      <c r="M340" s="27"/>
      <c r="N340" s="27"/>
      <c r="O340" s="27"/>
      <c r="P340" s="27"/>
      <c r="Q340" s="27"/>
      <c r="R340" s="27"/>
      <c r="S340" s="27"/>
      <c r="T340" s="27"/>
      <c r="U340" s="27"/>
      <c r="V340" s="27"/>
      <c r="W340" s="18" t="s">
        <v>815</v>
      </c>
      <c r="X340" s="18"/>
      <c r="Y340" s="27"/>
      <c r="Z340" s="27"/>
      <c r="AA340" s="27"/>
    </row>
    <row r="341" spans="1:27">
      <c r="A341" s="27"/>
      <c r="B341" s="27"/>
      <c r="C341" s="27"/>
      <c r="D341" s="27"/>
      <c r="E341" s="27"/>
      <c r="F341" s="27"/>
      <c r="G341" s="27"/>
      <c r="H341" s="27"/>
      <c r="I341" s="27"/>
      <c r="J341" s="27"/>
      <c r="K341" s="27"/>
      <c r="L341" s="27"/>
      <c r="M341" s="27"/>
      <c r="N341" s="27"/>
      <c r="O341" s="27"/>
      <c r="P341" s="27"/>
      <c r="Q341" s="27"/>
      <c r="R341" s="27"/>
      <c r="S341" s="27"/>
      <c r="T341" s="27"/>
      <c r="U341" s="27"/>
      <c r="V341" s="27"/>
      <c r="W341" s="18" t="s">
        <v>816</v>
      </c>
      <c r="X341" s="18"/>
      <c r="Y341" s="27"/>
      <c r="Z341" s="27"/>
      <c r="AA341" s="27"/>
    </row>
    <row r="342" spans="1:27">
      <c r="A342" s="27"/>
      <c r="B342" s="27"/>
      <c r="C342" s="27"/>
      <c r="D342" s="27"/>
      <c r="E342" s="27"/>
      <c r="F342" s="27"/>
      <c r="G342" s="27"/>
      <c r="H342" s="27"/>
      <c r="I342" s="27"/>
      <c r="J342" s="27"/>
      <c r="K342" s="27"/>
      <c r="L342" s="27"/>
      <c r="M342" s="27"/>
      <c r="N342" s="27"/>
      <c r="O342" s="27"/>
      <c r="P342" s="27"/>
      <c r="Q342" s="27"/>
      <c r="R342" s="27"/>
      <c r="S342" s="27"/>
      <c r="T342" s="27"/>
      <c r="U342" s="27"/>
      <c r="V342" s="27"/>
      <c r="W342" s="18" t="s">
        <v>817</v>
      </c>
      <c r="X342" s="18"/>
      <c r="Y342" s="27"/>
      <c r="Z342" s="27"/>
      <c r="AA342" s="27"/>
    </row>
    <row r="343" spans="1:27">
      <c r="A343" s="27"/>
      <c r="B343" s="27"/>
      <c r="C343" s="27"/>
      <c r="D343" s="27"/>
      <c r="E343" s="27"/>
      <c r="F343" s="27"/>
      <c r="G343" s="27"/>
      <c r="H343" s="27"/>
      <c r="I343" s="27"/>
      <c r="J343" s="27"/>
      <c r="K343" s="27"/>
      <c r="L343" s="27"/>
      <c r="M343" s="27"/>
      <c r="N343" s="27"/>
      <c r="O343" s="27"/>
      <c r="P343" s="27"/>
      <c r="Q343" s="27"/>
      <c r="R343" s="27"/>
      <c r="S343" s="27"/>
      <c r="T343" s="27"/>
      <c r="U343" s="27"/>
      <c r="V343" s="27"/>
      <c r="W343" s="18" t="s">
        <v>818</v>
      </c>
      <c r="X343" s="18"/>
      <c r="Y343" s="27"/>
      <c r="Z343" s="27"/>
      <c r="AA343" s="27"/>
    </row>
    <row r="344" spans="1:27">
      <c r="A344" s="27"/>
      <c r="B344" s="27"/>
      <c r="C344" s="27"/>
      <c r="D344" s="27"/>
      <c r="E344" s="27"/>
      <c r="F344" s="27"/>
      <c r="G344" s="27"/>
      <c r="H344" s="27"/>
      <c r="I344" s="27"/>
      <c r="J344" s="27"/>
      <c r="K344" s="27"/>
      <c r="L344" s="27"/>
      <c r="M344" s="27"/>
      <c r="N344" s="27"/>
      <c r="O344" s="27"/>
      <c r="P344" s="27"/>
      <c r="Q344" s="27"/>
      <c r="R344" s="27"/>
      <c r="S344" s="27"/>
      <c r="T344" s="27"/>
      <c r="U344" s="27"/>
      <c r="V344" s="27"/>
      <c r="W344" s="18" t="s">
        <v>819</v>
      </c>
      <c r="X344" s="18"/>
      <c r="Y344" s="27"/>
      <c r="Z344" s="27"/>
      <c r="AA344" s="27"/>
    </row>
    <row r="345" spans="1:27">
      <c r="A345" s="27"/>
      <c r="B345" s="27"/>
      <c r="C345" s="27"/>
      <c r="D345" s="27"/>
      <c r="E345" s="27"/>
      <c r="F345" s="27"/>
      <c r="G345" s="27"/>
      <c r="H345" s="27"/>
      <c r="I345" s="27"/>
      <c r="J345" s="27"/>
      <c r="K345" s="27"/>
      <c r="L345" s="27"/>
      <c r="M345" s="27"/>
      <c r="N345" s="27"/>
      <c r="O345" s="27"/>
      <c r="P345" s="27"/>
      <c r="Q345" s="27"/>
      <c r="R345" s="27"/>
      <c r="S345" s="27"/>
      <c r="T345" s="27"/>
      <c r="U345" s="27"/>
      <c r="V345" s="27"/>
      <c r="W345" s="18" t="s">
        <v>820</v>
      </c>
      <c r="X345" s="18"/>
      <c r="Y345" s="27"/>
      <c r="Z345" s="27"/>
      <c r="AA345" s="27"/>
    </row>
    <row r="346" spans="1:27">
      <c r="A346" s="27"/>
      <c r="B346" s="27"/>
      <c r="C346" s="27"/>
      <c r="D346" s="27"/>
      <c r="E346" s="27"/>
      <c r="F346" s="27"/>
      <c r="G346" s="27"/>
      <c r="H346" s="27"/>
      <c r="I346" s="27"/>
      <c r="J346" s="27"/>
      <c r="K346" s="27"/>
      <c r="L346" s="27"/>
      <c r="M346" s="27"/>
      <c r="N346" s="27"/>
      <c r="O346" s="27"/>
      <c r="P346" s="27"/>
      <c r="Q346" s="27"/>
      <c r="R346" s="27"/>
      <c r="S346" s="27"/>
      <c r="T346" s="27"/>
      <c r="U346" s="27"/>
      <c r="V346" s="27"/>
      <c r="W346" s="18" t="s">
        <v>821</v>
      </c>
      <c r="X346" s="18"/>
      <c r="Y346" s="27"/>
      <c r="Z346" s="27"/>
      <c r="AA346" s="27"/>
    </row>
    <row r="347" spans="1:27">
      <c r="A347" s="27"/>
      <c r="B347" s="27"/>
      <c r="C347" s="27"/>
      <c r="D347" s="27"/>
      <c r="E347" s="27"/>
      <c r="F347" s="27"/>
      <c r="G347" s="27"/>
      <c r="H347" s="27"/>
      <c r="I347" s="27"/>
      <c r="J347" s="27"/>
      <c r="K347" s="27"/>
      <c r="L347" s="27"/>
      <c r="M347" s="27"/>
      <c r="N347" s="27"/>
      <c r="O347" s="27"/>
      <c r="P347" s="27"/>
      <c r="Q347" s="27"/>
      <c r="R347" s="27"/>
      <c r="S347" s="27"/>
      <c r="T347" s="27"/>
      <c r="U347" s="27"/>
      <c r="V347" s="27"/>
      <c r="W347" s="18" t="s">
        <v>822</v>
      </c>
      <c r="X347" s="18"/>
      <c r="Y347" s="27"/>
      <c r="Z347" s="27"/>
      <c r="AA347" s="27"/>
    </row>
    <row r="348" spans="1:27">
      <c r="A348" s="27"/>
      <c r="B348" s="27"/>
      <c r="C348" s="27"/>
      <c r="D348" s="27"/>
      <c r="E348" s="27"/>
      <c r="F348" s="27"/>
      <c r="G348" s="27"/>
      <c r="H348" s="27"/>
      <c r="I348" s="27"/>
      <c r="J348" s="27"/>
      <c r="K348" s="27"/>
      <c r="L348" s="27"/>
      <c r="M348" s="27"/>
      <c r="N348" s="27"/>
      <c r="O348" s="27"/>
      <c r="P348" s="27"/>
      <c r="Q348" s="27"/>
      <c r="R348" s="27"/>
      <c r="S348" s="27"/>
      <c r="T348" s="27"/>
      <c r="U348" s="27"/>
      <c r="V348" s="27"/>
      <c r="W348" s="18" t="s">
        <v>823</v>
      </c>
      <c r="X348" s="18"/>
      <c r="Y348" s="27"/>
      <c r="Z348" s="27"/>
      <c r="AA348" s="27"/>
    </row>
    <row r="349" spans="1:27">
      <c r="A349" s="27"/>
      <c r="B349" s="27"/>
      <c r="C349" s="27"/>
      <c r="D349" s="27"/>
      <c r="E349" s="27"/>
      <c r="F349" s="27"/>
      <c r="G349" s="27"/>
      <c r="H349" s="27"/>
      <c r="I349" s="27"/>
      <c r="J349" s="27"/>
      <c r="K349" s="27"/>
      <c r="L349" s="27"/>
      <c r="M349" s="27"/>
      <c r="N349" s="27"/>
      <c r="O349" s="27"/>
      <c r="P349" s="27"/>
      <c r="Q349" s="27"/>
      <c r="R349" s="27"/>
      <c r="S349" s="27"/>
      <c r="T349" s="27"/>
      <c r="U349" s="27"/>
      <c r="V349" s="27"/>
      <c r="W349" s="18" t="s">
        <v>824</v>
      </c>
      <c r="X349" s="18"/>
      <c r="Y349" s="27"/>
      <c r="Z349" s="27"/>
      <c r="AA349" s="27"/>
    </row>
    <row r="350" spans="1:27">
      <c r="A350" s="27"/>
      <c r="B350" s="27"/>
      <c r="C350" s="27"/>
      <c r="D350" s="27"/>
      <c r="E350" s="27"/>
      <c r="F350" s="27"/>
      <c r="G350" s="27"/>
      <c r="H350" s="27"/>
      <c r="I350" s="27"/>
      <c r="J350" s="27"/>
      <c r="K350" s="27"/>
      <c r="L350" s="27"/>
      <c r="M350" s="27"/>
      <c r="N350" s="27"/>
      <c r="O350" s="27"/>
      <c r="P350" s="27"/>
      <c r="Q350" s="27"/>
      <c r="R350" s="27"/>
      <c r="S350" s="27"/>
      <c r="T350" s="27"/>
      <c r="U350" s="27"/>
      <c r="V350" s="27"/>
      <c r="W350" s="18" t="s">
        <v>825</v>
      </c>
      <c r="X350" s="18"/>
      <c r="Y350" s="27"/>
      <c r="Z350" s="27"/>
      <c r="AA350" s="27"/>
    </row>
    <row r="351" spans="1:27">
      <c r="A351" s="27"/>
      <c r="B351" s="27"/>
      <c r="C351" s="27"/>
      <c r="D351" s="27"/>
      <c r="E351" s="27"/>
      <c r="F351" s="27"/>
      <c r="G351" s="27"/>
      <c r="H351" s="27"/>
      <c r="I351" s="27"/>
      <c r="J351" s="27"/>
      <c r="K351" s="27"/>
      <c r="L351" s="27"/>
      <c r="M351" s="27"/>
      <c r="N351" s="27"/>
      <c r="O351" s="27"/>
      <c r="P351" s="27"/>
      <c r="Q351" s="27"/>
      <c r="R351" s="27"/>
      <c r="S351" s="27"/>
      <c r="T351" s="27"/>
      <c r="U351" s="27"/>
      <c r="V351" s="27"/>
      <c r="W351" s="18" t="s">
        <v>826</v>
      </c>
      <c r="X351" s="18"/>
      <c r="Y351" s="27"/>
      <c r="Z351" s="27"/>
      <c r="AA351" s="27"/>
    </row>
    <row r="352" spans="1:27">
      <c r="A352" s="27"/>
      <c r="B352" s="27"/>
      <c r="C352" s="27"/>
      <c r="D352" s="27"/>
      <c r="E352" s="27"/>
      <c r="F352" s="27"/>
      <c r="G352" s="27"/>
      <c r="H352" s="27"/>
      <c r="I352" s="27"/>
      <c r="J352" s="27"/>
      <c r="K352" s="27"/>
      <c r="L352" s="27"/>
      <c r="M352" s="27"/>
      <c r="N352" s="27"/>
      <c r="O352" s="27"/>
      <c r="P352" s="27"/>
      <c r="Q352" s="27"/>
      <c r="R352" s="27"/>
      <c r="S352" s="27"/>
      <c r="T352" s="27"/>
      <c r="U352" s="27"/>
      <c r="V352" s="27"/>
      <c r="W352" s="18" t="s">
        <v>827</v>
      </c>
      <c r="X352" s="18"/>
      <c r="Y352" s="27"/>
      <c r="Z352" s="27"/>
      <c r="AA352" s="27"/>
    </row>
    <row r="353" spans="1:27">
      <c r="A353" s="27"/>
      <c r="B353" s="27"/>
      <c r="C353" s="27"/>
      <c r="D353" s="27"/>
      <c r="E353" s="27"/>
      <c r="F353" s="27"/>
      <c r="G353" s="27"/>
      <c r="H353" s="27"/>
      <c r="I353" s="27"/>
      <c r="J353" s="27"/>
      <c r="K353" s="27"/>
      <c r="L353" s="27"/>
      <c r="M353" s="27"/>
      <c r="N353" s="27"/>
      <c r="O353" s="27"/>
      <c r="P353" s="27"/>
      <c r="Q353" s="27"/>
      <c r="R353" s="27"/>
      <c r="S353" s="27"/>
      <c r="T353" s="27"/>
      <c r="U353" s="27"/>
      <c r="V353" s="27"/>
      <c r="W353" s="18" t="s">
        <v>828</v>
      </c>
      <c r="X353" s="18"/>
      <c r="Y353" s="27"/>
      <c r="Z353" s="27"/>
      <c r="AA353" s="27"/>
    </row>
    <row r="354" spans="1:27">
      <c r="A354" s="27"/>
      <c r="B354" s="27"/>
      <c r="C354" s="27"/>
      <c r="D354" s="27"/>
      <c r="E354" s="27"/>
      <c r="F354" s="27"/>
      <c r="G354" s="27"/>
      <c r="H354" s="27"/>
      <c r="I354" s="27"/>
      <c r="J354" s="27"/>
      <c r="K354" s="27"/>
      <c r="L354" s="27"/>
      <c r="M354" s="27"/>
      <c r="N354" s="27"/>
      <c r="O354" s="27"/>
      <c r="P354" s="27"/>
      <c r="Q354" s="27"/>
      <c r="R354" s="27"/>
      <c r="S354" s="27"/>
      <c r="T354" s="27"/>
      <c r="U354" s="27"/>
      <c r="V354" s="27"/>
      <c r="W354" s="18" t="s">
        <v>829</v>
      </c>
      <c r="X354" s="18"/>
      <c r="Y354" s="27"/>
      <c r="Z354" s="27"/>
      <c r="AA354" s="27"/>
    </row>
    <row r="355" spans="1:27">
      <c r="A355" s="27"/>
      <c r="B355" s="27"/>
      <c r="C355" s="27"/>
      <c r="D355" s="27"/>
      <c r="E355" s="27"/>
      <c r="F355" s="27"/>
      <c r="G355" s="27"/>
      <c r="H355" s="27"/>
      <c r="I355" s="27"/>
      <c r="J355" s="27"/>
      <c r="K355" s="27"/>
      <c r="L355" s="27"/>
      <c r="M355" s="27"/>
      <c r="N355" s="27"/>
      <c r="O355" s="27"/>
      <c r="P355" s="27"/>
      <c r="Q355" s="27"/>
      <c r="R355" s="27"/>
      <c r="S355" s="27"/>
      <c r="T355" s="27"/>
      <c r="U355" s="27"/>
      <c r="V355" s="27"/>
      <c r="W355" s="18" t="s">
        <v>830</v>
      </c>
      <c r="X355" s="18"/>
      <c r="Y355" s="27"/>
      <c r="Z355" s="27"/>
      <c r="AA355" s="27"/>
    </row>
    <row r="356" spans="1:27">
      <c r="A356" s="27"/>
      <c r="B356" s="27"/>
      <c r="C356" s="27"/>
      <c r="D356" s="27"/>
      <c r="E356" s="27"/>
      <c r="F356" s="27"/>
      <c r="G356" s="27"/>
      <c r="H356" s="27"/>
      <c r="I356" s="27"/>
      <c r="J356" s="27"/>
      <c r="K356" s="27"/>
      <c r="L356" s="27"/>
      <c r="M356" s="27"/>
      <c r="N356" s="27"/>
      <c r="O356" s="27"/>
      <c r="P356" s="27"/>
      <c r="Q356" s="27"/>
      <c r="R356" s="27"/>
      <c r="S356" s="27"/>
      <c r="T356" s="27"/>
      <c r="U356" s="27"/>
      <c r="V356" s="27"/>
      <c r="W356" s="18" t="s">
        <v>831</v>
      </c>
      <c r="X356" s="18"/>
      <c r="Y356" s="27"/>
      <c r="Z356" s="27"/>
      <c r="AA356" s="27"/>
    </row>
    <row r="357" spans="1:27">
      <c r="A357" s="27"/>
      <c r="B357" s="27"/>
      <c r="C357" s="27"/>
      <c r="D357" s="27"/>
      <c r="E357" s="27"/>
      <c r="F357" s="27"/>
      <c r="G357" s="27"/>
      <c r="H357" s="27"/>
      <c r="I357" s="27"/>
      <c r="J357" s="27"/>
      <c r="K357" s="27"/>
      <c r="L357" s="27"/>
      <c r="M357" s="27"/>
      <c r="N357" s="27"/>
      <c r="O357" s="27"/>
      <c r="P357" s="27"/>
      <c r="Q357" s="27"/>
      <c r="R357" s="27"/>
      <c r="S357" s="27"/>
      <c r="T357" s="27"/>
      <c r="U357" s="27"/>
      <c r="V357" s="27"/>
      <c r="W357" s="18" t="s">
        <v>832</v>
      </c>
      <c r="X357" s="18"/>
      <c r="Y357" s="27"/>
      <c r="Z357" s="27"/>
      <c r="AA357" s="27"/>
    </row>
    <row r="358" spans="1:27">
      <c r="A358" s="27"/>
      <c r="B358" s="27"/>
      <c r="C358" s="27"/>
      <c r="D358" s="27"/>
      <c r="E358" s="27"/>
      <c r="F358" s="27"/>
      <c r="G358" s="27"/>
      <c r="H358" s="27"/>
      <c r="I358" s="27"/>
      <c r="J358" s="27"/>
      <c r="K358" s="27"/>
      <c r="L358" s="27"/>
      <c r="M358" s="27"/>
      <c r="N358" s="27"/>
      <c r="O358" s="27"/>
      <c r="P358" s="27"/>
      <c r="Q358" s="27"/>
      <c r="R358" s="27"/>
      <c r="S358" s="27"/>
      <c r="T358" s="27"/>
      <c r="U358" s="27"/>
      <c r="V358" s="27"/>
      <c r="W358" s="18" t="s">
        <v>833</v>
      </c>
      <c r="X358" s="18"/>
      <c r="Y358" s="27"/>
      <c r="Z358" s="27"/>
      <c r="AA358" s="27"/>
    </row>
    <row r="359" spans="1:27">
      <c r="A359" s="27"/>
      <c r="B359" s="27"/>
      <c r="C359" s="27"/>
      <c r="D359" s="27"/>
      <c r="E359" s="27"/>
      <c r="F359" s="27"/>
      <c r="G359" s="27"/>
      <c r="H359" s="27"/>
      <c r="I359" s="27"/>
      <c r="J359" s="27"/>
      <c r="K359" s="27"/>
      <c r="L359" s="27"/>
      <c r="M359" s="27"/>
      <c r="N359" s="27"/>
      <c r="O359" s="27"/>
      <c r="P359" s="27"/>
      <c r="Q359" s="27"/>
      <c r="R359" s="27"/>
      <c r="S359" s="27"/>
      <c r="T359" s="27"/>
      <c r="U359" s="27"/>
      <c r="V359" s="27"/>
      <c r="W359" s="18" t="s">
        <v>834</v>
      </c>
      <c r="X359" s="18"/>
      <c r="Y359" s="27"/>
      <c r="Z359" s="27"/>
      <c r="AA359" s="27"/>
    </row>
    <row r="360" spans="1:27">
      <c r="A360" s="27"/>
      <c r="B360" s="27"/>
      <c r="C360" s="27"/>
      <c r="D360" s="27"/>
      <c r="E360" s="27"/>
      <c r="F360" s="27"/>
      <c r="G360" s="27"/>
      <c r="H360" s="27"/>
      <c r="I360" s="27"/>
      <c r="J360" s="27"/>
      <c r="K360" s="27"/>
      <c r="L360" s="27"/>
      <c r="M360" s="27"/>
      <c r="N360" s="27"/>
      <c r="O360" s="27"/>
      <c r="P360" s="27"/>
      <c r="Q360" s="27"/>
      <c r="R360" s="27"/>
      <c r="S360" s="27"/>
      <c r="T360" s="27"/>
      <c r="U360" s="27"/>
      <c r="V360" s="27"/>
      <c r="W360" s="18" t="s">
        <v>835</v>
      </c>
      <c r="X360" s="18"/>
      <c r="Y360" s="27"/>
      <c r="Z360" s="27"/>
      <c r="AA360" s="27"/>
    </row>
    <row r="361" spans="1:27">
      <c r="A361" s="27"/>
      <c r="B361" s="27"/>
      <c r="C361" s="27"/>
      <c r="D361" s="27"/>
      <c r="E361" s="27"/>
      <c r="F361" s="27"/>
      <c r="G361" s="27"/>
      <c r="H361" s="27"/>
      <c r="I361" s="27"/>
      <c r="J361" s="27"/>
      <c r="K361" s="27"/>
      <c r="L361" s="27"/>
      <c r="M361" s="27"/>
      <c r="N361" s="27"/>
      <c r="O361" s="27"/>
      <c r="P361" s="27"/>
      <c r="Q361" s="27"/>
      <c r="R361" s="27"/>
      <c r="S361" s="27"/>
      <c r="T361" s="27"/>
      <c r="U361" s="27"/>
      <c r="V361" s="27"/>
      <c r="W361" s="18" t="s">
        <v>836</v>
      </c>
      <c r="X361" s="18"/>
      <c r="Y361" s="27"/>
      <c r="Z361" s="27"/>
      <c r="AA361" s="27"/>
    </row>
    <row r="362" spans="1:27">
      <c r="A362" s="27"/>
      <c r="B362" s="27"/>
      <c r="C362" s="27"/>
      <c r="D362" s="27"/>
      <c r="E362" s="27"/>
      <c r="F362" s="27"/>
      <c r="G362" s="27"/>
      <c r="H362" s="27"/>
      <c r="I362" s="27"/>
      <c r="J362" s="27"/>
      <c r="K362" s="27"/>
      <c r="L362" s="27"/>
      <c r="M362" s="27"/>
      <c r="N362" s="27"/>
      <c r="O362" s="27"/>
      <c r="P362" s="27"/>
      <c r="Q362" s="27"/>
      <c r="R362" s="27"/>
      <c r="S362" s="27"/>
      <c r="T362" s="27"/>
      <c r="U362" s="27"/>
      <c r="V362" s="27"/>
      <c r="W362" s="18" t="s">
        <v>837</v>
      </c>
      <c r="X362" s="18"/>
      <c r="Y362" s="27"/>
      <c r="Z362" s="27"/>
      <c r="AA362" s="27"/>
    </row>
    <row r="363" spans="1:27">
      <c r="A363" s="27"/>
      <c r="B363" s="27"/>
      <c r="C363" s="27"/>
      <c r="D363" s="27"/>
      <c r="E363" s="27"/>
      <c r="F363" s="27"/>
      <c r="G363" s="27"/>
      <c r="H363" s="27"/>
      <c r="I363" s="27"/>
      <c r="J363" s="27"/>
      <c r="K363" s="27"/>
      <c r="L363" s="27"/>
      <c r="M363" s="27"/>
      <c r="N363" s="27"/>
      <c r="O363" s="27"/>
      <c r="P363" s="27"/>
      <c r="Q363" s="27"/>
      <c r="R363" s="27"/>
      <c r="S363" s="27"/>
      <c r="T363" s="27"/>
      <c r="U363" s="27"/>
      <c r="V363" s="27"/>
      <c r="W363" s="18" t="s">
        <v>838</v>
      </c>
      <c r="X363" s="18"/>
      <c r="Y363" s="27"/>
      <c r="Z363" s="27"/>
      <c r="AA363" s="27"/>
    </row>
    <row r="364" spans="1:27">
      <c r="A364" s="27"/>
      <c r="B364" s="27"/>
      <c r="C364" s="27"/>
      <c r="D364" s="27"/>
      <c r="E364" s="27"/>
      <c r="F364" s="27"/>
      <c r="G364" s="27"/>
      <c r="H364" s="27"/>
      <c r="I364" s="27"/>
      <c r="J364" s="27"/>
      <c r="K364" s="27"/>
      <c r="L364" s="27"/>
      <c r="M364" s="27"/>
      <c r="N364" s="27"/>
      <c r="O364" s="27"/>
      <c r="P364" s="27"/>
      <c r="Q364" s="27"/>
      <c r="R364" s="27"/>
      <c r="S364" s="27"/>
      <c r="T364" s="27"/>
      <c r="U364" s="27"/>
      <c r="V364" s="27"/>
      <c r="W364" s="18" t="s">
        <v>839</v>
      </c>
      <c r="X364" s="18"/>
      <c r="Y364" s="27"/>
      <c r="Z364" s="27"/>
      <c r="AA364" s="27"/>
    </row>
    <row r="365" spans="1:27">
      <c r="A365" s="27"/>
      <c r="B365" s="27"/>
      <c r="C365" s="27"/>
      <c r="D365" s="27"/>
      <c r="E365" s="27"/>
      <c r="F365" s="27"/>
      <c r="G365" s="27"/>
      <c r="H365" s="27"/>
      <c r="I365" s="27"/>
      <c r="J365" s="27"/>
      <c r="K365" s="27"/>
      <c r="L365" s="27"/>
      <c r="M365" s="27"/>
      <c r="N365" s="27"/>
      <c r="O365" s="27"/>
      <c r="P365" s="27"/>
      <c r="Q365" s="27"/>
      <c r="R365" s="27"/>
      <c r="S365" s="27"/>
      <c r="T365" s="27"/>
      <c r="U365" s="27"/>
      <c r="V365" s="27"/>
      <c r="W365" s="18" t="s">
        <v>840</v>
      </c>
      <c r="X365" s="18"/>
      <c r="Y365" s="27"/>
      <c r="Z365" s="27"/>
      <c r="AA365" s="27"/>
    </row>
    <row r="366" spans="1:27">
      <c r="A366" s="27"/>
      <c r="B366" s="27"/>
      <c r="C366" s="27"/>
      <c r="D366" s="27"/>
      <c r="E366" s="27"/>
      <c r="F366" s="27"/>
      <c r="G366" s="27"/>
      <c r="H366" s="27"/>
      <c r="I366" s="27"/>
      <c r="J366" s="27"/>
      <c r="K366" s="27"/>
      <c r="L366" s="27"/>
      <c r="M366" s="27"/>
      <c r="N366" s="27"/>
      <c r="O366" s="27"/>
      <c r="P366" s="27"/>
      <c r="Q366" s="27"/>
      <c r="R366" s="27"/>
      <c r="S366" s="27"/>
      <c r="T366" s="27"/>
      <c r="U366" s="27"/>
      <c r="V366" s="27"/>
      <c r="W366" s="18" t="s">
        <v>841</v>
      </c>
      <c r="X366" s="18"/>
      <c r="Y366" s="27"/>
      <c r="Z366" s="27"/>
      <c r="AA366" s="27"/>
    </row>
    <row r="367" spans="1:27">
      <c r="A367" s="27"/>
      <c r="B367" s="27"/>
      <c r="C367" s="27"/>
      <c r="D367" s="27"/>
      <c r="E367" s="27"/>
      <c r="F367" s="27"/>
      <c r="G367" s="27"/>
      <c r="H367" s="27"/>
      <c r="I367" s="27"/>
      <c r="J367" s="27"/>
      <c r="K367" s="27"/>
      <c r="L367" s="27"/>
      <c r="M367" s="27"/>
      <c r="N367" s="27"/>
      <c r="O367" s="27"/>
      <c r="P367" s="27"/>
      <c r="Q367" s="27"/>
      <c r="R367" s="27"/>
      <c r="S367" s="27"/>
      <c r="T367" s="27"/>
      <c r="U367" s="27"/>
      <c r="V367" s="27"/>
      <c r="W367" s="18" t="s">
        <v>842</v>
      </c>
      <c r="X367" s="18"/>
      <c r="Y367" s="27"/>
      <c r="Z367" s="27"/>
      <c r="AA367" s="27"/>
    </row>
    <row r="368" spans="1:27">
      <c r="A368" s="27"/>
      <c r="B368" s="27"/>
      <c r="C368" s="27"/>
      <c r="D368" s="27"/>
      <c r="E368" s="27"/>
      <c r="F368" s="27"/>
      <c r="G368" s="27"/>
      <c r="H368" s="27"/>
      <c r="I368" s="27"/>
      <c r="J368" s="27"/>
      <c r="K368" s="27"/>
      <c r="L368" s="27"/>
      <c r="M368" s="27"/>
      <c r="N368" s="27"/>
      <c r="O368" s="27"/>
      <c r="P368" s="27"/>
      <c r="Q368" s="27"/>
      <c r="R368" s="27"/>
      <c r="S368" s="27"/>
      <c r="T368" s="27"/>
      <c r="U368" s="27"/>
      <c r="V368" s="27"/>
      <c r="W368" s="18" t="s">
        <v>843</v>
      </c>
      <c r="X368" s="18"/>
      <c r="Y368" s="27"/>
      <c r="Z368" s="27"/>
      <c r="AA368" s="27"/>
    </row>
    <row r="369" spans="1:27">
      <c r="A369" s="27"/>
      <c r="B369" s="27"/>
      <c r="C369" s="27"/>
      <c r="D369" s="27"/>
      <c r="E369" s="27"/>
      <c r="F369" s="27"/>
      <c r="G369" s="27"/>
      <c r="H369" s="27"/>
      <c r="I369" s="27"/>
      <c r="J369" s="27"/>
      <c r="K369" s="27"/>
      <c r="L369" s="27"/>
      <c r="M369" s="27"/>
      <c r="N369" s="27"/>
      <c r="O369" s="27"/>
      <c r="P369" s="27"/>
      <c r="Q369" s="27"/>
      <c r="R369" s="27"/>
      <c r="S369" s="27"/>
      <c r="T369" s="27"/>
      <c r="U369" s="27"/>
      <c r="V369" s="27"/>
      <c r="W369" s="18" t="s">
        <v>844</v>
      </c>
      <c r="X369" s="18"/>
      <c r="Y369" s="27"/>
      <c r="Z369" s="27"/>
      <c r="AA369" s="27"/>
    </row>
    <row r="370" spans="1:27">
      <c r="A370" s="27"/>
      <c r="B370" s="27"/>
      <c r="C370" s="27"/>
      <c r="D370" s="27"/>
      <c r="E370" s="27"/>
      <c r="F370" s="27"/>
      <c r="G370" s="27"/>
      <c r="H370" s="27"/>
      <c r="I370" s="27"/>
      <c r="J370" s="27"/>
      <c r="K370" s="27"/>
      <c r="L370" s="27"/>
      <c r="M370" s="27"/>
      <c r="N370" s="27"/>
      <c r="O370" s="27"/>
      <c r="P370" s="27"/>
      <c r="Q370" s="27"/>
      <c r="R370" s="27"/>
      <c r="S370" s="27"/>
      <c r="T370" s="27"/>
      <c r="U370" s="27"/>
      <c r="V370" s="27"/>
      <c r="W370" s="18" t="s">
        <v>845</v>
      </c>
      <c r="X370" s="18"/>
      <c r="Y370" s="27"/>
      <c r="Z370" s="27"/>
      <c r="AA370" s="27"/>
    </row>
    <row r="371" spans="1:27">
      <c r="A371" s="27"/>
      <c r="B371" s="27"/>
      <c r="C371" s="27"/>
      <c r="D371" s="27"/>
      <c r="E371" s="27"/>
      <c r="F371" s="27"/>
      <c r="G371" s="27"/>
      <c r="H371" s="27"/>
      <c r="I371" s="27"/>
      <c r="J371" s="27"/>
      <c r="K371" s="27"/>
      <c r="L371" s="27"/>
      <c r="M371" s="27"/>
      <c r="N371" s="27"/>
      <c r="O371" s="27"/>
      <c r="P371" s="27"/>
      <c r="Q371" s="27"/>
      <c r="R371" s="27"/>
      <c r="S371" s="27"/>
      <c r="T371" s="27"/>
      <c r="U371" s="27"/>
      <c r="V371" s="27"/>
      <c r="W371" s="18" t="s">
        <v>846</v>
      </c>
      <c r="X371" s="18"/>
      <c r="Y371" s="27"/>
      <c r="Z371" s="27"/>
      <c r="AA371" s="27"/>
    </row>
    <row r="372" spans="1:27">
      <c r="A372" s="27"/>
      <c r="B372" s="27"/>
      <c r="C372" s="27"/>
      <c r="D372" s="27"/>
      <c r="E372" s="27"/>
      <c r="F372" s="27"/>
      <c r="G372" s="27"/>
      <c r="H372" s="27"/>
      <c r="I372" s="27"/>
      <c r="J372" s="27"/>
      <c r="K372" s="27"/>
      <c r="L372" s="27"/>
      <c r="M372" s="27"/>
      <c r="N372" s="27"/>
      <c r="O372" s="27"/>
      <c r="P372" s="27"/>
      <c r="Q372" s="27"/>
      <c r="R372" s="27"/>
      <c r="S372" s="27"/>
      <c r="T372" s="27"/>
      <c r="U372" s="27"/>
      <c r="V372" s="27"/>
      <c r="W372" s="18" t="s">
        <v>847</v>
      </c>
      <c r="X372" s="18"/>
      <c r="Y372" s="27"/>
      <c r="Z372" s="27"/>
      <c r="AA372" s="27"/>
    </row>
    <row r="373" spans="1:27">
      <c r="A373" s="27"/>
      <c r="B373" s="27"/>
      <c r="C373" s="27"/>
      <c r="D373" s="27"/>
      <c r="E373" s="27"/>
      <c r="F373" s="27"/>
      <c r="G373" s="27"/>
      <c r="H373" s="27"/>
      <c r="I373" s="27"/>
      <c r="J373" s="27"/>
      <c r="K373" s="27"/>
      <c r="L373" s="27"/>
      <c r="M373" s="27"/>
      <c r="N373" s="27"/>
      <c r="O373" s="27"/>
      <c r="P373" s="27"/>
      <c r="Q373" s="27"/>
      <c r="R373" s="27"/>
      <c r="S373" s="27"/>
      <c r="T373" s="27"/>
      <c r="U373" s="27"/>
      <c r="V373" s="27"/>
      <c r="W373" s="18" t="s">
        <v>848</v>
      </c>
      <c r="X373" s="18"/>
      <c r="Y373" s="27"/>
      <c r="Z373" s="27"/>
      <c r="AA373" s="27"/>
    </row>
    <row r="374" spans="1:27">
      <c r="A374" s="27"/>
      <c r="B374" s="27"/>
      <c r="C374" s="27"/>
      <c r="D374" s="27"/>
      <c r="E374" s="27"/>
      <c r="F374" s="27"/>
      <c r="G374" s="27"/>
      <c r="H374" s="27"/>
      <c r="I374" s="27"/>
      <c r="J374" s="27"/>
      <c r="K374" s="27"/>
      <c r="L374" s="27"/>
      <c r="M374" s="27"/>
      <c r="N374" s="27"/>
      <c r="O374" s="27"/>
      <c r="P374" s="27"/>
      <c r="Q374" s="27"/>
      <c r="R374" s="27"/>
      <c r="S374" s="27"/>
      <c r="T374" s="27"/>
      <c r="U374" s="27"/>
      <c r="V374" s="27"/>
      <c r="W374" s="18" t="s">
        <v>849</v>
      </c>
      <c r="X374" s="18"/>
      <c r="Y374" s="27"/>
      <c r="Z374" s="27"/>
      <c r="AA374" s="27"/>
    </row>
    <row r="375" spans="1:27">
      <c r="A375" s="27"/>
      <c r="B375" s="27"/>
      <c r="C375" s="27"/>
      <c r="D375" s="27"/>
      <c r="E375" s="27"/>
      <c r="F375" s="27"/>
      <c r="G375" s="27"/>
      <c r="H375" s="27"/>
      <c r="I375" s="27"/>
      <c r="J375" s="27"/>
      <c r="K375" s="27"/>
      <c r="L375" s="27"/>
      <c r="M375" s="27"/>
      <c r="N375" s="27"/>
      <c r="O375" s="27"/>
      <c r="P375" s="27"/>
      <c r="Q375" s="27"/>
      <c r="R375" s="27"/>
      <c r="S375" s="27"/>
      <c r="T375" s="27"/>
      <c r="U375" s="27"/>
      <c r="V375" s="27"/>
      <c r="W375" s="18" t="s">
        <v>850</v>
      </c>
      <c r="X375" s="18"/>
      <c r="Y375" s="27"/>
      <c r="Z375" s="27"/>
      <c r="AA375" s="27"/>
    </row>
    <row r="376" spans="1:27">
      <c r="A376" s="27"/>
      <c r="B376" s="27"/>
      <c r="C376" s="27"/>
      <c r="D376" s="27"/>
      <c r="E376" s="27"/>
      <c r="F376" s="27"/>
      <c r="G376" s="27"/>
      <c r="H376" s="27"/>
      <c r="I376" s="27"/>
      <c r="J376" s="27"/>
      <c r="K376" s="27"/>
      <c r="L376" s="27"/>
      <c r="M376" s="27"/>
      <c r="N376" s="27"/>
      <c r="O376" s="27"/>
      <c r="P376" s="27"/>
      <c r="Q376" s="27"/>
      <c r="R376" s="27"/>
      <c r="S376" s="27"/>
      <c r="T376" s="27"/>
      <c r="U376" s="27"/>
      <c r="V376" s="27"/>
      <c r="W376" s="18" t="s">
        <v>851</v>
      </c>
      <c r="X376" s="18"/>
      <c r="Y376" s="27"/>
      <c r="Z376" s="27"/>
      <c r="AA376" s="27"/>
    </row>
    <row r="377" spans="1:27">
      <c r="A377" s="27"/>
      <c r="B377" s="27"/>
      <c r="C377" s="27"/>
      <c r="D377" s="27"/>
      <c r="E377" s="27"/>
      <c r="F377" s="27"/>
      <c r="G377" s="27"/>
      <c r="H377" s="27"/>
      <c r="I377" s="27"/>
      <c r="J377" s="27"/>
      <c r="K377" s="27"/>
      <c r="L377" s="27"/>
      <c r="M377" s="27"/>
      <c r="N377" s="27"/>
      <c r="O377" s="27"/>
      <c r="P377" s="27"/>
      <c r="Q377" s="27"/>
      <c r="R377" s="27"/>
      <c r="S377" s="27"/>
      <c r="T377" s="27"/>
      <c r="U377" s="27"/>
      <c r="V377" s="27"/>
      <c r="W377" s="18" t="s">
        <v>852</v>
      </c>
      <c r="X377" s="18"/>
      <c r="Y377" s="27"/>
      <c r="Z377" s="27"/>
      <c r="AA377" s="27"/>
    </row>
    <row r="378" spans="1:27">
      <c r="A378" s="27"/>
      <c r="B378" s="27"/>
      <c r="C378" s="27"/>
      <c r="D378" s="27"/>
      <c r="E378" s="27"/>
      <c r="F378" s="27"/>
      <c r="G378" s="27"/>
      <c r="H378" s="27"/>
      <c r="I378" s="27"/>
      <c r="J378" s="27"/>
      <c r="K378" s="27"/>
      <c r="L378" s="27"/>
      <c r="M378" s="27"/>
      <c r="N378" s="27"/>
      <c r="O378" s="27"/>
      <c r="P378" s="27"/>
      <c r="Q378" s="27"/>
      <c r="R378" s="27"/>
      <c r="S378" s="27"/>
      <c r="T378" s="27"/>
      <c r="U378" s="27"/>
      <c r="V378" s="27"/>
      <c r="W378" s="18" t="s">
        <v>853</v>
      </c>
      <c r="X378" s="18"/>
      <c r="Y378" s="27"/>
      <c r="Z378" s="27"/>
      <c r="AA378" s="27"/>
    </row>
    <row r="379" spans="1:27">
      <c r="A379" s="27"/>
      <c r="B379" s="27"/>
      <c r="C379" s="27"/>
      <c r="D379" s="27"/>
      <c r="E379" s="27"/>
      <c r="F379" s="27"/>
      <c r="G379" s="27"/>
      <c r="H379" s="27"/>
      <c r="I379" s="27"/>
      <c r="J379" s="27"/>
      <c r="K379" s="27"/>
      <c r="L379" s="27"/>
      <c r="M379" s="27"/>
      <c r="N379" s="27"/>
      <c r="O379" s="27"/>
      <c r="P379" s="27"/>
      <c r="Q379" s="27"/>
      <c r="R379" s="27"/>
      <c r="S379" s="27"/>
      <c r="T379" s="27"/>
      <c r="U379" s="27"/>
      <c r="V379" s="27"/>
      <c r="W379" s="18" t="s">
        <v>854</v>
      </c>
      <c r="X379" s="18"/>
      <c r="Y379" s="27"/>
      <c r="Z379" s="27"/>
      <c r="AA379" s="27"/>
    </row>
    <row r="380" spans="1:27">
      <c r="A380" s="27"/>
      <c r="B380" s="27"/>
      <c r="C380" s="27"/>
      <c r="D380" s="27"/>
      <c r="E380" s="27"/>
      <c r="F380" s="27"/>
      <c r="G380" s="27"/>
      <c r="H380" s="27"/>
      <c r="I380" s="27"/>
      <c r="J380" s="27"/>
      <c r="K380" s="27"/>
      <c r="L380" s="27"/>
      <c r="M380" s="27"/>
      <c r="N380" s="27"/>
      <c r="O380" s="27"/>
      <c r="P380" s="27"/>
      <c r="Q380" s="27"/>
      <c r="R380" s="27"/>
      <c r="S380" s="27"/>
      <c r="T380" s="27"/>
      <c r="U380" s="27"/>
      <c r="V380" s="27"/>
      <c r="W380" s="18" t="s">
        <v>855</v>
      </c>
      <c r="X380" s="18"/>
      <c r="Y380" s="27"/>
      <c r="Z380" s="27"/>
      <c r="AA380" s="27"/>
    </row>
    <row r="381" spans="1:27">
      <c r="A381" s="27"/>
      <c r="B381" s="27"/>
      <c r="C381" s="27"/>
      <c r="D381" s="27"/>
      <c r="E381" s="27"/>
      <c r="F381" s="27"/>
      <c r="G381" s="27"/>
      <c r="H381" s="27"/>
      <c r="I381" s="27"/>
      <c r="J381" s="27"/>
      <c r="K381" s="27"/>
      <c r="L381" s="27"/>
      <c r="M381" s="27"/>
      <c r="N381" s="27"/>
      <c r="O381" s="27"/>
      <c r="P381" s="27"/>
      <c r="Q381" s="27"/>
      <c r="R381" s="27"/>
      <c r="S381" s="27"/>
      <c r="T381" s="27"/>
      <c r="U381" s="27"/>
      <c r="V381" s="27"/>
      <c r="W381" s="18" t="s">
        <v>856</v>
      </c>
      <c r="X381" s="18"/>
      <c r="Y381" s="27"/>
      <c r="Z381" s="27"/>
      <c r="AA381" s="27"/>
    </row>
    <row r="382" spans="1:27">
      <c r="A382" s="27"/>
      <c r="B382" s="27"/>
      <c r="C382" s="27"/>
      <c r="D382" s="27"/>
      <c r="E382" s="27"/>
      <c r="F382" s="27"/>
      <c r="G382" s="27"/>
      <c r="H382" s="27"/>
      <c r="I382" s="27"/>
      <c r="J382" s="27"/>
      <c r="K382" s="27"/>
      <c r="L382" s="27"/>
      <c r="M382" s="27"/>
      <c r="N382" s="27"/>
      <c r="O382" s="27"/>
      <c r="P382" s="27"/>
      <c r="Q382" s="27"/>
      <c r="R382" s="27"/>
      <c r="S382" s="27"/>
      <c r="T382" s="27"/>
      <c r="U382" s="27"/>
      <c r="V382" s="27"/>
      <c r="W382" s="18" t="s">
        <v>857</v>
      </c>
      <c r="X382" s="18"/>
      <c r="Y382" s="27"/>
      <c r="Z382" s="27"/>
      <c r="AA382" s="27"/>
    </row>
    <row r="383" spans="1:27">
      <c r="A383" s="27"/>
      <c r="B383" s="27"/>
      <c r="C383" s="27"/>
      <c r="D383" s="27"/>
      <c r="E383" s="27"/>
      <c r="F383" s="27"/>
      <c r="G383" s="27"/>
      <c r="H383" s="27"/>
      <c r="I383" s="27"/>
      <c r="J383" s="27"/>
      <c r="K383" s="27"/>
      <c r="L383" s="27"/>
      <c r="M383" s="27"/>
      <c r="N383" s="27"/>
      <c r="O383" s="27"/>
      <c r="P383" s="27"/>
      <c r="Q383" s="27"/>
      <c r="R383" s="27"/>
      <c r="S383" s="27"/>
      <c r="T383" s="27"/>
      <c r="U383" s="27"/>
      <c r="V383" s="27"/>
      <c r="W383" s="18" t="s">
        <v>858</v>
      </c>
      <c r="X383" s="18"/>
      <c r="Y383" s="27"/>
      <c r="Z383" s="27"/>
      <c r="AA383" s="27"/>
    </row>
    <row r="384" spans="1:27">
      <c r="A384" s="27"/>
      <c r="B384" s="27"/>
      <c r="C384" s="27"/>
      <c r="D384" s="27"/>
      <c r="E384" s="27"/>
      <c r="F384" s="27"/>
      <c r="G384" s="27"/>
      <c r="H384" s="27"/>
      <c r="I384" s="27"/>
      <c r="J384" s="27"/>
      <c r="K384" s="27"/>
      <c r="L384" s="27"/>
      <c r="M384" s="27"/>
      <c r="N384" s="27"/>
      <c r="O384" s="27"/>
      <c r="P384" s="27"/>
      <c r="Q384" s="27"/>
      <c r="R384" s="27"/>
      <c r="S384" s="27"/>
      <c r="T384" s="27"/>
      <c r="U384" s="27"/>
      <c r="V384" s="27"/>
      <c r="W384" s="18" t="s">
        <v>859</v>
      </c>
      <c r="X384" s="18"/>
      <c r="Y384" s="27"/>
      <c r="Z384" s="27"/>
      <c r="AA384" s="27"/>
    </row>
    <row r="385" spans="1:27">
      <c r="A385" s="27"/>
      <c r="B385" s="27"/>
      <c r="C385" s="27"/>
      <c r="D385" s="27"/>
      <c r="E385" s="27"/>
      <c r="F385" s="27"/>
      <c r="G385" s="27"/>
      <c r="H385" s="27"/>
      <c r="I385" s="27"/>
      <c r="J385" s="27"/>
      <c r="K385" s="27"/>
      <c r="L385" s="27"/>
      <c r="M385" s="27"/>
      <c r="N385" s="27"/>
      <c r="O385" s="27"/>
      <c r="P385" s="27"/>
      <c r="Q385" s="27"/>
      <c r="R385" s="27"/>
      <c r="S385" s="27"/>
      <c r="T385" s="27"/>
      <c r="U385" s="27"/>
      <c r="V385" s="27"/>
      <c r="W385" s="18" t="s">
        <v>860</v>
      </c>
      <c r="X385" s="18"/>
      <c r="Y385" s="27"/>
      <c r="Z385" s="27"/>
      <c r="AA385" s="27"/>
    </row>
    <row r="386" spans="1:27">
      <c r="A386" s="27"/>
      <c r="B386" s="27"/>
      <c r="C386" s="27"/>
      <c r="D386" s="27"/>
      <c r="E386" s="27"/>
      <c r="F386" s="27"/>
      <c r="G386" s="27"/>
      <c r="H386" s="27"/>
      <c r="I386" s="27"/>
      <c r="J386" s="27"/>
      <c r="K386" s="27"/>
      <c r="L386" s="27"/>
      <c r="M386" s="27"/>
      <c r="N386" s="27"/>
      <c r="O386" s="27"/>
      <c r="P386" s="27"/>
      <c r="Q386" s="27"/>
      <c r="R386" s="27"/>
      <c r="S386" s="27"/>
      <c r="T386" s="27"/>
      <c r="U386" s="27"/>
      <c r="V386" s="27"/>
      <c r="W386" s="18" t="s">
        <v>861</v>
      </c>
      <c r="X386" s="18"/>
      <c r="Y386" s="27"/>
      <c r="Z386" s="27"/>
      <c r="AA386" s="27"/>
    </row>
    <row r="387" spans="1:27">
      <c r="A387" s="27"/>
      <c r="B387" s="27"/>
      <c r="C387" s="27"/>
      <c r="D387" s="27"/>
      <c r="E387" s="27"/>
      <c r="F387" s="27"/>
      <c r="G387" s="27"/>
      <c r="H387" s="27"/>
      <c r="I387" s="27"/>
      <c r="J387" s="27"/>
      <c r="K387" s="27"/>
      <c r="L387" s="27"/>
      <c r="M387" s="27"/>
      <c r="N387" s="27"/>
      <c r="O387" s="27"/>
      <c r="P387" s="27"/>
      <c r="Q387" s="27"/>
      <c r="R387" s="27"/>
      <c r="S387" s="27"/>
      <c r="T387" s="27"/>
      <c r="U387" s="27"/>
      <c r="V387" s="27"/>
      <c r="W387" s="18" t="s">
        <v>862</v>
      </c>
      <c r="X387" s="18"/>
      <c r="Y387" s="27"/>
      <c r="Z387" s="27"/>
      <c r="AA387" s="27"/>
    </row>
    <row r="388" spans="1:27">
      <c r="A388" s="27"/>
      <c r="B388" s="27"/>
      <c r="C388" s="27"/>
      <c r="D388" s="27"/>
      <c r="E388" s="27"/>
      <c r="F388" s="27"/>
      <c r="G388" s="27"/>
      <c r="H388" s="27"/>
      <c r="I388" s="27"/>
      <c r="J388" s="27"/>
      <c r="K388" s="27"/>
      <c r="L388" s="27"/>
      <c r="M388" s="27"/>
      <c r="N388" s="27"/>
      <c r="O388" s="27"/>
      <c r="P388" s="27"/>
      <c r="Q388" s="27"/>
      <c r="R388" s="27"/>
      <c r="S388" s="27"/>
      <c r="T388" s="27"/>
      <c r="U388" s="27"/>
      <c r="V388" s="27"/>
      <c r="W388" s="18" t="s">
        <v>863</v>
      </c>
      <c r="X388" s="18"/>
      <c r="Y388" s="27"/>
      <c r="Z388" s="27"/>
      <c r="AA388" s="27"/>
    </row>
    <row r="389" spans="1:27">
      <c r="A389" s="27"/>
      <c r="B389" s="27"/>
      <c r="C389" s="27"/>
      <c r="D389" s="27"/>
      <c r="E389" s="27"/>
      <c r="F389" s="27"/>
      <c r="G389" s="27"/>
      <c r="H389" s="27"/>
      <c r="I389" s="27"/>
      <c r="J389" s="27"/>
      <c r="K389" s="27"/>
      <c r="L389" s="27"/>
      <c r="M389" s="27"/>
      <c r="N389" s="27"/>
      <c r="O389" s="27"/>
      <c r="P389" s="27"/>
      <c r="Q389" s="27"/>
      <c r="R389" s="27"/>
      <c r="S389" s="27"/>
      <c r="T389" s="27"/>
      <c r="U389" s="27"/>
      <c r="V389" s="27"/>
      <c r="W389" s="18" t="s">
        <v>864</v>
      </c>
      <c r="X389" s="18"/>
      <c r="Y389" s="27"/>
      <c r="Z389" s="27"/>
      <c r="AA389" s="27"/>
    </row>
    <row r="390" spans="1:27">
      <c r="A390" s="27"/>
      <c r="B390" s="27"/>
      <c r="C390" s="27"/>
      <c r="D390" s="27"/>
      <c r="E390" s="27"/>
      <c r="F390" s="27"/>
      <c r="G390" s="27"/>
      <c r="H390" s="27"/>
      <c r="I390" s="27"/>
      <c r="J390" s="27"/>
      <c r="K390" s="27"/>
      <c r="L390" s="27"/>
      <c r="M390" s="27"/>
      <c r="N390" s="27"/>
      <c r="O390" s="27"/>
      <c r="P390" s="27"/>
      <c r="Q390" s="27"/>
      <c r="R390" s="27"/>
      <c r="S390" s="27"/>
      <c r="T390" s="27"/>
      <c r="U390" s="27"/>
      <c r="V390" s="27"/>
      <c r="W390" s="18" t="s">
        <v>865</v>
      </c>
      <c r="X390" s="18"/>
      <c r="Y390" s="27"/>
      <c r="Z390" s="27"/>
      <c r="AA390" s="27"/>
    </row>
    <row r="391" spans="1:27">
      <c r="A391" s="27"/>
      <c r="B391" s="27"/>
      <c r="C391" s="27"/>
      <c r="D391" s="27"/>
      <c r="E391" s="27"/>
      <c r="F391" s="27"/>
      <c r="G391" s="27"/>
      <c r="H391" s="27"/>
      <c r="I391" s="27"/>
      <c r="J391" s="27"/>
      <c r="K391" s="27"/>
      <c r="L391" s="27"/>
      <c r="M391" s="27"/>
      <c r="N391" s="27"/>
      <c r="O391" s="27"/>
      <c r="P391" s="27"/>
      <c r="Q391" s="27"/>
      <c r="R391" s="27"/>
      <c r="S391" s="27"/>
      <c r="T391" s="27"/>
      <c r="U391" s="27"/>
      <c r="V391" s="27"/>
      <c r="W391" s="18" t="s">
        <v>866</v>
      </c>
      <c r="X391" s="18"/>
      <c r="Y391" s="27"/>
      <c r="Z391" s="27"/>
      <c r="AA391" s="27"/>
    </row>
    <row r="392" spans="1:27">
      <c r="A392" s="27"/>
      <c r="B392" s="27"/>
      <c r="C392" s="27"/>
      <c r="D392" s="27"/>
      <c r="E392" s="27"/>
      <c r="F392" s="27"/>
      <c r="G392" s="27"/>
      <c r="H392" s="27"/>
      <c r="I392" s="27"/>
      <c r="J392" s="27"/>
      <c r="K392" s="27"/>
      <c r="L392" s="27"/>
      <c r="M392" s="27"/>
      <c r="N392" s="27"/>
      <c r="O392" s="27"/>
      <c r="P392" s="27"/>
      <c r="Q392" s="27"/>
      <c r="R392" s="27"/>
      <c r="S392" s="27"/>
      <c r="T392" s="27"/>
      <c r="U392" s="27"/>
      <c r="V392" s="27"/>
      <c r="W392" s="18" t="s">
        <v>867</v>
      </c>
      <c r="X392" s="18"/>
      <c r="Y392" s="27"/>
      <c r="Z392" s="27"/>
      <c r="AA392" s="27"/>
    </row>
    <row r="393" spans="1:27">
      <c r="A393" s="27"/>
      <c r="B393" s="27"/>
      <c r="C393" s="27"/>
      <c r="D393" s="27"/>
      <c r="E393" s="27"/>
      <c r="F393" s="27"/>
      <c r="G393" s="27"/>
      <c r="H393" s="27"/>
      <c r="I393" s="27"/>
      <c r="J393" s="27"/>
      <c r="K393" s="27"/>
      <c r="L393" s="27"/>
      <c r="M393" s="27"/>
      <c r="N393" s="27"/>
      <c r="O393" s="27"/>
      <c r="P393" s="27"/>
      <c r="Q393" s="27"/>
      <c r="R393" s="27"/>
      <c r="S393" s="27"/>
      <c r="T393" s="27"/>
      <c r="U393" s="27"/>
      <c r="V393" s="27"/>
      <c r="W393" s="18" t="s">
        <v>868</v>
      </c>
      <c r="X393" s="18"/>
      <c r="Y393" s="27"/>
      <c r="Z393" s="27"/>
      <c r="AA393" s="27"/>
    </row>
    <row r="394" spans="1:27">
      <c r="A394" s="27"/>
      <c r="B394" s="27"/>
      <c r="C394" s="27"/>
      <c r="D394" s="27"/>
      <c r="E394" s="27"/>
      <c r="F394" s="27"/>
      <c r="G394" s="27"/>
      <c r="H394" s="27"/>
      <c r="I394" s="27"/>
      <c r="J394" s="27"/>
      <c r="K394" s="27"/>
      <c r="L394" s="27"/>
      <c r="M394" s="27"/>
      <c r="N394" s="27"/>
      <c r="O394" s="27"/>
      <c r="P394" s="27"/>
      <c r="Q394" s="27"/>
      <c r="R394" s="27"/>
      <c r="S394" s="27"/>
      <c r="T394" s="27"/>
      <c r="U394" s="27"/>
      <c r="V394" s="27"/>
      <c r="W394" s="18" t="s">
        <v>869</v>
      </c>
      <c r="X394" s="18"/>
      <c r="Y394" s="27"/>
      <c r="Z394" s="27"/>
      <c r="AA394" s="27"/>
    </row>
    <row r="395" spans="1:27">
      <c r="A395" s="27"/>
      <c r="B395" s="27"/>
      <c r="C395" s="27"/>
      <c r="D395" s="27"/>
      <c r="E395" s="27"/>
      <c r="F395" s="27"/>
      <c r="G395" s="27"/>
      <c r="H395" s="27"/>
      <c r="I395" s="27"/>
      <c r="J395" s="27"/>
      <c r="K395" s="27"/>
      <c r="L395" s="27"/>
      <c r="M395" s="27"/>
      <c r="N395" s="27"/>
      <c r="O395" s="27"/>
      <c r="P395" s="27"/>
      <c r="Q395" s="27"/>
      <c r="R395" s="27"/>
      <c r="S395" s="27"/>
      <c r="T395" s="27"/>
      <c r="U395" s="27"/>
      <c r="V395" s="27"/>
      <c r="W395" s="18" t="s">
        <v>870</v>
      </c>
      <c r="X395" s="18"/>
      <c r="Y395" s="27"/>
      <c r="Z395" s="27"/>
      <c r="AA395" s="27"/>
    </row>
    <row r="396" spans="1:27">
      <c r="A396" s="27"/>
      <c r="B396" s="27"/>
      <c r="C396" s="27"/>
      <c r="D396" s="27"/>
      <c r="E396" s="27"/>
      <c r="F396" s="27"/>
      <c r="G396" s="27"/>
      <c r="H396" s="27"/>
      <c r="I396" s="27"/>
      <c r="J396" s="27"/>
      <c r="K396" s="27"/>
      <c r="L396" s="27"/>
      <c r="M396" s="27"/>
      <c r="N396" s="27"/>
      <c r="O396" s="27"/>
      <c r="P396" s="27"/>
      <c r="Q396" s="27"/>
      <c r="R396" s="27"/>
      <c r="S396" s="27"/>
      <c r="T396" s="27"/>
      <c r="U396" s="27"/>
      <c r="V396" s="27"/>
      <c r="W396" s="18" t="s">
        <v>871</v>
      </c>
      <c r="X396" s="18"/>
      <c r="Y396" s="27"/>
      <c r="Z396" s="27"/>
      <c r="AA396" s="27"/>
    </row>
    <row r="397" spans="1:27">
      <c r="A397" s="27"/>
      <c r="B397" s="27"/>
      <c r="C397" s="27"/>
      <c r="D397" s="27"/>
      <c r="E397" s="27"/>
      <c r="F397" s="27"/>
      <c r="G397" s="27"/>
      <c r="H397" s="27"/>
      <c r="I397" s="27"/>
      <c r="J397" s="27"/>
      <c r="K397" s="27"/>
      <c r="L397" s="27"/>
      <c r="M397" s="27"/>
      <c r="N397" s="27"/>
      <c r="O397" s="27"/>
      <c r="P397" s="27"/>
      <c r="Q397" s="27"/>
      <c r="R397" s="27"/>
      <c r="S397" s="27"/>
      <c r="T397" s="27"/>
      <c r="U397" s="27"/>
      <c r="V397" s="27"/>
      <c r="W397" s="18" t="s">
        <v>872</v>
      </c>
      <c r="X397" s="18"/>
      <c r="Y397" s="27"/>
      <c r="Z397" s="27"/>
      <c r="AA397" s="27"/>
    </row>
    <row r="398" spans="1:27">
      <c r="A398" s="27"/>
      <c r="B398" s="27"/>
      <c r="C398" s="27"/>
      <c r="D398" s="27"/>
      <c r="E398" s="27"/>
      <c r="F398" s="27"/>
      <c r="G398" s="27"/>
      <c r="H398" s="27"/>
      <c r="I398" s="27"/>
      <c r="J398" s="27"/>
      <c r="K398" s="27"/>
      <c r="L398" s="27"/>
      <c r="M398" s="27"/>
      <c r="N398" s="27"/>
      <c r="O398" s="27"/>
      <c r="P398" s="27"/>
      <c r="Q398" s="27"/>
      <c r="R398" s="27"/>
      <c r="S398" s="27"/>
      <c r="T398" s="27"/>
      <c r="U398" s="27"/>
      <c r="V398" s="27"/>
      <c r="W398" s="18" t="s">
        <v>873</v>
      </c>
      <c r="X398" s="18"/>
      <c r="Y398" s="27"/>
      <c r="Z398" s="27"/>
      <c r="AA398" s="27"/>
    </row>
    <row r="399" spans="1:27">
      <c r="A399" s="27"/>
      <c r="B399" s="27"/>
      <c r="C399" s="27"/>
      <c r="D399" s="27"/>
      <c r="E399" s="27"/>
      <c r="F399" s="27"/>
      <c r="G399" s="27"/>
      <c r="H399" s="27"/>
      <c r="I399" s="27"/>
      <c r="J399" s="27"/>
      <c r="K399" s="27"/>
      <c r="L399" s="27"/>
      <c r="M399" s="27"/>
      <c r="N399" s="27"/>
      <c r="O399" s="27"/>
      <c r="P399" s="27"/>
      <c r="Q399" s="27"/>
      <c r="R399" s="27"/>
      <c r="S399" s="27"/>
      <c r="T399" s="27"/>
      <c r="U399" s="27"/>
      <c r="V399" s="27"/>
      <c r="W399" s="18" t="s">
        <v>874</v>
      </c>
      <c r="X399" s="18"/>
      <c r="Y399" s="27"/>
      <c r="Z399" s="27"/>
      <c r="AA399" s="27"/>
    </row>
    <row r="400" spans="1:27">
      <c r="A400" s="27"/>
      <c r="B400" s="27"/>
      <c r="C400" s="27"/>
      <c r="D400" s="27"/>
      <c r="E400" s="27"/>
      <c r="F400" s="27"/>
      <c r="G400" s="27"/>
      <c r="H400" s="27"/>
      <c r="I400" s="27"/>
      <c r="J400" s="27"/>
      <c r="K400" s="27"/>
      <c r="L400" s="27"/>
      <c r="M400" s="27"/>
      <c r="N400" s="27"/>
      <c r="O400" s="27"/>
      <c r="P400" s="27"/>
      <c r="Q400" s="27"/>
      <c r="R400" s="27"/>
      <c r="S400" s="27"/>
      <c r="T400" s="27"/>
      <c r="U400" s="27"/>
      <c r="V400" s="27"/>
      <c r="W400" s="18" t="s">
        <v>875</v>
      </c>
      <c r="X400" s="18"/>
      <c r="Y400" s="27"/>
      <c r="Z400" s="27"/>
      <c r="AA400" s="27"/>
    </row>
    <row r="401" spans="1:27">
      <c r="A401" s="27"/>
      <c r="B401" s="27"/>
      <c r="C401" s="27"/>
      <c r="D401" s="27"/>
      <c r="E401" s="27"/>
      <c r="F401" s="27"/>
      <c r="G401" s="27"/>
      <c r="H401" s="27"/>
      <c r="I401" s="27"/>
      <c r="J401" s="27"/>
      <c r="K401" s="27"/>
      <c r="L401" s="27"/>
      <c r="M401" s="27"/>
      <c r="N401" s="27"/>
      <c r="O401" s="27"/>
      <c r="P401" s="27"/>
      <c r="Q401" s="27"/>
      <c r="R401" s="27"/>
      <c r="S401" s="27"/>
      <c r="T401" s="27"/>
      <c r="U401" s="27"/>
      <c r="V401" s="27"/>
      <c r="W401" s="18" t="s">
        <v>876</v>
      </c>
      <c r="X401" s="18"/>
      <c r="Y401" s="27"/>
      <c r="Z401" s="27"/>
      <c r="AA401" s="27"/>
    </row>
    <row r="402" spans="1:27">
      <c r="A402" s="27"/>
      <c r="B402" s="27"/>
      <c r="C402" s="27"/>
      <c r="D402" s="27"/>
      <c r="E402" s="27"/>
      <c r="F402" s="27"/>
      <c r="G402" s="27"/>
      <c r="H402" s="27"/>
      <c r="I402" s="27"/>
      <c r="J402" s="27"/>
      <c r="K402" s="27"/>
      <c r="L402" s="27"/>
      <c r="M402" s="27"/>
      <c r="N402" s="27"/>
      <c r="O402" s="27"/>
      <c r="P402" s="27"/>
      <c r="Q402" s="27"/>
      <c r="R402" s="27"/>
      <c r="S402" s="27"/>
      <c r="T402" s="27"/>
      <c r="U402" s="27"/>
      <c r="V402" s="27"/>
      <c r="W402" s="18" t="s">
        <v>877</v>
      </c>
      <c r="X402" s="18"/>
      <c r="Y402" s="27"/>
      <c r="Z402" s="27"/>
      <c r="AA402" s="27"/>
    </row>
    <row r="403" spans="1:27">
      <c r="A403" s="27"/>
      <c r="B403" s="27"/>
      <c r="C403" s="27"/>
      <c r="D403" s="27"/>
      <c r="E403" s="27"/>
      <c r="F403" s="27"/>
      <c r="G403" s="27"/>
      <c r="H403" s="27"/>
      <c r="I403" s="27"/>
      <c r="J403" s="27"/>
      <c r="K403" s="27"/>
      <c r="L403" s="27"/>
      <c r="M403" s="27"/>
      <c r="N403" s="27"/>
      <c r="O403" s="27"/>
      <c r="P403" s="27"/>
      <c r="Q403" s="27"/>
      <c r="R403" s="27"/>
      <c r="S403" s="27"/>
      <c r="T403" s="27"/>
      <c r="U403" s="27"/>
      <c r="V403" s="27"/>
      <c r="W403" s="18" t="s">
        <v>878</v>
      </c>
      <c r="X403" s="18"/>
      <c r="Y403" s="27"/>
      <c r="Z403" s="27"/>
      <c r="AA403" s="27"/>
    </row>
    <row r="404" spans="1:27">
      <c r="A404" s="27"/>
      <c r="B404" s="27"/>
      <c r="C404" s="27"/>
      <c r="D404" s="27"/>
      <c r="E404" s="27"/>
      <c r="F404" s="27"/>
      <c r="G404" s="27"/>
      <c r="H404" s="27"/>
      <c r="I404" s="27"/>
      <c r="J404" s="27"/>
      <c r="K404" s="27"/>
      <c r="L404" s="27"/>
      <c r="M404" s="27"/>
      <c r="N404" s="27"/>
      <c r="O404" s="27"/>
      <c r="P404" s="27"/>
      <c r="Q404" s="27"/>
      <c r="R404" s="27"/>
      <c r="S404" s="27"/>
      <c r="T404" s="27"/>
      <c r="U404" s="27"/>
      <c r="V404" s="27"/>
      <c r="W404" s="18" t="s">
        <v>879</v>
      </c>
      <c r="X404" s="18"/>
      <c r="Y404" s="27"/>
      <c r="Z404" s="27"/>
      <c r="AA404" s="27"/>
    </row>
    <row r="405" spans="1:27">
      <c r="A405" s="27"/>
      <c r="B405" s="27"/>
      <c r="C405" s="27"/>
      <c r="D405" s="27"/>
      <c r="E405" s="27"/>
      <c r="F405" s="27"/>
      <c r="G405" s="27"/>
      <c r="H405" s="27"/>
      <c r="I405" s="27"/>
      <c r="J405" s="27"/>
      <c r="K405" s="27"/>
      <c r="L405" s="27"/>
      <c r="M405" s="27"/>
      <c r="N405" s="27"/>
      <c r="O405" s="27"/>
      <c r="P405" s="27"/>
      <c r="Q405" s="27"/>
      <c r="R405" s="27"/>
      <c r="S405" s="27"/>
      <c r="T405" s="27"/>
      <c r="U405" s="27"/>
      <c r="V405" s="27"/>
      <c r="W405" s="18" t="s">
        <v>880</v>
      </c>
      <c r="X405" s="18"/>
      <c r="Y405" s="27"/>
      <c r="Z405" s="27"/>
      <c r="AA405" s="27"/>
    </row>
    <row r="406" spans="1:27">
      <c r="A406" s="27"/>
      <c r="B406" s="27"/>
      <c r="C406" s="27"/>
      <c r="D406" s="27"/>
      <c r="E406" s="27"/>
      <c r="F406" s="27"/>
      <c r="G406" s="27"/>
      <c r="H406" s="27"/>
      <c r="I406" s="27"/>
      <c r="J406" s="27"/>
      <c r="K406" s="27"/>
      <c r="L406" s="27"/>
      <c r="M406" s="27"/>
      <c r="N406" s="27"/>
      <c r="O406" s="27"/>
      <c r="P406" s="27"/>
      <c r="Q406" s="27"/>
      <c r="R406" s="27"/>
      <c r="S406" s="27"/>
      <c r="T406" s="27"/>
      <c r="U406" s="27"/>
      <c r="V406" s="27"/>
      <c r="W406" s="18" t="s">
        <v>881</v>
      </c>
      <c r="X406" s="18"/>
      <c r="Y406" s="27"/>
      <c r="Z406" s="27"/>
      <c r="AA406" s="27"/>
    </row>
    <row r="407" spans="1:27">
      <c r="A407" s="27"/>
      <c r="B407" s="27"/>
      <c r="C407" s="27"/>
      <c r="D407" s="27"/>
      <c r="E407" s="27"/>
      <c r="F407" s="27"/>
      <c r="G407" s="27"/>
      <c r="H407" s="27"/>
      <c r="I407" s="27"/>
      <c r="J407" s="27"/>
      <c r="K407" s="27"/>
      <c r="L407" s="27"/>
      <c r="M407" s="27"/>
      <c r="N407" s="27"/>
      <c r="O407" s="27"/>
      <c r="P407" s="27"/>
      <c r="Q407" s="27"/>
      <c r="R407" s="27"/>
      <c r="S407" s="27"/>
      <c r="T407" s="27"/>
      <c r="U407" s="27"/>
      <c r="V407" s="27"/>
      <c r="W407" s="18" t="s">
        <v>882</v>
      </c>
      <c r="X407" s="18"/>
      <c r="Y407" s="27"/>
      <c r="Z407" s="27"/>
      <c r="AA407" s="27"/>
    </row>
    <row r="408" spans="1:27">
      <c r="A408" s="27"/>
      <c r="B408" s="27"/>
      <c r="C408" s="27"/>
      <c r="D408" s="27"/>
      <c r="E408" s="27"/>
      <c r="F408" s="27"/>
      <c r="G408" s="27"/>
      <c r="H408" s="27"/>
      <c r="I408" s="27"/>
      <c r="J408" s="27"/>
      <c r="K408" s="27"/>
      <c r="L408" s="27"/>
      <c r="M408" s="27"/>
      <c r="N408" s="27"/>
      <c r="O408" s="27"/>
      <c r="P408" s="27"/>
      <c r="Q408" s="27"/>
      <c r="R408" s="27"/>
      <c r="S408" s="27"/>
      <c r="T408" s="27"/>
      <c r="U408" s="27"/>
      <c r="V408" s="27"/>
      <c r="W408" s="18" t="s">
        <v>883</v>
      </c>
      <c r="X408" s="18"/>
      <c r="Y408" s="27"/>
      <c r="Z408" s="27"/>
      <c r="AA408" s="27"/>
    </row>
    <row r="409" spans="1:27">
      <c r="A409" s="27"/>
      <c r="B409" s="27"/>
      <c r="C409" s="27"/>
      <c r="D409" s="27"/>
      <c r="E409" s="27"/>
      <c r="F409" s="27"/>
      <c r="G409" s="27"/>
      <c r="H409" s="27"/>
      <c r="I409" s="27"/>
      <c r="J409" s="27"/>
      <c r="K409" s="27"/>
      <c r="L409" s="27"/>
      <c r="M409" s="27"/>
      <c r="N409" s="27"/>
      <c r="O409" s="27"/>
      <c r="P409" s="27"/>
      <c r="Q409" s="27"/>
      <c r="R409" s="27"/>
      <c r="S409" s="27"/>
      <c r="T409" s="27"/>
      <c r="U409" s="27"/>
      <c r="V409" s="27"/>
      <c r="W409" s="18" t="s">
        <v>884</v>
      </c>
      <c r="X409" s="18"/>
      <c r="Y409" s="27"/>
      <c r="Z409" s="27"/>
      <c r="AA409" s="27"/>
    </row>
    <row r="410" spans="1:27">
      <c r="A410" s="27"/>
      <c r="B410" s="27"/>
      <c r="C410" s="27"/>
      <c r="D410" s="27"/>
      <c r="E410" s="27"/>
      <c r="F410" s="27"/>
      <c r="G410" s="27"/>
      <c r="H410" s="27"/>
      <c r="I410" s="27"/>
      <c r="J410" s="27"/>
      <c r="K410" s="27"/>
      <c r="L410" s="27"/>
      <c r="M410" s="27"/>
      <c r="N410" s="27"/>
      <c r="O410" s="27"/>
      <c r="P410" s="27"/>
      <c r="Q410" s="27"/>
      <c r="R410" s="27"/>
      <c r="S410" s="27"/>
      <c r="T410" s="27"/>
      <c r="U410" s="27"/>
      <c r="V410" s="27"/>
      <c r="W410" s="18" t="s">
        <v>885</v>
      </c>
      <c r="X410" s="18"/>
      <c r="Y410" s="27"/>
      <c r="Z410" s="27"/>
      <c r="AA410" s="27"/>
    </row>
    <row r="411" spans="1:27">
      <c r="A411" s="27"/>
      <c r="B411" s="27"/>
      <c r="C411" s="27"/>
      <c r="D411" s="27"/>
      <c r="E411" s="27"/>
      <c r="F411" s="27"/>
      <c r="G411" s="27"/>
      <c r="H411" s="27"/>
      <c r="I411" s="27"/>
      <c r="J411" s="27"/>
      <c r="K411" s="27"/>
      <c r="L411" s="27"/>
      <c r="M411" s="27"/>
      <c r="N411" s="27"/>
      <c r="O411" s="27"/>
      <c r="P411" s="27"/>
      <c r="Q411" s="27"/>
      <c r="R411" s="27"/>
      <c r="S411" s="27"/>
      <c r="T411" s="27"/>
      <c r="U411" s="27"/>
      <c r="V411" s="27"/>
      <c r="W411" s="18" t="s">
        <v>886</v>
      </c>
      <c r="X411" s="18"/>
      <c r="Y411" s="27"/>
      <c r="Z411" s="27"/>
      <c r="AA411" s="27"/>
    </row>
    <row r="412" spans="1:27">
      <c r="A412" s="27"/>
      <c r="B412" s="27"/>
      <c r="C412" s="27"/>
      <c r="D412" s="27"/>
      <c r="E412" s="27"/>
      <c r="F412" s="27"/>
      <c r="G412" s="27"/>
      <c r="H412" s="27"/>
      <c r="I412" s="27"/>
      <c r="J412" s="27"/>
      <c r="K412" s="27"/>
      <c r="L412" s="27"/>
      <c r="M412" s="27"/>
      <c r="N412" s="27"/>
      <c r="O412" s="27"/>
      <c r="P412" s="27"/>
      <c r="Q412" s="27"/>
      <c r="R412" s="27"/>
      <c r="S412" s="27"/>
      <c r="T412" s="27"/>
      <c r="U412" s="27"/>
      <c r="V412" s="27"/>
      <c r="W412" s="18" t="s">
        <v>887</v>
      </c>
      <c r="X412" s="18"/>
      <c r="Y412" s="27"/>
      <c r="Z412" s="27"/>
      <c r="AA412" s="27"/>
    </row>
    <row r="413" spans="1:27">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row>
    <row r="414" spans="1:27">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row>
    <row r="415" spans="1:27">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row>
    <row r="416" spans="1:27">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row>
  </sheetData>
  <sheetProtection algorithmName="SHA-512" hashValue="742He1gIyB+mvdKo1wPGrIAwEsgKi8gXVDh0E4mYjfhtvjHl1xV64lx90hoee15yQQtHMCHL3x4E+HfOD87T0g==" saltValue="IQQ8TF3EwzUCZmyzv+QJVA==" spinCount="100000" sheet="1" objects="1" scenarios="1"/>
  <sortState xmlns:xlrd2="http://schemas.microsoft.com/office/spreadsheetml/2017/richdata2" ref="A2:A13">
    <sortCondition ref="A2"/>
  </sortState>
  <mergeCells count="9">
    <mergeCell ref="J33:K33"/>
    <mergeCell ref="Q34:T34"/>
    <mergeCell ref="B45:D45"/>
    <mergeCell ref="F45:G45"/>
    <mergeCell ref="I45:K45"/>
    <mergeCell ref="M45:P45"/>
    <mergeCell ref="B34:D34"/>
    <mergeCell ref="F34:H34"/>
    <mergeCell ref="M34:N34"/>
  </mergeCells>
  <phoneticPr fontId="22" type="noConversion"/>
  <pageMargins left="0.7" right="0.7" top="0.75" bottom="0.75" header="0.3" footer="0.3"/>
  <pageSetup paperSize="9" orientation="portrait" horizontalDpi="1200" verticalDpi="1200" r:id="rId1"/>
  <tableParts count="14">
    <tablePart r:id="rId2"/>
    <tablePart r:id="rId3"/>
    <tablePart r:id="rId4"/>
    <tablePart r:id="rId5"/>
    <tablePart r:id="rId6"/>
    <tablePart r:id="rId7"/>
    <tablePart r:id="rId8"/>
    <tablePart r:id="rId9"/>
    <tablePart r:id="rId10"/>
    <tablePart r:id="rId11"/>
    <tablePart r:id="rId12"/>
    <tablePart r:id="rId13"/>
    <tablePart r:id="rId14"/>
    <tablePart r:id="rId15"/>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topLeftCell="A28" zoomScale="80" zoomScaleNormal="80" workbookViewId="0">
      <selection activeCell="C60" sqref="C60"/>
    </sheetView>
  </sheetViews>
  <sheetFormatPr defaultColWidth="0" defaultRowHeight="14.45" zeroHeight="1"/>
  <cols>
    <col min="1" max="1" width="3.28515625" customWidth="1"/>
    <col min="2" max="2" width="24.42578125" bestFit="1" customWidth="1"/>
    <col min="3" max="3" width="34.140625" bestFit="1" customWidth="1"/>
    <col min="4" max="4" width="41.85546875" bestFit="1" customWidth="1"/>
    <col min="5" max="5" width="50.140625" customWidth="1"/>
    <col min="6" max="6" width="20.42578125" customWidth="1"/>
    <col min="7" max="8" width="8.85546875" customWidth="1"/>
    <col min="9" max="16384" width="8.85546875" hidden="1"/>
  </cols>
  <sheetData>
    <row r="1" spans="1:8" ht="15" thickBot="1">
      <c r="A1" s="65"/>
      <c r="B1" s="65"/>
      <c r="C1" s="65"/>
      <c r="D1" s="65"/>
      <c r="E1" s="65"/>
      <c r="F1" s="65"/>
      <c r="G1" s="65"/>
      <c r="H1" s="65"/>
    </row>
    <row r="2" spans="1:8" ht="19.149999999999999" customHeight="1" thickBot="1">
      <c r="A2" s="27"/>
      <c r="B2" s="411" t="s">
        <v>888</v>
      </c>
      <c r="C2" s="412" t="s">
        <v>889</v>
      </c>
      <c r="D2" s="412" t="s">
        <v>890</v>
      </c>
      <c r="E2" s="413" t="s">
        <v>891</v>
      </c>
      <c r="F2" s="414" t="s">
        <v>103</v>
      </c>
      <c r="G2" s="65"/>
      <c r="H2" s="65"/>
    </row>
    <row r="3" spans="1:8" ht="21.6" customHeight="1" thickBot="1">
      <c r="A3" s="27"/>
      <c r="B3" s="407" t="s">
        <v>892</v>
      </c>
      <c r="C3" s="415" t="s">
        <v>893</v>
      </c>
      <c r="D3" s="415" t="s">
        <v>894</v>
      </c>
      <c r="E3" s="408" t="s">
        <v>895</v>
      </c>
      <c r="F3" s="409" t="s">
        <v>242</v>
      </c>
      <c r="G3" s="27"/>
      <c r="H3" s="27"/>
    </row>
    <row r="4" spans="1:8">
      <c r="A4" s="27"/>
      <c r="B4" s="967" t="s">
        <v>239</v>
      </c>
      <c r="C4" s="901" t="s">
        <v>239</v>
      </c>
      <c r="D4" s="416" t="s">
        <v>896</v>
      </c>
      <c r="E4" s="398" t="s">
        <v>328</v>
      </c>
      <c r="F4" s="399" t="s">
        <v>240</v>
      </c>
      <c r="G4" s="27"/>
      <c r="H4" s="27"/>
    </row>
    <row r="5" spans="1:8">
      <c r="A5" s="27"/>
      <c r="B5" s="968"/>
      <c r="C5" s="884"/>
      <c r="D5" s="7" t="s">
        <v>897</v>
      </c>
      <c r="E5" s="9" t="s">
        <v>898</v>
      </c>
      <c r="F5" s="400" t="s">
        <v>240</v>
      </c>
      <c r="G5" s="27"/>
      <c r="H5" s="27"/>
    </row>
    <row r="6" spans="1:8">
      <c r="A6" s="27"/>
      <c r="B6" s="968"/>
      <c r="C6" s="884"/>
      <c r="D6" s="7" t="s">
        <v>899</v>
      </c>
      <c r="E6" s="9" t="s">
        <v>334</v>
      </c>
      <c r="F6" s="400" t="s">
        <v>240</v>
      </c>
      <c r="G6" s="27"/>
      <c r="H6" s="27"/>
    </row>
    <row r="7" spans="1:8">
      <c r="A7" s="27"/>
      <c r="B7" s="968"/>
      <c r="C7" s="884"/>
      <c r="D7" s="7" t="s">
        <v>900</v>
      </c>
      <c r="E7" s="9" t="s">
        <v>335</v>
      </c>
      <c r="F7" s="400" t="s">
        <v>240</v>
      </c>
      <c r="G7" s="27"/>
      <c r="H7" s="27"/>
    </row>
    <row r="8" spans="1:8">
      <c r="A8" s="27"/>
      <c r="B8" s="968"/>
      <c r="C8" s="884" t="s">
        <v>901</v>
      </c>
      <c r="D8" s="7" t="s">
        <v>902</v>
      </c>
      <c r="E8" s="9" t="s">
        <v>323</v>
      </c>
      <c r="F8" s="404" t="s">
        <v>242</v>
      </c>
      <c r="G8" s="27"/>
      <c r="H8" s="27"/>
    </row>
    <row r="9" spans="1:8">
      <c r="A9" s="27"/>
      <c r="B9" s="968"/>
      <c r="C9" s="884"/>
      <c r="D9" s="7" t="s">
        <v>903</v>
      </c>
      <c r="E9" s="9" t="s">
        <v>325</v>
      </c>
      <c r="F9" s="404" t="s">
        <v>242</v>
      </c>
      <c r="G9" s="27"/>
      <c r="H9" s="27"/>
    </row>
    <row r="10" spans="1:8">
      <c r="A10" s="27"/>
      <c r="B10" s="968"/>
      <c r="C10" s="884"/>
      <c r="D10" s="7" t="s">
        <v>904</v>
      </c>
      <c r="E10" s="9" t="s">
        <v>326</v>
      </c>
      <c r="F10" s="404" t="s">
        <v>242</v>
      </c>
      <c r="G10" s="27"/>
      <c r="H10" s="27"/>
    </row>
    <row r="11" spans="1:8">
      <c r="A11" s="27"/>
      <c r="B11" s="968"/>
      <c r="C11" s="884"/>
      <c r="D11" s="7" t="s">
        <v>905</v>
      </c>
      <c r="E11" s="9" t="s">
        <v>327</v>
      </c>
      <c r="F11" s="404" t="s">
        <v>242</v>
      </c>
      <c r="G11" s="27"/>
      <c r="H11" s="27"/>
    </row>
    <row r="12" spans="1:8">
      <c r="A12" s="27"/>
      <c r="B12" s="968"/>
      <c r="C12" s="884"/>
      <c r="D12" s="7" t="s">
        <v>906</v>
      </c>
      <c r="E12" s="9" t="s">
        <v>331</v>
      </c>
      <c r="F12" s="404" t="s">
        <v>242</v>
      </c>
      <c r="G12" s="27"/>
      <c r="H12" s="27"/>
    </row>
    <row r="13" spans="1:8">
      <c r="A13" s="27"/>
      <c r="B13" s="968"/>
      <c r="C13" s="7" t="s">
        <v>332</v>
      </c>
      <c r="D13" s="7" t="s">
        <v>907</v>
      </c>
      <c r="E13" s="9" t="s">
        <v>332</v>
      </c>
      <c r="F13" s="400" t="s">
        <v>240</v>
      </c>
      <c r="G13" s="27"/>
      <c r="H13" s="27"/>
    </row>
    <row r="14" spans="1:8" ht="15" thickBot="1">
      <c r="A14" s="27"/>
      <c r="B14" s="969"/>
      <c r="C14" s="387" t="s">
        <v>908</v>
      </c>
      <c r="D14" s="387" t="s">
        <v>909</v>
      </c>
      <c r="E14" s="401" t="s">
        <v>333</v>
      </c>
      <c r="F14" s="402" t="s">
        <v>240</v>
      </c>
      <c r="G14" s="27"/>
      <c r="H14" s="27"/>
    </row>
    <row r="15" spans="1:8">
      <c r="A15" s="27"/>
      <c r="B15" s="967" t="s">
        <v>910</v>
      </c>
      <c r="C15" s="416" t="s">
        <v>911</v>
      </c>
      <c r="D15" s="416" t="s">
        <v>912</v>
      </c>
      <c r="E15" s="398" t="s">
        <v>113</v>
      </c>
      <c r="F15" s="399" t="s">
        <v>240</v>
      </c>
      <c r="G15" s="27"/>
      <c r="H15" s="27"/>
    </row>
    <row r="16" spans="1:8">
      <c r="A16" s="27"/>
      <c r="B16" s="968"/>
      <c r="C16" s="7" t="s">
        <v>336</v>
      </c>
      <c r="D16" s="7" t="s">
        <v>913</v>
      </c>
      <c r="E16" s="9" t="s">
        <v>336</v>
      </c>
      <c r="F16" s="400" t="s">
        <v>240</v>
      </c>
      <c r="G16" s="27"/>
      <c r="H16" s="27"/>
    </row>
    <row r="17" spans="1:8">
      <c r="A17" s="27"/>
      <c r="B17" s="968"/>
      <c r="C17" s="884" t="s">
        <v>914</v>
      </c>
      <c r="D17" s="7" t="s">
        <v>915</v>
      </c>
      <c r="E17" s="9" t="s">
        <v>337</v>
      </c>
      <c r="F17" s="404" t="s">
        <v>242</v>
      </c>
      <c r="G17" s="27"/>
      <c r="H17" s="27"/>
    </row>
    <row r="18" spans="1:8">
      <c r="A18" s="27"/>
      <c r="B18" s="968"/>
      <c r="C18" s="884"/>
      <c r="D18" s="7" t="s">
        <v>916</v>
      </c>
      <c r="E18" s="9" t="s">
        <v>141</v>
      </c>
      <c r="F18" s="404" t="s">
        <v>242</v>
      </c>
      <c r="G18" s="27"/>
      <c r="H18" s="27"/>
    </row>
    <row r="19" spans="1:8" ht="15" thickBot="1">
      <c r="A19" s="27"/>
      <c r="B19" s="969"/>
      <c r="C19" s="888"/>
      <c r="D19" s="387" t="s">
        <v>917</v>
      </c>
      <c r="E19" s="401" t="s">
        <v>338</v>
      </c>
      <c r="F19" s="405" t="s">
        <v>242</v>
      </c>
      <c r="G19" s="27"/>
      <c r="H19" s="27"/>
    </row>
    <row r="20" spans="1:8">
      <c r="A20" s="27"/>
      <c r="B20" s="967" t="s">
        <v>115</v>
      </c>
      <c r="C20" s="416" t="s">
        <v>918</v>
      </c>
      <c r="D20" s="416" t="s">
        <v>919</v>
      </c>
      <c r="E20" s="398" t="s">
        <v>344</v>
      </c>
      <c r="F20" s="399" t="s">
        <v>240</v>
      </c>
      <c r="G20" s="27"/>
      <c r="H20" s="27"/>
    </row>
    <row r="21" spans="1:8">
      <c r="A21" s="27"/>
      <c r="B21" s="968"/>
      <c r="C21" s="884" t="s">
        <v>920</v>
      </c>
      <c r="D21" s="7" t="s">
        <v>921</v>
      </c>
      <c r="E21" s="9" t="s">
        <v>339</v>
      </c>
      <c r="F21" s="404" t="s">
        <v>242</v>
      </c>
      <c r="G21" s="27"/>
      <c r="H21" s="27"/>
    </row>
    <row r="22" spans="1:8">
      <c r="A22" s="27"/>
      <c r="B22" s="968"/>
      <c r="C22" s="884"/>
      <c r="D22" s="7" t="s">
        <v>922</v>
      </c>
      <c r="E22" s="9" t="s">
        <v>340</v>
      </c>
      <c r="F22" s="404" t="s">
        <v>242</v>
      </c>
      <c r="G22" s="27"/>
      <c r="H22" s="27"/>
    </row>
    <row r="23" spans="1:8">
      <c r="A23" s="27"/>
      <c r="B23" s="968"/>
      <c r="C23" s="884"/>
      <c r="D23" s="7" t="s">
        <v>923</v>
      </c>
      <c r="E23" s="9" t="s">
        <v>341</v>
      </c>
      <c r="F23" s="404" t="s">
        <v>242</v>
      </c>
      <c r="G23" s="27"/>
      <c r="H23" s="27"/>
    </row>
    <row r="24" spans="1:8">
      <c r="A24" s="27"/>
      <c r="B24" s="968"/>
      <c r="C24" s="884"/>
      <c r="D24" s="7" t="s">
        <v>924</v>
      </c>
      <c r="E24" s="9" t="s">
        <v>342</v>
      </c>
      <c r="F24" s="404" t="s">
        <v>242</v>
      </c>
      <c r="G24" s="27"/>
      <c r="H24" s="27"/>
    </row>
    <row r="25" spans="1:8">
      <c r="A25" s="27"/>
      <c r="B25" s="968"/>
      <c r="C25" s="884"/>
      <c r="D25" s="7" t="s">
        <v>925</v>
      </c>
      <c r="E25" s="9" t="s">
        <v>343</v>
      </c>
      <c r="F25" s="404" t="s">
        <v>242</v>
      </c>
      <c r="G25" s="27"/>
      <c r="H25" s="27"/>
    </row>
    <row r="26" spans="1:8">
      <c r="A26" s="27"/>
      <c r="B26" s="968"/>
      <c r="C26" s="884"/>
      <c r="D26" s="7" t="s">
        <v>926</v>
      </c>
      <c r="E26" s="9" t="s">
        <v>116</v>
      </c>
      <c r="F26" s="404" t="s">
        <v>242</v>
      </c>
      <c r="G26" s="27"/>
      <c r="H26" s="27"/>
    </row>
    <row r="27" spans="1:8" ht="15" thickBot="1">
      <c r="A27" s="27"/>
      <c r="B27" s="969"/>
      <c r="C27" s="888"/>
      <c r="D27" s="387" t="s">
        <v>927</v>
      </c>
      <c r="E27" s="401" t="s">
        <v>345</v>
      </c>
      <c r="F27" s="405" t="s">
        <v>242</v>
      </c>
      <c r="G27" s="27"/>
      <c r="H27" s="27"/>
    </row>
    <row r="28" spans="1:8">
      <c r="A28" s="27"/>
      <c r="B28" s="967" t="s">
        <v>260</v>
      </c>
      <c r="C28" s="901" t="s">
        <v>928</v>
      </c>
      <c r="D28" s="416" t="s">
        <v>929</v>
      </c>
      <c r="E28" s="398" t="s">
        <v>389</v>
      </c>
      <c r="F28" s="399" t="s">
        <v>240</v>
      </c>
      <c r="G28" s="27"/>
      <c r="H28" s="27"/>
    </row>
    <row r="29" spans="1:8">
      <c r="A29" s="27"/>
      <c r="B29" s="968"/>
      <c r="C29" s="884"/>
      <c r="D29" s="7" t="s">
        <v>930</v>
      </c>
      <c r="E29" s="9" t="s">
        <v>261</v>
      </c>
      <c r="F29" s="404" t="s">
        <v>242</v>
      </c>
      <c r="G29" s="27"/>
      <c r="H29" s="27"/>
    </row>
    <row r="30" spans="1:8">
      <c r="A30" s="27"/>
      <c r="B30" s="968"/>
      <c r="C30" s="884"/>
      <c r="D30" s="7" t="s">
        <v>931</v>
      </c>
      <c r="E30" s="9" t="s">
        <v>387</v>
      </c>
      <c r="F30" s="404" t="s">
        <v>242</v>
      </c>
      <c r="G30" s="27"/>
      <c r="H30" s="27"/>
    </row>
    <row r="31" spans="1:8">
      <c r="A31" s="27"/>
      <c r="B31" s="968"/>
      <c r="C31" s="884" t="s">
        <v>932</v>
      </c>
      <c r="D31" s="7" t="s">
        <v>933</v>
      </c>
      <c r="E31" s="9" t="s">
        <v>388</v>
      </c>
      <c r="F31" s="400" t="s">
        <v>240</v>
      </c>
      <c r="G31" s="27"/>
      <c r="H31" s="27"/>
    </row>
    <row r="32" spans="1:8">
      <c r="A32" s="27"/>
      <c r="B32" s="968"/>
      <c r="C32" s="884"/>
      <c r="D32" s="7" t="s">
        <v>934</v>
      </c>
      <c r="E32" s="9" t="s">
        <v>935</v>
      </c>
      <c r="F32" s="404" t="s">
        <v>242</v>
      </c>
      <c r="G32" s="27"/>
      <c r="H32" s="27"/>
    </row>
    <row r="33" spans="1:8">
      <c r="A33" s="27"/>
      <c r="B33" s="968"/>
      <c r="C33" s="884"/>
      <c r="D33" s="7" t="s">
        <v>936</v>
      </c>
      <c r="E33" s="9" t="s">
        <v>937</v>
      </c>
      <c r="F33" s="404" t="s">
        <v>242</v>
      </c>
      <c r="G33" s="27"/>
      <c r="H33" s="27"/>
    </row>
    <row r="34" spans="1:8">
      <c r="A34" s="27"/>
      <c r="B34" s="968"/>
      <c r="C34" s="7" t="s">
        <v>938</v>
      </c>
      <c r="D34" s="7" t="s">
        <v>939</v>
      </c>
      <c r="E34" s="9" t="s">
        <v>390</v>
      </c>
      <c r="F34" s="406" t="s">
        <v>353</v>
      </c>
      <c r="G34" s="27"/>
      <c r="H34" s="27"/>
    </row>
    <row r="35" spans="1:8">
      <c r="A35" s="27"/>
      <c r="B35" s="968"/>
      <c r="C35" s="884" t="s">
        <v>940</v>
      </c>
      <c r="D35" s="7" t="s">
        <v>941</v>
      </c>
      <c r="E35" s="9" t="s">
        <v>393</v>
      </c>
      <c r="F35" s="400" t="s">
        <v>240</v>
      </c>
      <c r="G35" s="27"/>
      <c r="H35" s="27"/>
    </row>
    <row r="36" spans="1:8">
      <c r="A36" s="27"/>
      <c r="B36" s="968"/>
      <c r="C36" s="884"/>
      <c r="D36" s="7" t="s">
        <v>942</v>
      </c>
      <c r="E36" s="9" t="s">
        <v>391</v>
      </c>
      <c r="F36" s="400" t="s">
        <v>240</v>
      </c>
      <c r="G36" s="27"/>
      <c r="H36" s="27"/>
    </row>
    <row r="37" spans="1:8">
      <c r="A37" s="27"/>
      <c r="B37" s="968"/>
      <c r="C37" s="884"/>
      <c r="D37" s="7" t="s">
        <v>943</v>
      </c>
      <c r="E37" s="9" t="s">
        <v>394</v>
      </c>
      <c r="F37" s="404" t="s">
        <v>242</v>
      </c>
      <c r="G37" s="27"/>
      <c r="H37" s="27"/>
    </row>
    <row r="38" spans="1:8" ht="15" thickBot="1">
      <c r="A38" s="27"/>
      <c r="B38" s="969"/>
      <c r="C38" s="888"/>
      <c r="D38" s="387" t="s">
        <v>944</v>
      </c>
      <c r="E38" s="401" t="s">
        <v>392</v>
      </c>
      <c r="F38" s="405" t="s">
        <v>242</v>
      </c>
      <c r="G38" s="27"/>
      <c r="H38" s="27"/>
    </row>
    <row r="39" spans="1:8">
      <c r="A39" s="27"/>
      <c r="B39" s="970" t="s">
        <v>243</v>
      </c>
      <c r="C39" s="416" t="s">
        <v>945</v>
      </c>
      <c r="D39" s="416" t="s">
        <v>946</v>
      </c>
      <c r="E39" s="398" t="s">
        <v>947</v>
      </c>
      <c r="F39" s="399" t="s">
        <v>948</v>
      </c>
      <c r="G39" s="27"/>
      <c r="H39" s="27"/>
    </row>
    <row r="40" spans="1:8">
      <c r="A40" s="27"/>
      <c r="B40" s="971"/>
      <c r="C40" s="7" t="s">
        <v>945</v>
      </c>
      <c r="D40" s="7" t="s">
        <v>949</v>
      </c>
      <c r="E40" s="9" t="s">
        <v>384</v>
      </c>
      <c r="F40" s="400" t="s">
        <v>948</v>
      </c>
      <c r="G40" s="27"/>
      <c r="H40" s="27"/>
    </row>
    <row r="41" spans="1:8" ht="29.45" thickBot="1">
      <c r="A41" s="27"/>
      <c r="B41" s="972"/>
      <c r="C41" s="387" t="s">
        <v>945</v>
      </c>
      <c r="D41" s="387" t="s">
        <v>950</v>
      </c>
      <c r="E41" s="401" t="s">
        <v>951</v>
      </c>
      <c r="F41" s="405" t="s">
        <v>242</v>
      </c>
      <c r="G41" s="27"/>
      <c r="H41" s="27"/>
    </row>
    <row r="42" spans="1:8">
      <c r="A42" s="27"/>
      <c r="B42" s="967" t="s">
        <v>244</v>
      </c>
      <c r="C42" s="416" t="s">
        <v>945</v>
      </c>
      <c r="D42" s="416" t="s">
        <v>952</v>
      </c>
      <c r="E42" s="398" t="s">
        <v>441</v>
      </c>
      <c r="F42" s="399" t="s">
        <v>948</v>
      </c>
      <c r="G42" s="27"/>
      <c r="H42" s="27"/>
    </row>
    <row r="43" spans="1:8">
      <c r="A43" s="27"/>
      <c r="B43" s="968"/>
      <c r="C43" s="7" t="s">
        <v>945</v>
      </c>
      <c r="D43" s="7" t="s">
        <v>953</v>
      </c>
      <c r="E43" s="9" t="s">
        <v>435</v>
      </c>
      <c r="F43" s="400" t="s">
        <v>948</v>
      </c>
      <c r="G43" s="27"/>
      <c r="H43" s="27"/>
    </row>
    <row r="44" spans="1:8">
      <c r="A44" s="27"/>
      <c r="B44" s="968"/>
      <c r="C44" s="7" t="s">
        <v>945</v>
      </c>
      <c r="D44" s="7" t="s">
        <v>954</v>
      </c>
      <c r="E44" s="9" t="s">
        <v>439</v>
      </c>
      <c r="F44" s="400" t="s">
        <v>948</v>
      </c>
      <c r="G44" s="27"/>
      <c r="H44" s="27"/>
    </row>
    <row r="45" spans="1:8">
      <c r="A45" s="27"/>
      <c r="B45" s="968"/>
      <c r="C45" s="7" t="s">
        <v>945</v>
      </c>
      <c r="D45" s="7" t="s">
        <v>955</v>
      </c>
      <c r="E45" s="9" t="s">
        <v>436</v>
      </c>
      <c r="F45" s="400" t="s">
        <v>240</v>
      </c>
      <c r="G45" s="27"/>
      <c r="H45" s="27"/>
    </row>
    <row r="46" spans="1:8">
      <c r="A46" s="27"/>
      <c r="B46" s="968"/>
      <c r="C46" s="7" t="s">
        <v>945</v>
      </c>
      <c r="D46" s="7" t="s">
        <v>956</v>
      </c>
      <c r="E46" s="9" t="s">
        <v>438</v>
      </c>
      <c r="F46" s="400" t="s">
        <v>948</v>
      </c>
      <c r="G46" s="27"/>
      <c r="H46" s="27"/>
    </row>
    <row r="47" spans="1:8">
      <c r="A47" s="27"/>
      <c r="B47" s="968"/>
      <c r="C47" s="7" t="s">
        <v>945</v>
      </c>
      <c r="D47" s="7" t="s">
        <v>957</v>
      </c>
      <c r="E47" s="9" t="s">
        <v>437</v>
      </c>
      <c r="F47" s="400" t="s">
        <v>240</v>
      </c>
      <c r="G47" s="27"/>
      <c r="H47" s="27"/>
    </row>
    <row r="48" spans="1:8">
      <c r="A48" s="27"/>
      <c r="B48" s="968"/>
      <c r="C48" s="7" t="s">
        <v>945</v>
      </c>
      <c r="D48" s="7" t="s">
        <v>958</v>
      </c>
      <c r="E48" s="9" t="s">
        <v>440</v>
      </c>
      <c r="F48" s="400" t="s">
        <v>948</v>
      </c>
      <c r="G48" s="27"/>
      <c r="H48" s="27"/>
    </row>
    <row r="49" spans="1:8">
      <c r="A49" s="27"/>
      <c r="B49" s="968"/>
      <c r="C49" s="7" t="s">
        <v>945</v>
      </c>
      <c r="D49" s="7" t="s">
        <v>959</v>
      </c>
      <c r="E49" s="9" t="s">
        <v>960</v>
      </c>
      <c r="F49" s="400" t="s">
        <v>240</v>
      </c>
      <c r="G49" s="27"/>
      <c r="H49" s="27"/>
    </row>
    <row r="50" spans="1:8">
      <c r="A50" s="27"/>
      <c r="B50" s="968"/>
      <c r="C50" s="7" t="s">
        <v>945</v>
      </c>
      <c r="D50" s="7" t="s">
        <v>961</v>
      </c>
      <c r="E50" s="9" t="s">
        <v>962</v>
      </c>
      <c r="F50" s="404" t="s">
        <v>242</v>
      </c>
      <c r="G50" s="27"/>
      <c r="H50" s="27"/>
    </row>
    <row r="51" spans="1:8" ht="15" thickBot="1">
      <c r="A51" s="27"/>
      <c r="B51" s="969"/>
      <c r="C51" s="387" t="s">
        <v>945</v>
      </c>
      <c r="D51" s="387" t="s">
        <v>963</v>
      </c>
      <c r="E51" s="401" t="s">
        <v>383</v>
      </c>
      <c r="F51" s="405" t="s">
        <v>242</v>
      </c>
      <c r="G51" s="27"/>
      <c r="H51" s="27"/>
    </row>
    <row r="52" spans="1:8">
      <c r="A52" s="27"/>
      <c r="B52" s="967" t="s">
        <v>245</v>
      </c>
      <c r="C52" s="416" t="s">
        <v>349</v>
      </c>
      <c r="D52" s="416" t="s">
        <v>964</v>
      </c>
      <c r="E52" s="398" t="s">
        <v>349</v>
      </c>
      <c r="F52" s="403" t="s">
        <v>242</v>
      </c>
      <c r="G52" s="27"/>
      <c r="H52" s="27"/>
    </row>
    <row r="53" spans="1:8" ht="15" thickBot="1">
      <c r="A53" s="27"/>
      <c r="B53" s="969"/>
      <c r="C53" s="387" t="s">
        <v>965</v>
      </c>
      <c r="D53" s="387" t="s">
        <v>966</v>
      </c>
      <c r="E53" s="401" t="s">
        <v>348</v>
      </c>
      <c r="F53" s="405" t="s">
        <v>242</v>
      </c>
      <c r="G53" s="27"/>
      <c r="H53" s="27"/>
    </row>
    <row r="54" spans="1:8">
      <c r="A54" s="27"/>
      <c r="B54" s="967" t="s">
        <v>967</v>
      </c>
      <c r="C54" s="416" t="s">
        <v>968</v>
      </c>
      <c r="D54" s="416" t="s">
        <v>969</v>
      </c>
      <c r="E54" s="398" t="s">
        <v>397</v>
      </c>
      <c r="F54" s="403" t="s">
        <v>242</v>
      </c>
      <c r="G54" s="27"/>
      <c r="H54" s="27"/>
    </row>
    <row r="55" spans="1:8">
      <c r="A55" s="27"/>
      <c r="B55" s="968"/>
      <c r="C55" s="7" t="s">
        <v>398</v>
      </c>
      <c r="D55" s="7" t="s">
        <v>970</v>
      </c>
      <c r="E55" s="9" t="s">
        <v>398</v>
      </c>
      <c r="F55" s="400" t="s">
        <v>240</v>
      </c>
      <c r="G55" s="27"/>
      <c r="H55" s="27"/>
    </row>
    <row r="56" spans="1:8" ht="15" thickBot="1">
      <c r="A56" s="27"/>
      <c r="B56" s="969"/>
      <c r="C56" s="387" t="s">
        <v>971</v>
      </c>
      <c r="D56" s="387" t="s">
        <v>972</v>
      </c>
      <c r="E56" s="401" t="s">
        <v>395</v>
      </c>
      <c r="F56" s="405" t="s">
        <v>242</v>
      </c>
      <c r="G56" s="27"/>
      <c r="H56" s="27"/>
    </row>
    <row r="57" spans="1:8">
      <c r="A57" s="27"/>
      <c r="B57" s="967" t="s">
        <v>246</v>
      </c>
      <c r="C57" s="416" t="s">
        <v>973</v>
      </c>
      <c r="D57" s="416" t="s">
        <v>974</v>
      </c>
      <c r="E57" s="398" t="s">
        <v>350</v>
      </c>
      <c r="F57" s="399" t="s">
        <v>240</v>
      </c>
      <c r="G57" s="27"/>
      <c r="H57" s="27"/>
    </row>
    <row r="58" spans="1:8" ht="15" thickBot="1">
      <c r="A58" s="27"/>
      <c r="B58" s="969"/>
      <c r="C58" s="387" t="s">
        <v>975</v>
      </c>
      <c r="D58" s="387" t="s">
        <v>976</v>
      </c>
      <c r="E58" s="401" t="s">
        <v>351</v>
      </c>
      <c r="F58" s="405" t="s">
        <v>242</v>
      </c>
      <c r="G58" s="27"/>
      <c r="H58" s="27"/>
    </row>
    <row r="59" spans="1:8">
      <c r="A59" s="27"/>
      <c r="B59" s="967" t="s">
        <v>117</v>
      </c>
      <c r="C59" s="416" t="s">
        <v>352</v>
      </c>
      <c r="D59" s="416" t="s">
        <v>977</v>
      </c>
      <c r="E59" s="398" t="s">
        <v>352</v>
      </c>
      <c r="F59" s="399" t="s">
        <v>240</v>
      </c>
      <c r="G59" s="27"/>
      <c r="H59" s="27"/>
    </row>
    <row r="60" spans="1:8">
      <c r="A60" s="27"/>
      <c r="B60" s="968"/>
      <c r="C60" s="7" t="s">
        <v>978</v>
      </c>
      <c r="D60" s="7" t="s">
        <v>979</v>
      </c>
      <c r="E60" s="9" t="s">
        <v>369</v>
      </c>
      <c r="F60" s="400" t="s">
        <v>240</v>
      </c>
      <c r="G60" s="27"/>
      <c r="H60" s="27"/>
    </row>
    <row r="61" spans="1:8">
      <c r="A61" s="27"/>
      <c r="B61" s="968"/>
      <c r="C61" s="7" t="s">
        <v>980</v>
      </c>
      <c r="D61" s="7" t="s">
        <v>981</v>
      </c>
      <c r="E61" s="9" t="s">
        <v>356</v>
      </c>
      <c r="F61" s="404" t="s">
        <v>242</v>
      </c>
      <c r="G61" s="27"/>
      <c r="H61" s="27"/>
    </row>
    <row r="62" spans="1:8">
      <c r="A62" s="27"/>
      <c r="B62" s="968"/>
      <c r="C62" s="7" t="s">
        <v>355</v>
      </c>
      <c r="D62" s="7" t="s">
        <v>982</v>
      </c>
      <c r="E62" s="9" t="s">
        <v>355</v>
      </c>
      <c r="F62" s="400" t="s">
        <v>240</v>
      </c>
      <c r="G62" s="27"/>
      <c r="H62" s="27"/>
    </row>
    <row r="63" spans="1:8">
      <c r="A63" s="27"/>
      <c r="B63" s="968"/>
      <c r="C63" s="7" t="s">
        <v>983</v>
      </c>
      <c r="D63" s="7" t="s">
        <v>984</v>
      </c>
      <c r="E63" s="9" t="s">
        <v>358</v>
      </c>
      <c r="F63" s="404" t="s">
        <v>242</v>
      </c>
      <c r="G63" s="27"/>
      <c r="H63" s="27"/>
    </row>
    <row r="64" spans="1:8">
      <c r="A64" s="27"/>
      <c r="B64" s="968"/>
      <c r="C64" s="884" t="s">
        <v>985</v>
      </c>
      <c r="D64" s="7" t="s">
        <v>986</v>
      </c>
      <c r="E64" s="9" t="s">
        <v>145</v>
      </c>
      <c r="F64" s="400" t="s">
        <v>240</v>
      </c>
      <c r="G64" s="27"/>
      <c r="H64" s="27"/>
    </row>
    <row r="65" spans="1:8">
      <c r="A65" s="27"/>
      <c r="B65" s="968"/>
      <c r="C65" s="884"/>
      <c r="D65" s="7" t="s">
        <v>987</v>
      </c>
      <c r="E65" s="9" t="s">
        <v>368</v>
      </c>
      <c r="F65" s="406" t="s">
        <v>353</v>
      </c>
      <c r="G65" s="27"/>
      <c r="H65" s="27"/>
    </row>
    <row r="66" spans="1:8">
      <c r="A66" s="27"/>
      <c r="B66" s="968"/>
      <c r="C66" s="7" t="s">
        <v>988</v>
      </c>
      <c r="D66" s="7" t="s">
        <v>989</v>
      </c>
      <c r="E66" s="9" t="s">
        <v>363</v>
      </c>
      <c r="F66" s="404" t="s">
        <v>242</v>
      </c>
      <c r="G66" s="27"/>
      <c r="H66" s="27"/>
    </row>
    <row r="67" spans="1:8">
      <c r="A67" s="27"/>
      <c r="B67" s="968"/>
      <c r="C67" s="7" t="s">
        <v>990</v>
      </c>
      <c r="D67" s="7" t="s">
        <v>991</v>
      </c>
      <c r="E67" s="9" t="s">
        <v>359</v>
      </c>
      <c r="F67" s="400" t="s">
        <v>240</v>
      </c>
      <c r="G67" s="27"/>
      <c r="H67" s="27"/>
    </row>
    <row r="68" spans="1:8">
      <c r="A68" s="27"/>
      <c r="B68" s="968"/>
      <c r="C68" s="884" t="s">
        <v>992</v>
      </c>
      <c r="D68" s="7" t="s">
        <v>993</v>
      </c>
      <c r="E68" s="9" t="s">
        <v>360</v>
      </c>
      <c r="F68" s="400" t="s">
        <v>240</v>
      </c>
      <c r="G68" s="27"/>
      <c r="H68" s="27"/>
    </row>
    <row r="69" spans="1:8">
      <c r="A69" s="27"/>
      <c r="B69" s="968"/>
      <c r="C69" s="884"/>
      <c r="D69" s="7" t="s">
        <v>994</v>
      </c>
      <c r="E69" s="9" t="s">
        <v>361</v>
      </c>
      <c r="F69" s="400" t="s">
        <v>240</v>
      </c>
      <c r="G69" s="27"/>
      <c r="H69" s="27"/>
    </row>
    <row r="70" spans="1:8">
      <c r="A70" s="27"/>
      <c r="B70" s="968"/>
      <c r="C70" s="7" t="s">
        <v>995</v>
      </c>
      <c r="D70" s="7" t="s">
        <v>996</v>
      </c>
      <c r="E70" s="9" t="s">
        <v>118</v>
      </c>
      <c r="F70" s="406" t="s">
        <v>353</v>
      </c>
      <c r="G70" s="27"/>
      <c r="H70" s="27"/>
    </row>
    <row r="71" spans="1:8">
      <c r="A71" s="27"/>
      <c r="B71" s="968"/>
      <c r="C71" s="7" t="s">
        <v>997</v>
      </c>
      <c r="D71" s="7" t="s">
        <v>998</v>
      </c>
      <c r="E71" s="9" t="s">
        <v>346</v>
      </c>
      <c r="F71" s="400" t="s">
        <v>240</v>
      </c>
      <c r="G71" s="27"/>
      <c r="H71" s="27"/>
    </row>
    <row r="72" spans="1:8">
      <c r="A72" s="27"/>
      <c r="B72" s="968"/>
      <c r="C72" s="7" t="s">
        <v>999</v>
      </c>
      <c r="D72" s="7" t="s">
        <v>1000</v>
      </c>
      <c r="E72" s="9" t="s">
        <v>364</v>
      </c>
      <c r="F72" s="400" t="s">
        <v>240</v>
      </c>
      <c r="G72" s="27"/>
      <c r="H72" s="27"/>
    </row>
    <row r="73" spans="1:8">
      <c r="A73" s="27"/>
      <c r="B73" s="968"/>
      <c r="C73" s="7" t="s">
        <v>1001</v>
      </c>
      <c r="D73" s="7" t="s">
        <v>1002</v>
      </c>
      <c r="E73" s="9" t="s">
        <v>119</v>
      </c>
      <c r="F73" s="406" t="s">
        <v>353</v>
      </c>
      <c r="G73" s="27"/>
      <c r="H73" s="27"/>
    </row>
    <row r="74" spans="1:8">
      <c r="A74" s="27"/>
      <c r="B74" s="968"/>
      <c r="C74" s="7" t="s">
        <v>1003</v>
      </c>
      <c r="D74" s="7" t="s">
        <v>1004</v>
      </c>
      <c r="E74" s="9" t="s">
        <v>362</v>
      </c>
      <c r="F74" s="400" t="s">
        <v>240</v>
      </c>
      <c r="G74" s="27"/>
      <c r="H74" s="27"/>
    </row>
    <row r="75" spans="1:8">
      <c r="A75" s="27"/>
      <c r="B75" s="968"/>
      <c r="C75" s="7" t="s">
        <v>1005</v>
      </c>
      <c r="D75" s="7" t="s">
        <v>1006</v>
      </c>
      <c r="E75" s="9" t="s">
        <v>366</v>
      </c>
      <c r="F75" s="400" t="s">
        <v>240</v>
      </c>
      <c r="G75" s="27"/>
      <c r="H75" s="27"/>
    </row>
    <row r="76" spans="1:8">
      <c r="A76" s="27"/>
      <c r="B76" s="968"/>
      <c r="C76" s="7" t="s">
        <v>1007</v>
      </c>
      <c r="D76" s="7" t="s">
        <v>1008</v>
      </c>
      <c r="E76" s="9" t="s">
        <v>121</v>
      </c>
      <c r="F76" s="400" t="s">
        <v>240</v>
      </c>
      <c r="G76" s="27"/>
      <c r="H76" s="27"/>
    </row>
    <row r="77" spans="1:8">
      <c r="A77" s="27"/>
      <c r="B77" s="968"/>
      <c r="C77" s="884" t="s">
        <v>1009</v>
      </c>
      <c r="D77" s="7" t="s">
        <v>1010</v>
      </c>
      <c r="E77" s="9" t="s">
        <v>365</v>
      </c>
      <c r="F77" s="400" t="s">
        <v>240</v>
      </c>
      <c r="G77" s="27"/>
      <c r="H77" s="27"/>
    </row>
    <row r="78" spans="1:8">
      <c r="A78" s="27"/>
      <c r="B78" s="968"/>
      <c r="C78" s="884"/>
      <c r="D78" s="7" t="s">
        <v>1011</v>
      </c>
      <c r="E78" s="9" t="s">
        <v>367</v>
      </c>
      <c r="F78" s="400" t="s">
        <v>240</v>
      </c>
      <c r="G78" s="27"/>
      <c r="H78" s="27"/>
    </row>
    <row r="79" spans="1:8" ht="15" thickBot="1">
      <c r="A79" s="27"/>
      <c r="B79" s="969"/>
      <c r="C79" s="387" t="s">
        <v>1012</v>
      </c>
      <c r="D79" s="387" t="s">
        <v>1013</v>
      </c>
      <c r="E79" s="401" t="s">
        <v>357</v>
      </c>
      <c r="F79" s="410" t="s">
        <v>353</v>
      </c>
      <c r="G79" s="27"/>
      <c r="H79" s="27"/>
    </row>
    <row r="80" spans="1:8">
      <c r="A80" s="27"/>
      <c r="B80" s="967" t="s">
        <v>247</v>
      </c>
      <c r="C80" s="901" t="s">
        <v>1014</v>
      </c>
      <c r="D80" s="416" t="s">
        <v>1015</v>
      </c>
      <c r="E80" s="398" t="s">
        <v>370</v>
      </c>
      <c r="F80" s="399" t="s">
        <v>240</v>
      </c>
      <c r="G80" s="27"/>
      <c r="H80" s="27"/>
    </row>
    <row r="81" spans="1:8">
      <c r="A81" s="27"/>
      <c r="B81" s="968"/>
      <c r="C81" s="884"/>
      <c r="D81" s="7" t="s">
        <v>1016</v>
      </c>
      <c r="E81" s="9" t="s">
        <v>371</v>
      </c>
      <c r="F81" s="404" t="s">
        <v>242</v>
      </c>
      <c r="G81" s="27"/>
      <c r="H81" s="27"/>
    </row>
    <row r="82" spans="1:8">
      <c r="A82" s="27"/>
      <c r="B82" s="968"/>
      <c r="C82" s="7" t="s">
        <v>1017</v>
      </c>
      <c r="D82" s="7" t="s">
        <v>1018</v>
      </c>
      <c r="E82" s="9" t="s">
        <v>372</v>
      </c>
      <c r="F82" s="404" t="s">
        <v>242</v>
      </c>
      <c r="G82" s="27"/>
      <c r="H82" s="27"/>
    </row>
    <row r="83" spans="1:8" ht="15" thickBot="1">
      <c r="A83" s="27"/>
      <c r="B83" s="969"/>
      <c r="C83" s="387" t="s">
        <v>1019</v>
      </c>
      <c r="D83" s="387" t="s">
        <v>1020</v>
      </c>
      <c r="E83" s="401" t="s">
        <v>373</v>
      </c>
      <c r="F83" s="405" t="s">
        <v>242</v>
      </c>
      <c r="G83" s="27"/>
      <c r="H83" s="27"/>
    </row>
    <row r="84" spans="1:8">
      <c r="A84" s="27"/>
      <c r="B84" s="27"/>
      <c r="C84" s="27"/>
      <c r="D84" s="27"/>
      <c r="E84" s="27"/>
      <c r="F84" s="27"/>
      <c r="G84" s="27"/>
      <c r="H84" s="27"/>
    </row>
    <row r="85" spans="1:8">
      <c r="A85" s="27"/>
      <c r="B85" s="27"/>
      <c r="C85" s="27"/>
      <c r="D85" s="27"/>
      <c r="E85" s="27"/>
      <c r="F85" s="27"/>
      <c r="G85" s="27"/>
      <c r="H85" s="27"/>
    </row>
    <row r="86" spans="1:8">
      <c r="A86" s="27"/>
      <c r="B86" s="27"/>
      <c r="C86" s="27"/>
      <c r="D86" s="27"/>
      <c r="E86" s="27"/>
      <c r="F86" s="27"/>
      <c r="G86" s="27"/>
      <c r="H86" s="27"/>
    </row>
    <row r="87" spans="1:8">
      <c r="A87" s="27"/>
      <c r="B87" s="27"/>
      <c r="C87" s="27"/>
      <c r="D87" s="27"/>
      <c r="E87" s="27"/>
      <c r="F87" s="27"/>
      <c r="G87" s="27"/>
      <c r="H87" s="27"/>
    </row>
    <row r="88" spans="1:8">
      <c r="A88" s="27"/>
      <c r="B88" s="27"/>
      <c r="C88" s="27"/>
      <c r="D88" s="27"/>
      <c r="E88" s="27"/>
      <c r="F88" s="27"/>
      <c r="G88" s="27"/>
      <c r="H88" s="27"/>
    </row>
    <row r="89" spans="1:8" hidden="1">
      <c r="A89" s="27"/>
      <c r="B89" s="27"/>
      <c r="C89" s="27"/>
      <c r="D89" s="27"/>
      <c r="E89" s="27"/>
      <c r="F89" s="27"/>
      <c r="G89" s="27"/>
      <c r="H89" s="27"/>
    </row>
    <row r="90" spans="1:8" hidden="1">
      <c r="A90" s="27"/>
      <c r="B90" s="27"/>
      <c r="C90" s="27"/>
      <c r="D90" s="27"/>
      <c r="E90" s="27"/>
      <c r="F90" s="27"/>
      <c r="G90" s="27"/>
      <c r="H90" s="27"/>
    </row>
    <row r="91" spans="1:8" hidden="1">
      <c r="A91" s="27"/>
      <c r="B91" s="27"/>
      <c r="C91" s="27"/>
      <c r="D91" s="27"/>
      <c r="E91" s="27"/>
      <c r="F91" s="27"/>
      <c r="G91" s="27"/>
      <c r="H91" s="27"/>
    </row>
    <row r="92" spans="1:8" hidden="1">
      <c r="A92" s="27"/>
      <c r="B92" s="27"/>
      <c r="C92" s="27"/>
      <c r="D92" s="27"/>
      <c r="E92" s="27"/>
      <c r="F92" s="27"/>
      <c r="G92" s="27"/>
      <c r="H92" s="27"/>
    </row>
    <row r="93" spans="1:8" hidden="1">
      <c r="A93" s="27"/>
      <c r="B93" s="27"/>
      <c r="C93" s="27"/>
      <c r="D93" s="27"/>
      <c r="E93" s="27"/>
      <c r="F93" s="27"/>
      <c r="G93" s="27"/>
      <c r="H93" s="27"/>
    </row>
    <row r="94" spans="1:8" hidden="1">
      <c r="A94" s="27"/>
      <c r="B94" s="27"/>
      <c r="C94" s="27"/>
      <c r="D94" s="27"/>
      <c r="E94" s="27"/>
      <c r="F94" s="27"/>
      <c r="G94" s="27"/>
      <c r="H94" s="27"/>
    </row>
    <row r="95" spans="1:8" hidden="1">
      <c r="A95" s="27"/>
      <c r="B95" s="27"/>
      <c r="C95" s="27"/>
      <c r="D95" s="27"/>
      <c r="E95" s="27"/>
      <c r="F95" s="27"/>
      <c r="G95" s="27"/>
      <c r="H95" s="27"/>
    </row>
    <row r="96" spans="1:8" hidden="1">
      <c r="A96" s="27"/>
      <c r="B96" s="27"/>
      <c r="C96" s="27"/>
      <c r="D96" s="27"/>
      <c r="E96" s="27"/>
      <c r="F96" s="27"/>
      <c r="G96" s="27"/>
      <c r="H96" s="27"/>
    </row>
    <row r="97" spans="1:8" hidden="1">
      <c r="A97" s="27"/>
      <c r="B97" s="27"/>
      <c r="C97" s="27"/>
      <c r="D97" s="27"/>
      <c r="E97" s="27"/>
      <c r="F97" s="27"/>
      <c r="G97" s="27"/>
      <c r="H97" s="27"/>
    </row>
    <row r="98" spans="1:8" hidden="1">
      <c r="A98" s="27"/>
      <c r="B98" s="27"/>
      <c r="C98" s="27"/>
      <c r="D98" s="27"/>
      <c r="E98" s="27"/>
      <c r="F98" s="27"/>
      <c r="G98" s="27"/>
      <c r="H98" s="27"/>
    </row>
    <row r="99" spans="1:8" hidden="1">
      <c r="A99" s="27"/>
      <c r="B99" s="27"/>
      <c r="C99" s="27"/>
      <c r="D99" s="27"/>
      <c r="E99" s="27"/>
      <c r="F99" s="27"/>
      <c r="G99" s="27"/>
      <c r="H99" s="27"/>
    </row>
    <row r="100" spans="1:8" hidden="1">
      <c r="A100" s="27"/>
      <c r="B100" s="27"/>
      <c r="C100" s="27"/>
      <c r="D100" s="27"/>
      <c r="E100" s="27"/>
      <c r="F100" s="27"/>
      <c r="G100" s="27"/>
      <c r="H100" s="27"/>
    </row>
    <row r="101" spans="1:8" hidden="1">
      <c r="A101" s="27"/>
      <c r="B101" s="27"/>
      <c r="C101" s="27"/>
      <c r="D101" s="27"/>
      <c r="E101" s="27"/>
      <c r="F101" s="27"/>
      <c r="G101" s="27"/>
      <c r="H101" s="27"/>
    </row>
    <row r="102" spans="1:8" hidden="1">
      <c r="A102" s="27"/>
      <c r="B102" s="27"/>
      <c r="C102" s="27"/>
      <c r="D102" s="27"/>
      <c r="E102" s="27"/>
      <c r="F102" s="27"/>
      <c r="G102" s="27"/>
      <c r="H102" s="27"/>
    </row>
    <row r="103" spans="1:8" hidden="1">
      <c r="A103" s="27"/>
      <c r="B103" s="27"/>
      <c r="C103" s="27"/>
      <c r="D103" s="27"/>
      <c r="E103" s="27"/>
      <c r="F103" s="27"/>
      <c r="G103" s="27"/>
      <c r="H103" s="27"/>
    </row>
    <row r="104" spans="1:8" hidden="1">
      <c r="A104" s="27"/>
      <c r="B104" s="27"/>
      <c r="C104" s="27"/>
      <c r="D104" s="27"/>
      <c r="E104" s="27"/>
      <c r="F104" s="27"/>
      <c r="G104" s="27"/>
      <c r="H104" s="27"/>
    </row>
    <row r="105" spans="1:8" hidden="1">
      <c r="A105" s="27"/>
      <c r="B105" s="27"/>
      <c r="C105" s="27"/>
      <c r="D105" s="27"/>
      <c r="E105" s="27"/>
      <c r="F105" s="27"/>
      <c r="G105" s="27"/>
      <c r="H105" s="27"/>
    </row>
    <row r="106" spans="1:8" hidden="1">
      <c r="A106" s="27"/>
      <c r="B106" s="27"/>
      <c r="C106" s="27"/>
      <c r="D106" s="27"/>
      <c r="E106" s="27"/>
      <c r="F106" s="27"/>
      <c r="G106" s="27"/>
      <c r="H106" s="27"/>
    </row>
    <row r="107" spans="1:8" hidden="1">
      <c r="A107" s="27"/>
      <c r="B107" s="27"/>
      <c r="C107" s="27"/>
      <c r="D107" s="27"/>
      <c r="E107" s="27"/>
      <c r="F107" s="27"/>
      <c r="G107" s="27"/>
      <c r="H107" s="27"/>
    </row>
    <row r="108" spans="1:8" hidden="1">
      <c r="A108" s="27"/>
      <c r="B108" s="27"/>
      <c r="C108" s="27"/>
      <c r="D108" s="27"/>
      <c r="E108" s="27"/>
      <c r="F108" s="27"/>
      <c r="G108" s="27"/>
      <c r="H108" s="27"/>
    </row>
    <row r="109" spans="1:8" hidden="1">
      <c r="A109" s="27"/>
      <c r="B109" s="27"/>
      <c r="C109" s="27"/>
      <c r="D109" s="27"/>
      <c r="E109" s="27"/>
      <c r="F109" s="27"/>
      <c r="G109" s="27"/>
      <c r="H109" s="27"/>
    </row>
    <row r="110" spans="1:8" hidden="1">
      <c r="A110" s="27"/>
      <c r="B110" s="27"/>
      <c r="C110" s="27"/>
      <c r="D110" s="27"/>
      <c r="E110" s="27"/>
      <c r="F110" s="27"/>
      <c r="G110" s="27"/>
      <c r="H110" s="27"/>
    </row>
    <row r="111" spans="1:8" hidden="1">
      <c r="A111" s="27"/>
      <c r="B111" s="27"/>
      <c r="C111" s="27"/>
      <c r="D111" s="27"/>
      <c r="E111" s="27"/>
      <c r="F111" s="27"/>
      <c r="G111" s="27"/>
      <c r="H111" s="27"/>
    </row>
    <row r="112" spans="1:8" hidden="1">
      <c r="A112" s="27"/>
      <c r="B112" s="27"/>
      <c r="C112" s="27"/>
      <c r="D112" s="27"/>
      <c r="E112" s="27"/>
      <c r="F112" s="27"/>
      <c r="G112" s="27"/>
      <c r="H112" s="27"/>
    </row>
    <row r="113" spans="1:8" hidden="1">
      <c r="A113" s="27"/>
      <c r="B113" s="27"/>
      <c r="C113" s="27"/>
      <c r="D113" s="27"/>
      <c r="E113" s="27"/>
      <c r="F113" s="27"/>
      <c r="G113" s="27"/>
      <c r="H113" s="27"/>
    </row>
    <row r="114" spans="1:8" hidden="1">
      <c r="A114" s="27"/>
      <c r="B114" s="27"/>
      <c r="C114" s="27"/>
      <c r="D114" s="27"/>
      <c r="E114" s="27"/>
      <c r="F114" s="27"/>
      <c r="G114" s="27"/>
      <c r="H114" s="27"/>
    </row>
    <row r="115" spans="1:8" hidden="1">
      <c r="A115" s="27"/>
      <c r="B115" s="27"/>
      <c r="C115" s="27"/>
      <c r="D115" s="27"/>
      <c r="E115" s="27"/>
      <c r="F115" s="27"/>
      <c r="G115" s="27"/>
      <c r="H115" s="27"/>
    </row>
    <row r="116" spans="1:8" hidden="1">
      <c r="A116" s="27"/>
      <c r="B116" s="27"/>
      <c r="C116" s="27"/>
      <c r="D116" s="27"/>
      <c r="E116" s="27"/>
      <c r="F116" s="27"/>
      <c r="G116" s="27"/>
      <c r="H116" s="27"/>
    </row>
    <row r="117" spans="1:8" hidden="1">
      <c r="A117" s="27"/>
      <c r="B117" s="27"/>
      <c r="C117" s="27"/>
      <c r="D117" s="27"/>
      <c r="E117" s="27"/>
      <c r="F117" s="27"/>
      <c r="G117" s="27"/>
      <c r="H117" s="27"/>
    </row>
    <row r="118" spans="1:8" hidden="1">
      <c r="A118" s="27"/>
      <c r="B118" s="27"/>
      <c r="C118" s="27"/>
      <c r="D118" s="27"/>
      <c r="E118" s="27"/>
      <c r="F118" s="27"/>
      <c r="G118" s="27"/>
      <c r="H118" s="27"/>
    </row>
    <row r="119" spans="1:8" hidden="1">
      <c r="A119" s="27"/>
      <c r="B119" s="27"/>
      <c r="C119" s="27"/>
      <c r="D119" s="27"/>
      <c r="E119" s="27"/>
      <c r="F119" s="27"/>
      <c r="G119" s="27"/>
      <c r="H119" s="27"/>
    </row>
    <row r="120" spans="1:8" hidden="1">
      <c r="A120" s="27"/>
      <c r="B120" s="27"/>
      <c r="C120" s="27"/>
      <c r="D120" s="27"/>
      <c r="E120" s="27"/>
      <c r="F120" s="27"/>
      <c r="G120" s="27"/>
      <c r="H120" s="27"/>
    </row>
    <row r="121" spans="1:8" hidden="1">
      <c r="A121" s="27"/>
      <c r="B121" s="27"/>
      <c r="C121" s="27"/>
      <c r="D121" s="27"/>
      <c r="E121" s="27"/>
      <c r="F121" s="27"/>
      <c r="G121" s="27"/>
      <c r="H121" s="27"/>
    </row>
    <row r="122" spans="1:8" hidden="1">
      <c r="A122" s="27"/>
      <c r="B122" s="27"/>
      <c r="C122" s="27"/>
      <c r="D122" s="27"/>
      <c r="E122" s="27"/>
      <c r="F122" s="27"/>
      <c r="G122" s="27"/>
      <c r="H122" s="27"/>
    </row>
    <row r="123" spans="1:8" hidden="1">
      <c r="A123" s="27"/>
      <c r="B123" s="27"/>
      <c r="C123" s="27"/>
      <c r="D123" s="27"/>
      <c r="E123" s="27"/>
      <c r="F123" s="27"/>
      <c r="G123" s="27"/>
      <c r="H123" s="27"/>
    </row>
    <row r="124" spans="1:8" hidden="1">
      <c r="A124" s="27"/>
      <c r="B124" s="27"/>
      <c r="C124" s="27"/>
      <c r="D124" s="27"/>
      <c r="E124" s="27"/>
      <c r="F124" s="27"/>
      <c r="G124" s="27"/>
      <c r="H124" s="27"/>
    </row>
    <row r="125" spans="1:8" hidden="1">
      <c r="A125" s="27"/>
      <c r="B125" s="27"/>
      <c r="C125" s="27"/>
      <c r="D125" s="27"/>
      <c r="E125" s="27"/>
      <c r="F125" s="27"/>
      <c r="G125" s="27"/>
      <c r="H125" s="27"/>
    </row>
    <row r="126" spans="1:8" hidden="1">
      <c r="A126" s="27"/>
      <c r="B126" s="27"/>
      <c r="C126" s="27"/>
      <c r="D126" s="27"/>
      <c r="E126" s="27"/>
      <c r="F126" s="27"/>
      <c r="G126" s="27"/>
      <c r="H126" s="27"/>
    </row>
    <row r="127" spans="1:8" hidden="1">
      <c r="A127" s="27"/>
      <c r="B127" s="27"/>
      <c r="C127" s="27"/>
      <c r="D127" s="27"/>
      <c r="E127" s="27"/>
      <c r="F127" s="27"/>
      <c r="G127" s="27"/>
      <c r="H127" s="27"/>
    </row>
    <row r="128" spans="1:8" hidden="1">
      <c r="A128" s="27"/>
      <c r="B128" s="27"/>
      <c r="C128" s="27"/>
      <c r="D128" s="27"/>
      <c r="E128" s="27"/>
      <c r="F128" s="27"/>
      <c r="G128" s="27"/>
      <c r="H128" s="27"/>
    </row>
    <row r="129" spans="1:8" hidden="1">
      <c r="A129" s="27"/>
      <c r="B129" s="27"/>
      <c r="C129" s="27"/>
      <c r="D129" s="27"/>
      <c r="E129" s="27"/>
      <c r="F129" s="27"/>
      <c r="G129" s="27"/>
      <c r="H129" s="27"/>
    </row>
    <row r="130" spans="1:8" hidden="1">
      <c r="A130" s="27"/>
      <c r="B130" s="27"/>
      <c r="C130" s="27"/>
      <c r="D130" s="27"/>
      <c r="E130" s="27"/>
      <c r="F130" s="27"/>
      <c r="G130" s="27"/>
      <c r="H130" s="27"/>
    </row>
    <row r="131" spans="1:8" hidden="1">
      <c r="A131" s="27"/>
      <c r="B131" s="27"/>
      <c r="C131" s="27"/>
      <c r="D131" s="27"/>
      <c r="E131" s="27"/>
      <c r="F131" s="27"/>
      <c r="G131" s="27"/>
      <c r="H131" s="27"/>
    </row>
    <row r="132" spans="1:8" hidden="1">
      <c r="A132" s="27"/>
      <c r="B132" s="27"/>
      <c r="C132" s="27"/>
      <c r="D132" s="27"/>
      <c r="E132" s="27"/>
      <c r="F132" s="27"/>
      <c r="G132" s="27"/>
      <c r="H132" s="27"/>
    </row>
    <row r="133" spans="1:8" hidden="1">
      <c r="A133" s="27"/>
      <c r="B133" s="27"/>
      <c r="C133" s="27"/>
      <c r="D133" s="27"/>
      <c r="E133" s="27"/>
      <c r="F133" s="27"/>
      <c r="G133" s="27"/>
      <c r="H133" s="27"/>
    </row>
    <row r="134" spans="1:8" hidden="1">
      <c r="A134" s="27"/>
      <c r="B134" s="27"/>
      <c r="C134" s="27"/>
      <c r="D134" s="27"/>
      <c r="E134" s="27"/>
      <c r="F134" s="27"/>
      <c r="G134" s="27"/>
      <c r="H134" s="27"/>
    </row>
    <row r="135" spans="1:8" hidden="1">
      <c r="A135" s="27"/>
      <c r="B135" s="27"/>
      <c r="C135" s="27"/>
      <c r="D135" s="27"/>
      <c r="E135" s="27"/>
      <c r="F135" s="27"/>
      <c r="G135" s="27"/>
      <c r="H135" s="27"/>
    </row>
    <row r="136" spans="1:8" hidden="1">
      <c r="A136" s="27"/>
      <c r="B136" s="27"/>
      <c r="C136" s="27"/>
      <c r="D136" s="27"/>
      <c r="E136" s="27"/>
      <c r="F136" s="27"/>
      <c r="G136" s="27"/>
      <c r="H136" s="27"/>
    </row>
    <row r="137" spans="1:8" hidden="1">
      <c r="A137" s="27"/>
      <c r="B137" s="27"/>
      <c r="C137" s="27"/>
      <c r="D137" s="27"/>
      <c r="E137" s="27"/>
      <c r="F137" s="27"/>
      <c r="G137" s="27"/>
      <c r="H137" s="27"/>
    </row>
    <row r="138" spans="1:8" hidden="1">
      <c r="A138" s="27"/>
      <c r="B138" s="27"/>
      <c r="C138" s="27"/>
      <c r="D138" s="27"/>
      <c r="E138" s="27"/>
      <c r="F138" s="27"/>
      <c r="G138" s="27"/>
      <c r="H138" s="27"/>
    </row>
    <row r="139" spans="1:8" hidden="1">
      <c r="A139" s="27"/>
      <c r="B139" s="27"/>
      <c r="C139" s="27"/>
      <c r="D139" s="27"/>
      <c r="E139" s="27"/>
      <c r="F139" s="27"/>
      <c r="G139" s="27"/>
      <c r="H139" s="27"/>
    </row>
    <row r="140" spans="1:8" hidden="1">
      <c r="A140" s="27"/>
      <c r="B140" s="27"/>
      <c r="C140" s="27"/>
      <c r="D140" s="27"/>
      <c r="E140" s="27"/>
      <c r="F140" s="27"/>
      <c r="G140" s="27"/>
      <c r="H140" s="27"/>
    </row>
    <row r="141" spans="1:8" hidden="1">
      <c r="A141" s="27"/>
      <c r="B141" s="27"/>
      <c r="C141" s="27"/>
      <c r="D141" s="27"/>
      <c r="E141" s="27"/>
      <c r="F141" s="27"/>
      <c r="G141" s="27"/>
      <c r="H141" s="27"/>
    </row>
    <row r="142" spans="1:8" hidden="1">
      <c r="A142" s="27"/>
      <c r="B142" s="27"/>
      <c r="C142" s="27"/>
      <c r="D142" s="27"/>
      <c r="E142" s="27"/>
      <c r="F142" s="27"/>
      <c r="G142" s="27"/>
      <c r="H142" s="27"/>
    </row>
    <row r="143" spans="1:8" hidden="1">
      <c r="A143" s="27"/>
      <c r="B143" s="27"/>
      <c r="C143" s="27"/>
      <c r="D143" s="27"/>
      <c r="E143" s="27"/>
      <c r="F143" s="27"/>
      <c r="G143" s="27"/>
      <c r="H143" s="27"/>
    </row>
    <row r="144" spans="1:8" hidden="1">
      <c r="A144" s="27"/>
      <c r="B144" s="27"/>
      <c r="C144" s="27"/>
      <c r="D144" s="27"/>
      <c r="E144" s="27"/>
      <c r="F144" s="27"/>
      <c r="G144" s="27"/>
      <c r="H144" s="27"/>
    </row>
    <row r="145" spans="1:8" hidden="1">
      <c r="A145" s="27"/>
      <c r="B145" s="27"/>
      <c r="C145" s="27"/>
      <c r="D145" s="27"/>
      <c r="E145" s="27"/>
      <c r="F145" s="27"/>
      <c r="G145" s="27"/>
      <c r="H145" s="27"/>
    </row>
    <row r="146" spans="1:8" hidden="1">
      <c r="A146" s="27"/>
      <c r="B146" s="27"/>
      <c r="C146" s="27"/>
      <c r="D146" s="27"/>
      <c r="E146" s="27"/>
      <c r="F146" s="27"/>
      <c r="G146" s="27"/>
      <c r="H146" s="27"/>
    </row>
    <row r="147" spans="1:8" hidden="1">
      <c r="A147" s="27"/>
      <c r="B147" s="27"/>
      <c r="C147" s="27"/>
      <c r="D147" s="27"/>
      <c r="E147" s="27"/>
      <c r="F147" s="27"/>
      <c r="G147" s="27"/>
      <c r="H147" s="27"/>
    </row>
    <row r="148" spans="1:8" hidden="1">
      <c r="A148" s="27"/>
      <c r="B148" s="27"/>
      <c r="C148" s="27"/>
      <c r="D148" s="27"/>
      <c r="E148" s="27"/>
      <c r="F148" s="27"/>
      <c r="G148" s="27"/>
      <c r="H148" s="27"/>
    </row>
    <row r="149" spans="1:8" hidden="1">
      <c r="A149" s="27"/>
      <c r="B149" s="27"/>
      <c r="C149" s="27"/>
      <c r="D149" s="27"/>
      <c r="E149" s="27"/>
      <c r="F149" s="27"/>
      <c r="G149" s="27"/>
      <c r="H149" s="27"/>
    </row>
    <row r="150" spans="1:8" hidden="1">
      <c r="A150" s="27"/>
      <c r="B150" s="27"/>
      <c r="C150" s="27"/>
      <c r="D150" s="27"/>
      <c r="E150" s="27"/>
      <c r="F150" s="27"/>
      <c r="G150" s="27"/>
      <c r="H150" s="27"/>
    </row>
    <row r="151" spans="1:8" hidden="1">
      <c r="A151" s="27"/>
      <c r="B151" s="27"/>
      <c r="C151" s="27"/>
    </row>
    <row r="152" spans="1:8" hidden="1">
      <c r="A152" s="27"/>
      <c r="B152" s="27"/>
      <c r="C152" s="27"/>
    </row>
    <row r="153" spans="1:8" hidden="1">
      <c r="A153" s="27"/>
      <c r="B153" s="27"/>
      <c r="C153" s="27"/>
    </row>
    <row r="154" spans="1:8" hidden="1">
      <c r="A154" s="27"/>
      <c r="B154" s="27"/>
      <c r="C154" s="27"/>
    </row>
    <row r="155" spans="1:8" hidden="1">
      <c r="A155" s="27"/>
      <c r="B155" s="27"/>
      <c r="C155" s="27"/>
    </row>
    <row r="156" spans="1:8" hidden="1">
      <c r="A156" s="27"/>
      <c r="B156" s="27"/>
      <c r="C156" s="27"/>
    </row>
    <row r="157" spans="1:8" hidden="1">
      <c r="A157" s="27"/>
      <c r="B157" s="27"/>
      <c r="C157" s="27"/>
    </row>
  </sheetData>
  <sheetProtection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ileType1 xmlns="f4edfb27-fdcf-4944-9520-fd54d4f1d725">Amended Documentation</FileType1>
    <_Flow_SignoffStatus xmlns="0cd06ba8-3d0c-4461-b1b9-cc99cc46e70a" xsi:nil="true"/>
    <CategoryDescription xmlns="http://schemas.microsoft.com/sharepoint.v3" xsi:nil="true"/>
    <Public xmlns="f4edfb27-fdcf-4944-9520-fd54d4f1d725">true</Public>
    <lcf76f155ced4ddcb4097134ff3c332f xmlns="0cd06ba8-3d0c-4461-b1b9-cc99cc46e70a">
      <Terms xmlns="http://schemas.microsoft.com/office/infopath/2007/PartnerControls"/>
    </lcf76f155ced4ddcb4097134ff3c332f>
    <TaxCatchAll xmlns="f4edfb27-fdcf-4944-9520-fd54d4f1d72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AEB9E82-A359-4BA3-9DD9-C5AC6B90B015}"/>
</file>

<file path=customXml/itemProps2.xml><?xml version="1.0" encoding="utf-8"?>
<ds:datastoreItem xmlns:ds="http://schemas.openxmlformats.org/officeDocument/2006/customXml" ds:itemID="{300507AD-3D3B-42AE-98ED-C149C5BCDE24}"/>
</file>

<file path=customXml/itemProps3.xml><?xml version="1.0" encoding="utf-8"?>
<ds:datastoreItem xmlns:ds="http://schemas.openxmlformats.org/officeDocument/2006/customXml" ds:itemID="{36EECF9D-D4D3-44E8-A0EE-22EB15662BE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Andrew , Hannah (SENIOR PLANNING OFFICER)</cp:lastModifiedBy>
  <cp:revision/>
  <dcterms:created xsi:type="dcterms:W3CDTF">2020-09-14T13:04:31Z</dcterms:created>
  <dcterms:modified xsi:type="dcterms:W3CDTF">2022-05-25T10:40:21Z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ies>
</file>